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8.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9.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0.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11.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2.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3.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14.xml" ContentType="application/vnd.openxmlformats-officedocument.drawing+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15.xml" ContentType="application/vnd.openxmlformats-officedocument.drawing+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16.xml" ContentType="application/vnd.openxmlformats-officedocument.drawing+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17.xml" ContentType="application/vnd.openxmlformats-officedocument.drawing+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18.xml" ContentType="application/vnd.openxmlformats-officedocument.drawing+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9.xml" ContentType="application/vnd.openxmlformats-officedocument.drawing+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20.xml" ContentType="application/vnd.openxmlformats-officedocument.drawing+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21.xml" ContentType="application/vnd.openxmlformats-officedocument.drawing+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drawings/drawing22.xml" ContentType="application/vnd.openxmlformats-officedocument.drawing+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drawings/drawing23.xml" ContentType="application/vnd.openxmlformats-officedocument.drawing+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drawings/drawing24.xml" ContentType="application/vnd.openxmlformats-officedocument.drawing+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drawings/drawing25.xml" ContentType="application/vnd.openxmlformats-officedocument.drawing+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drawings/drawing26.xml" ContentType="application/vnd.openxmlformats-officedocument.drawing+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drawings/drawing27.xml" ContentType="application/vnd.openxmlformats-officedocument.drawing+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drawings/drawing28.xml" ContentType="application/vnd.openxmlformats-officedocument.drawing+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drawings/drawing29.xml" ContentType="application/vnd.openxmlformats-officedocument.drawing+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drawings/drawing30.xml" ContentType="application/vnd.openxmlformats-officedocument.drawing+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drawings/drawing31.xml" ContentType="application/vnd.openxmlformats-officedocument.drawing+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drawings/drawing32.xml" ContentType="application/vnd.openxmlformats-officedocument.drawing+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drawings/drawing33.xml" ContentType="application/vnd.openxmlformats-officedocument.drawing+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drawings/drawing34.xml" ContentType="application/vnd.openxmlformats-officedocument.drawing+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drawings/drawing35.xml" ContentType="application/vnd.openxmlformats-officedocument.drawing+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drawings/drawing36.xml" ContentType="application/vnd.openxmlformats-officedocument.drawing+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drawings/drawing37.xml" ContentType="application/vnd.openxmlformats-officedocument.drawing+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drawings/drawing38.xml" ContentType="application/vnd.openxmlformats-officedocument.drawing+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drawings/drawing39.xml" ContentType="application/vnd.openxmlformats-officedocument.drawing+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en Wilson\Documents\AI Dump\"/>
    </mc:Choice>
  </mc:AlternateContent>
  <xr:revisionPtr revIDLastSave="0" documentId="13_ncr:1_{A68D7903-6A8F-4515-AAA9-5127B5FA3C12}" xr6:coauthVersionLast="47" xr6:coauthVersionMax="47" xr10:uidLastSave="{00000000-0000-0000-0000-000000000000}"/>
  <bookViews>
    <workbookView xWindow="28680" yWindow="-120" windowWidth="29040" windowHeight="15720" tabRatio="593" firstSheet="27" activeTab="33" xr2:uid="{A79E259F-7C02-45F5-A43D-DD46761F07D3}"/>
  </bookViews>
  <sheets>
    <sheet name="Vitality Normative Data" sheetId="3" r:id="rId1"/>
    <sheet name="Strength_Normative_Data" sheetId="4" r:id="rId2"/>
    <sheet name="Mobility_Normative_Data" sheetId="5" r:id="rId3"/>
    <sheet name="Average_20_Year_Old_Man_Pro" sheetId="19" r:id="rId4"/>
    <sheet name="Average_20_Year_Old_Woman_Pro" sheetId="27" r:id="rId5"/>
    <sheet name="Average_25_Year_old_Man_Pro " sheetId="30" r:id="rId6"/>
    <sheet name="Average_25_Year_Old_Woman_P " sheetId="31" r:id="rId7"/>
    <sheet name="Average_30_Year_Old_Man_Profile" sheetId="17" r:id="rId8"/>
    <sheet name="Average_30_Year_Old_Woman_Pro" sheetId="26" r:id="rId9"/>
    <sheet name="Average_35_Year_old_Man_Pro" sheetId="32" r:id="rId10"/>
    <sheet name="Average_35_Year_Old_Woman_Pro" sheetId="33" r:id="rId11"/>
    <sheet name="Average_40_Year_Old_Man_Pro" sheetId="22" r:id="rId12"/>
    <sheet name="Average_40_Year_Old_Woman_Pro" sheetId="25" r:id="rId13"/>
    <sheet name="Average_45_Year_Old_Man_Pro" sheetId="34" r:id="rId14"/>
    <sheet name="Average_45_Year_Old_Woman_P" sheetId="35" r:id="rId15"/>
    <sheet name="Average_50_Year_Old_Man_Pro" sheetId="23" r:id="rId16"/>
    <sheet name="Average_50_Year_Old_Woman_Pro" sheetId="18" r:id="rId17"/>
    <sheet name="Average_55_Year_Old_Man_Pro " sheetId="36" r:id="rId18"/>
    <sheet name="Average_55_Year_Old_Woman_P " sheetId="37" r:id="rId19"/>
    <sheet name="Average_60_Year_Old_Man_Pro " sheetId="20" r:id="rId20"/>
    <sheet name="Average_60_Year_Old_Woman_Pro" sheetId="28" r:id="rId21"/>
    <sheet name="Average_65_Year_Old_Man_Pro " sheetId="38" r:id="rId22"/>
    <sheet name="Average_65_Year_Old_Woman_P " sheetId="39" r:id="rId23"/>
    <sheet name="Average_70_Year_Old_Man_Pro" sheetId="24" r:id="rId24"/>
    <sheet name="Average_70_Year_Old_Woman_Pro" sheetId="29" r:id="rId25"/>
    <sheet name="Average_75_Year_Old_Man_Pro" sheetId="40" r:id="rId26"/>
    <sheet name="Average_75_Year_Old_Woman_P" sheetId="41" r:id="rId27"/>
    <sheet name="Arthur, 53" sheetId="48" r:id="rId28"/>
    <sheet name="Tyson" sheetId="59" r:id="rId29"/>
    <sheet name="Clara, 46" sheetId="52" r:id="rId30"/>
    <sheet name="Tyson,59" sheetId="53" r:id="rId31"/>
    <sheet name="Julian,42" sheetId="54" r:id="rId32"/>
    <sheet name="Beatrice 64" sheetId="55" r:id="rId33"/>
    <sheet name="Liam 50" sheetId="56" r:id="rId34"/>
    <sheet name="Renee, 61" sheetId="57" r:id="rId35"/>
    <sheet name="Kevin, 40" sheetId="58" r:id="rId36"/>
    <sheet name="Omar, 48" sheetId="63" r:id="rId37"/>
    <sheet name="Persona_1" sheetId="7" state="hidden" r:id="rId38"/>
    <sheet name="Persona_2" sheetId="8" state="hidden" r:id="rId39"/>
    <sheet name="Persona_3" sheetId="9" state="hidden" r:id="rId40"/>
    <sheet name="Persona_4" sheetId="11" state="hidden" r:id="rId41"/>
    <sheet name="Persona_5" sheetId="12" state="hidden" r:id="rId42"/>
    <sheet name="Persona_6 " sheetId="21" state="hidden" r:id="rId43"/>
  </sheets>
  <externalReferences>
    <externalReference r:id="rId4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3" i="63" l="1"/>
  <c r="E55" i="59"/>
  <c r="O17" i="54"/>
  <c r="O15" i="63"/>
  <c r="O15" i="56"/>
  <c r="O14" i="63"/>
  <c r="O6" i="57"/>
  <c r="J44" i="63"/>
  <c r="H44" i="63"/>
  <c r="J43" i="63"/>
  <c r="H43" i="63"/>
  <c r="F43" i="63"/>
  <c r="B43" i="63"/>
  <c r="D43" i="63" s="1"/>
  <c r="N33" i="63"/>
  <c r="Z33" i="63" s="1"/>
  <c r="Z34" i="63" s="1"/>
  <c r="Z35" i="63" s="1"/>
  <c r="Z36" i="63" s="1"/>
  <c r="Z37" i="63" s="1"/>
  <c r="Z38" i="63" s="1"/>
  <c r="Z39" i="63" s="1"/>
  <c r="Z40" i="63" s="1"/>
  <c r="Z41" i="63" s="1"/>
  <c r="Z42" i="63" s="1"/>
  <c r="Z43" i="63" s="1"/>
  <c r="C27" i="63"/>
  <c r="F44" i="63" s="1"/>
  <c r="O19" i="63"/>
  <c r="M19" i="63"/>
  <c r="D19" i="63"/>
  <c r="E19" i="63" s="1"/>
  <c r="F19" i="63" s="1"/>
  <c r="G19" i="63" s="1"/>
  <c r="H19" i="63" s="1"/>
  <c r="I19" i="63" s="1"/>
  <c r="J19" i="63" s="1"/>
  <c r="K19" i="63" s="1"/>
  <c r="L19" i="63" s="1"/>
  <c r="O18" i="63"/>
  <c r="M18" i="63"/>
  <c r="D18" i="63"/>
  <c r="E18" i="63" s="1"/>
  <c r="F18" i="63" s="1"/>
  <c r="G18" i="63" s="1"/>
  <c r="H18" i="63" s="1"/>
  <c r="I18" i="63" s="1"/>
  <c r="J18" i="63" s="1"/>
  <c r="K18" i="63" s="1"/>
  <c r="L18" i="63" s="1"/>
  <c r="M17" i="63"/>
  <c r="D17" i="63"/>
  <c r="E17" i="63" s="1"/>
  <c r="F17" i="63" s="1"/>
  <c r="G17" i="63" s="1"/>
  <c r="H17" i="63" s="1"/>
  <c r="I17" i="63" s="1"/>
  <c r="J17" i="63" s="1"/>
  <c r="K17" i="63" s="1"/>
  <c r="L17" i="63" s="1"/>
  <c r="M16" i="63"/>
  <c r="D16" i="63"/>
  <c r="E16" i="63" s="1"/>
  <c r="F16" i="63" s="1"/>
  <c r="G16" i="63" s="1"/>
  <c r="H16" i="63" s="1"/>
  <c r="I16" i="63" s="1"/>
  <c r="J16" i="63" s="1"/>
  <c r="K16" i="63" s="1"/>
  <c r="L16" i="63" s="1"/>
  <c r="M15" i="63"/>
  <c r="D15" i="63"/>
  <c r="E15" i="63" s="1"/>
  <c r="F15" i="63" s="1"/>
  <c r="G15" i="63" s="1"/>
  <c r="H15" i="63" s="1"/>
  <c r="I15" i="63" s="1"/>
  <c r="J15" i="63" s="1"/>
  <c r="K15" i="63" s="1"/>
  <c r="L15" i="63" s="1"/>
  <c r="M14" i="63"/>
  <c r="D14" i="63"/>
  <c r="E14" i="63" s="1"/>
  <c r="F14" i="63" s="1"/>
  <c r="G14" i="63" s="1"/>
  <c r="H14" i="63" s="1"/>
  <c r="I14" i="63" s="1"/>
  <c r="J14" i="63" s="1"/>
  <c r="K14" i="63" s="1"/>
  <c r="L14" i="63" s="1"/>
  <c r="O13" i="63"/>
  <c r="M13" i="63"/>
  <c r="O12" i="63"/>
  <c r="P12" i="63" s="1"/>
  <c r="M12" i="63"/>
  <c r="O11" i="63"/>
  <c r="M11" i="63"/>
  <c r="O10" i="63"/>
  <c r="M10" i="63"/>
  <c r="O8" i="63"/>
  <c r="M8" i="63"/>
  <c r="M7" i="63"/>
  <c r="M6" i="63"/>
  <c r="D6" i="63"/>
  <c r="E6" i="63" s="1"/>
  <c r="F6" i="63" s="1"/>
  <c r="G6" i="63" s="1"/>
  <c r="H6" i="63" s="1"/>
  <c r="I6" i="63" s="1"/>
  <c r="J6" i="63" s="1"/>
  <c r="K6" i="63" s="1"/>
  <c r="L6" i="63" s="1"/>
  <c r="M5" i="63"/>
  <c r="D5" i="63"/>
  <c r="E5" i="63" s="1"/>
  <c r="F5" i="63" s="1"/>
  <c r="G5" i="63" s="1"/>
  <c r="H5" i="63" s="1"/>
  <c r="I5" i="63" s="1"/>
  <c r="J5" i="63" s="1"/>
  <c r="K5" i="63" s="1"/>
  <c r="L5" i="63" s="1"/>
  <c r="D4" i="63"/>
  <c r="E4" i="63" s="1"/>
  <c r="F4" i="63" s="1"/>
  <c r="G4" i="63" s="1"/>
  <c r="H4" i="63" s="1"/>
  <c r="I4" i="63" s="1"/>
  <c r="J4" i="63" s="1"/>
  <c r="K4" i="63" s="1"/>
  <c r="L4" i="63" s="1"/>
  <c r="M4" i="63" s="1"/>
  <c r="D3" i="63"/>
  <c r="E3" i="63" s="1"/>
  <c r="F3" i="63" s="1"/>
  <c r="G3" i="63" s="1"/>
  <c r="H3" i="63" s="1"/>
  <c r="I3" i="63" s="1"/>
  <c r="J3" i="63" s="1"/>
  <c r="K3" i="63" s="1"/>
  <c r="L3" i="63" s="1"/>
  <c r="M3" i="63" s="1"/>
  <c r="R2" i="63"/>
  <c r="D2" i="63"/>
  <c r="E2" i="63" s="1"/>
  <c r="F2" i="63" s="1"/>
  <c r="G2" i="63" s="1"/>
  <c r="H2" i="63" s="1"/>
  <c r="I2" i="63" s="1"/>
  <c r="J2" i="63" s="1"/>
  <c r="K2" i="63" s="1"/>
  <c r="L2" i="63" s="1"/>
  <c r="M2" i="63" s="1"/>
  <c r="R5" i="63" l="1"/>
  <c r="T33" i="63"/>
  <c r="T34" i="63" s="1"/>
  <c r="T35" i="63" s="1"/>
  <c r="T36" i="63" s="1"/>
  <c r="T37" i="63" s="1"/>
  <c r="T38" i="63" s="1"/>
  <c r="T39" i="63" s="1"/>
  <c r="T40" i="63" s="1"/>
  <c r="T41" i="63" s="1"/>
  <c r="T42" i="63" s="1"/>
  <c r="T43" i="63" s="1"/>
  <c r="R6" i="63"/>
  <c r="Q33" i="63"/>
  <c r="Q34" i="63" s="1"/>
  <c r="Q35" i="63" s="1"/>
  <c r="Q36" i="63" s="1"/>
  <c r="Q37" i="63" s="1"/>
  <c r="Q38" i="63" s="1"/>
  <c r="Q39" i="63" s="1"/>
  <c r="Q40" i="63" s="1"/>
  <c r="Q41" i="63" s="1"/>
  <c r="Q42" i="63" s="1"/>
  <c r="Q43" i="63" s="1"/>
  <c r="N34" i="63"/>
  <c r="N35" i="63" s="1"/>
  <c r="N36" i="63" s="1"/>
  <c r="N37" i="63" s="1"/>
  <c r="N38" i="63" s="1"/>
  <c r="N39" i="63" s="1"/>
  <c r="N40" i="63" s="1"/>
  <c r="N41" i="63" s="1"/>
  <c r="N42" i="63" s="1"/>
  <c r="N43" i="63" s="1"/>
  <c r="W33" i="63"/>
  <c r="W34" i="63" s="1"/>
  <c r="W35" i="63" s="1"/>
  <c r="W36" i="63" s="1"/>
  <c r="W37" i="63" s="1"/>
  <c r="W38" i="63" s="1"/>
  <c r="W39" i="63" s="1"/>
  <c r="W40" i="63" s="1"/>
  <c r="W41" i="63" s="1"/>
  <c r="W42" i="63" s="1"/>
  <c r="W43" i="63" s="1"/>
  <c r="R3" i="63"/>
  <c r="B29" i="63" s="1"/>
  <c r="E43" i="63" s="1"/>
  <c r="Q11" i="63"/>
  <c r="R11" i="63" s="1"/>
  <c r="R4" i="63" s="1"/>
  <c r="O33" i="63"/>
  <c r="B28" i="63"/>
  <c r="AA33" i="63"/>
  <c r="B32" i="63"/>
  <c r="D27" i="63"/>
  <c r="B44" i="63"/>
  <c r="D44" i="63" s="1"/>
  <c r="B31" i="63" l="1"/>
  <c r="C31" i="63" s="1"/>
  <c r="D31" i="63" s="1"/>
  <c r="I45" i="63" s="1"/>
  <c r="E53" i="63"/>
  <c r="X33" i="63"/>
  <c r="Y33" i="63" s="1"/>
  <c r="C29" i="63"/>
  <c r="D29" i="63" s="1"/>
  <c r="R33" i="63"/>
  <c r="S34" i="63" s="1"/>
  <c r="S35" i="63" s="1"/>
  <c r="S36" i="63" s="1"/>
  <c r="S37" i="63" s="1"/>
  <c r="S38" i="63" s="1"/>
  <c r="S39" i="63" s="1"/>
  <c r="S40" i="63" s="1"/>
  <c r="S41" i="63" s="1"/>
  <c r="S42" i="63" s="1"/>
  <c r="S43" i="63" s="1"/>
  <c r="C28" i="63"/>
  <c r="C43" i="63"/>
  <c r="AB33" i="63"/>
  <c r="AB34" i="63"/>
  <c r="AB35" i="63" s="1"/>
  <c r="AB36" i="63" s="1"/>
  <c r="AB37" i="63" s="1"/>
  <c r="AB38" i="63" s="1"/>
  <c r="AB39" i="63" s="1"/>
  <c r="AB40" i="63" s="1"/>
  <c r="AB41" i="63" s="1"/>
  <c r="AB42" i="63" s="1"/>
  <c r="AB43" i="63" s="1"/>
  <c r="AA34" i="63"/>
  <c r="AA35" i="63" s="1"/>
  <c r="AA36" i="63" s="1"/>
  <c r="AA37" i="63" s="1"/>
  <c r="AA38" i="63" s="1"/>
  <c r="AA39" i="63" s="1"/>
  <c r="AA40" i="63" s="1"/>
  <c r="AA41" i="63" s="1"/>
  <c r="AA42" i="63" s="1"/>
  <c r="AA43" i="63" s="1"/>
  <c r="C32" i="63"/>
  <c r="K43" i="63"/>
  <c r="O34" i="63"/>
  <c r="O35" i="63" s="1"/>
  <c r="O36" i="63" s="1"/>
  <c r="O37" i="63" s="1"/>
  <c r="O38" i="63" s="1"/>
  <c r="O39" i="63" s="1"/>
  <c r="O40" i="63" s="1"/>
  <c r="O41" i="63" s="1"/>
  <c r="O42" i="63" s="1"/>
  <c r="O43" i="63" s="1"/>
  <c r="P33" i="63"/>
  <c r="P34" i="63"/>
  <c r="P35" i="63" s="1"/>
  <c r="P36" i="63" s="1"/>
  <c r="P37" i="63" s="1"/>
  <c r="P38" i="63" s="1"/>
  <c r="P39" i="63" s="1"/>
  <c r="P40" i="63" s="1"/>
  <c r="P41" i="63" s="1"/>
  <c r="P42" i="63" s="1"/>
  <c r="H45" i="63"/>
  <c r="F45" i="63"/>
  <c r="E27" i="63"/>
  <c r="D45" i="63"/>
  <c r="B45" i="63"/>
  <c r="J45" i="63"/>
  <c r="B30" i="63"/>
  <c r="U33" i="63"/>
  <c r="T4" i="63"/>
  <c r="V10" i="63" s="1"/>
  <c r="I43" i="63" l="1"/>
  <c r="E54" i="63"/>
  <c r="E55" i="63"/>
  <c r="Y34" i="63"/>
  <c r="X34" i="63"/>
  <c r="E31" i="63"/>
  <c r="I46" i="63" s="1"/>
  <c r="I44" i="63"/>
  <c r="E44" i="63"/>
  <c r="S33" i="63"/>
  <c r="R34" i="63"/>
  <c r="R35" i="63" s="1"/>
  <c r="R36" i="63" s="1"/>
  <c r="R37" i="63" s="1"/>
  <c r="R38" i="63" s="1"/>
  <c r="R39" i="63" s="1"/>
  <c r="R40" i="63" s="1"/>
  <c r="R41" i="63" s="1"/>
  <c r="R42" i="63" s="1"/>
  <c r="R43" i="63" s="1"/>
  <c r="E45" i="63"/>
  <c r="E29" i="63"/>
  <c r="V34" i="63"/>
  <c r="V35" i="63" s="1"/>
  <c r="V36" i="63" s="1"/>
  <c r="V37" i="63" s="1"/>
  <c r="V38" i="63" s="1"/>
  <c r="V39" i="63" s="1"/>
  <c r="V40" i="63" s="1"/>
  <c r="V41" i="63" s="1"/>
  <c r="V42" i="63" s="1"/>
  <c r="V43" i="63" s="1"/>
  <c r="U34" i="63"/>
  <c r="U35" i="63" s="1"/>
  <c r="U36" i="63" s="1"/>
  <c r="U37" i="63" s="1"/>
  <c r="U38" i="63" s="1"/>
  <c r="U39" i="63" s="1"/>
  <c r="U40" i="63" s="1"/>
  <c r="U41" i="63" s="1"/>
  <c r="U42" i="63" s="1"/>
  <c r="U43" i="63" s="1"/>
  <c r="V33" i="63"/>
  <c r="G43" i="63"/>
  <c r="C30" i="63"/>
  <c r="J46" i="63"/>
  <c r="F27" i="63"/>
  <c r="D46" i="63"/>
  <c r="F46" i="63"/>
  <c r="H46" i="63"/>
  <c r="B46" i="63"/>
  <c r="D28" i="63"/>
  <c r="C44" i="63"/>
  <c r="D32" i="63"/>
  <c r="K44" i="63"/>
  <c r="A37" i="63"/>
  <c r="Y35" i="63" l="1"/>
  <c r="X35" i="63"/>
  <c r="W10" i="63"/>
  <c r="F31" i="63"/>
  <c r="I47" i="63" s="1"/>
  <c r="E32" i="63"/>
  <c r="K45" i="63"/>
  <c r="C45" i="63"/>
  <c r="E28" i="63"/>
  <c r="F29" i="63"/>
  <c r="E47" i="63" s="1"/>
  <c r="E46" i="63"/>
  <c r="G44" i="63"/>
  <c r="D30" i="63"/>
  <c r="J47" i="63"/>
  <c r="H47" i="63"/>
  <c r="F47" i="63"/>
  <c r="D47" i="63"/>
  <c r="B47" i="63"/>
  <c r="Y36" i="63" l="1"/>
  <c r="X36" i="63"/>
  <c r="X10" i="63"/>
  <c r="G47" i="63"/>
  <c r="E30" i="63"/>
  <c r="G45" i="63"/>
  <c r="F28" i="63"/>
  <c r="C47" i="63" s="1"/>
  <c r="C46" i="63"/>
  <c r="K46" i="63"/>
  <c r="F32" i="63"/>
  <c r="K47" i="63" s="1"/>
  <c r="Y37" i="63" l="1"/>
  <c r="X37" i="63"/>
  <c r="Y10" i="63"/>
  <c r="F30" i="63"/>
  <c r="G46" i="63"/>
  <c r="Y38" i="63" l="1"/>
  <c r="Y39" i="63" s="1"/>
  <c r="Y40" i="63" s="1"/>
  <c r="Y41" i="63" s="1"/>
  <c r="Y42" i="63" s="1"/>
  <c r="Y43" i="63" s="1"/>
  <c r="X38" i="63"/>
  <c r="Z10" i="63"/>
  <c r="O5" i="54"/>
  <c r="J44" i="59"/>
  <c r="H44" i="59"/>
  <c r="J43" i="59"/>
  <c r="H43" i="59"/>
  <c r="F43" i="59"/>
  <c r="B43" i="59"/>
  <c r="D43" i="59" s="1"/>
  <c r="N34" i="59"/>
  <c r="N35" i="59" s="1"/>
  <c r="N36" i="59" s="1"/>
  <c r="N37" i="59" s="1"/>
  <c r="N38" i="59" s="1"/>
  <c r="N39" i="59" s="1"/>
  <c r="N40" i="59" s="1"/>
  <c r="N41" i="59" s="1"/>
  <c r="N42" i="59" s="1"/>
  <c r="N43" i="59" s="1"/>
  <c r="W33" i="59"/>
  <c r="W34" i="59" s="1"/>
  <c r="W35" i="59" s="1"/>
  <c r="W36" i="59" s="1"/>
  <c r="W37" i="59" s="1"/>
  <c r="W38" i="59" s="1"/>
  <c r="W39" i="59" s="1"/>
  <c r="W40" i="59" s="1"/>
  <c r="W41" i="59" s="1"/>
  <c r="W42" i="59" s="1"/>
  <c r="W43" i="59" s="1"/>
  <c r="T33" i="59"/>
  <c r="T34" i="59" s="1"/>
  <c r="T35" i="59" s="1"/>
  <c r="T36" i="59" s="1"/>
  <c r="T37" i="59" s="1"/>
  <c r="T38" i="59" s="1"/>
  <c r="T39" i="59" s="1"/>
  <c r="T40" i="59" s="1"/>
  <c r="T41" i="59" s="1"/>
  <c r="T42" i="59" s="1"/>
  <c r="T43" i="59" s="1"/>
  <c r="Q33" i="59"/>
  <c r="Q34" i="59" s="1"/>
  <c r="Q35" i="59" s="1"/>
  <c r="Q36" i="59" s="1"/>
  <c r="Q37" i="59" s="1"/>
  <c r="Q38" i="59" s="1"/>
  <c r="Q39" i="59" s="1"/>
  <c r="Q40" i="59" s="1"/>
  <c r="Q41" i="59" s="1"/>
  <c r="Q42" i="59" s="1"/>
  <c r="Q43" i="59" s="1"/>
  <c r="N33" i="59"/>
  <c r="Z33" i="59" s="1"/>
  <c r="Z34" i="59" s="1"/>
  <c r="Z35" i="59" s="1"/>
  <c r="Z36" i="59" s="1"/>
  <c r="Z37" i="59" s="1"/>
  <c r="Z38" i="59" s="1"/>
  <c r="Z39" i="59" s="1"/>
  <c r="Z40" i="59" s="1"/>
  <c r="Z41" i="59" s="1"/>
  <c r="Z42" i="59" s="1"/>
  <c r="Z43" i="59" s="1"/>
  <c r="C27" i="59"/>
  <c r="F44" i="59" s="1"/>
  <c r="O19" i="59"/>
  <c r="M19" i="59"/>
  <c r="D19" i="59"/>
  <c r="E19" i="59" s="1"/>
  <c r="F19" i="59" s="1"/>
  <c r="G19" i="59" s="1"/>
  <c r="H19" i="59" s="1"/>
  <c r="I19" i="59" s="1"/>
  <c r="J19" i="59" s="1"/>
  <c r="K19" i="59" s="1"/>
  <c r="L19" i="59" s="1"/>
  <c r="O18" i="59"/>
  <c r="R6" i="59" s="1"/>
  <c r="T4" i="59" s="1"/>
  <c r="M18" i="59"/>
  <c r="D18" i="59"/>
  <c r="E18" i="59" s="1"/>
  <c r="F18" i="59" s="1"/>
  <c r="G18" i="59" s="1"/>
  <c r="H18" i="59" s="1"/>
  <c r="I18" i="59" s="1"/>
  <c r="J18" i="59" s="1"/>
  <c r="K18" i="59" s="1"/>
  <c r="L18" i="59" s="1"/>
  <c r="M17" i="59"/>
  <c r="D17" i="59"/>
  <c r="E17" i="59" s="1"/>
  <c r="F17" i="59" s="1"/>
  <c r="G17" i="59" s="1"/>
  <c r="H17" i="59" s="1"/>
  <c r="I17" i="59" s="1"/>
  <c r="J17" i="59" s="1"/>
  <c r="K17" i="59" s="1"/>
  <c r="L17" i="59" s="1"/>
  <c r="M16" i="59"/>
  <c r="D16" i="59"/>
  <c r="E16" i="59" s="1"/>
  <c r="F16" i="59" s="1"/>
  <c r="G16" i="59" s="1"/>
  <c r="H16" i="59" s="1"/>
  <c r="I16" i="59" s="1"/>
  <c r="J16" i="59" s="1"/>
  <c r="K16" i="59" s="1"/>
  <c r="L16" i="59" s="1"/>
  <c r="R5" i="59"/>
  <c r="X33" i="59" s="1"/>
  <c r="M15" i="59"/>
  <c r="D15" i="59"/>
  <c r="E15" i="59" s="1"/>
  <c r="F15" i="59" s="1"/>
  <c r="G15" i="59" s="1"/>
  <c r="H15" i="59" s="1"/>
  <c r="I15" i="59" s="1"/>
  <c r="J15" i="59" s="1"/>
  <c r="K15" i="59" s="1"/>
  <c r="L15" i="59" s="1"/>
  <c r="M14" i="59"/>
  <c r="D14" i="59"/>
  <c r="E14" i="59" s="1"/>
  <c r="F14" i="59" s="1"/>
  <c r="G14" i="59" s="1"/>
  <c r="H14" i="59" s="1"/>
  <c r="I14" i="59" s="1"/>
  <c r="J14" i="59" s="1"/>
  <c r="K14" i="59" s="1"/>
  <c r="L14" i="59" s="1"/>
  <c r="O13" i="59"/>
  <c r="M13" i="59"/>
  <c r="O12" i="59"/>
  <c r="P12" i="59" s="1"/>
  <c r="M12" i="59"/>
  <c r="O11" i="59"/>
  <c r="M11" i="59"/>
  <c r="O10" i="59"/>
  <c r="M10" i="59"/>
  <c r="O8" i="59"/>
  <c r="M8" i="59"/>
  <c r="M7" i="59"/>
  <c r="M6" i="59"/>
  <c r="D6" i="59"/>
  <c r="E6" i="59" s="1"/>
  <c r="F6" i="59" s="1"/>
  <c r="G6" i="59" s="1"/>
  <c r="H6" i="59" s="1"/>
  <c r="I6" i="59" s="1"/>
  <c r="J6" i="59" s="1"/>
  <c r="K6" i="59" s="1"/>
  <c r="L6" i="59" s="1"/>
  <c r="M5" i="59"/>
  <c r="D5" i="59"/>
  <c r="E5" i="59" s="1"/>
  <c r="F5" i="59" s="1"/>
  <c r="G5" i="59" s="1"/>
  <c r="H5" i="59" s="1"/>
  <c r="I5" i="59" s="1"/>
  <c r="J5" i="59" s="1"/>
  <c r="K5" i="59" s="1"/>
  <c r="L5" i="59" s="1"/>
  <c r="D4" i="59"/>
  <c r="E4" i="59" s="1"/>
  <c r="F4" i="59" s="1"/>
  <c r="G4" i="59" s="1"/>
  <c r="H4" i="59" s="1"/>
  <c r="I4" i="59" s="1"/>
  <c r="J4" i="59" s="1"/>
  <c r="K4" i="59" s="1"/>
  <c r="L4" i="59" s="1"/>
  <c r="M4" i="59" s="1"/>
  <c r="R3" i="59"/>
  <c r="R33" i="59" s="1"/>
  <c r="D3" i="59"/>
  <c r="E3" i="59" s="1"/>
  <c r="F3" i="59" s="1"/>
  <c r="G3" i="59" s="1"/>
  <c r="H3" i="59" s="1"/>
  <c r="I3" i="59" s="1"/>
  <c r="J3" i="59" s="1"/>
  <c r="K3" i="59" s="1"/>
  <c r="L3" i="59" s="1"/>
  <c r="M3" i="59" s="1"/>
  <c r="R2" i="59"/>
  <c r="O33" i="59" s="1"/>
  <c r="D2" i="59"/>
  <c r="E2" i="59" s="1"/>
  <c r="F2" i="59" s="1"/>
  <c r="G2" i="59" s="1"/>
  <c r="H2" i="59" s="1"/>
  <c r="I2" i="59" s="1"/>
  <c r="J2" i="59" s="1"/>
  <c r="K2" i="59" s="1"/>
  <c r="L2" i="59" s="1"/>
  <c r="M2" i="59" s="1"/>
  <c r="R2" i="58"/>
  <c r="O4" i="58"/>
  <c r="O15" i="58"/>
  <c r="H44" i="58"/>
  <c r="J43" i="58"/>
  <c r="H43" i="58"/>
  <c r="F43" i="58"/>
  <c r="B43" i="58"/>
  <c r="D43" i="58" s="1"/>
  <c r="Z34" i="58"/>
  <c r="Z35" i="58" s="1"/>
  <c r="Z36" i="58" s="1"/>
  <c r="Z37" i="58" s="1"/>
  <c r="Z38" i="58" s="1"/>
  <c r="Z39" i="58" s="1"/>
  <c r="Z40" i="58" s="1"/>
  <c r="Z41" i="58" s="1"/>
  <c r="Z42" i="58" s="1"/>
  <c r="Z43" i="58" s="1"/>
  <c r="N34" i="58"/>
  <c r="N35" i="58" s="1"/>
  <c r="N36" i="58" s="1"/>
  <c r="N37" i="58" s="1"/>
  <c r="N38" i="58" s="1"/>
  <c r="N39" i="58" s="1"/>
  <c r="N40" i="58" s="1"/>
  <c r="N41" i="58" s="1"/>
  <c r="N42" i="58" s="1"/>
  <c r="N43" i="58" s="1"/>
  <c r="N33" i="58"/>
  <c r="Z33" i="58" s="1"/>
  <c r="C27" i="58"/>
  <c r="J44" i="58" s="1"/>
  <c r="O19" i="58"/>
  <c r="M19" i="58"/>
  <c r="D19" i="58"/>
  <c r="E19" i="58" s="1"/>
  <c r="F19" i="58" s="1"/>
  <c r="G19" i="58" s="1"/>
  <c r="H19" i="58" s="1"/>
  <c r="I19" i="58" s="1"/>
  <c r="J19" i="58" s="1"/>
  <c r="K19" i="58" s="1"/>
  <c r="L19" i="58" s="1"/>
  <c r="O18" i="58"/>
  <c r="M18" i="58"/>
  <c r="D18" i="58"/>
  <c r="E18" i="58" s="1"/>
  <c r="F18" i="58" s="1"/>
  <c r="G18" i="58" s="1"/>
  <c r="H18" i="58" s="1"/>
  <c r="I18" i="58" s="1"/>
  <c r="J18" i="58" s="1"/>
  <c r="K18" i="58" s="1"/>
  <c r="L18" i="58" s="1"/>
  <c r="M17" i="58"/>
  <c r="H17" i="58"/>
  <c r="I17" i="58" s="1"/>
  <c r="J17" i="58" s="1"/>
  <c r="K17" i="58" s="1"/>
  <c r="L17" i="58" s="1"/>
  <c r="D17" i="58"/>
  <c r="E17" i="58" s="1"/>
  <c r="F17" i="58" s="1"/>
  <c r="G17" i="58" s="1"/>
  <c r="M16" i="58"/>
  <c r="D16" i="58"/>
  <c r="E16" i="58" s="1"/>
  <c r="F16" i="58" s="1"/>
  <c r="G16" i="58" s="1"/>
  <c r="H16" i="58" s="1"/>
  <c r="I16" i="58" s="1"/>
  <c r="J16" i="58" s="1"/>
  <c r="K16" i="58" s="1"/>
  <c r="L16" i="58" s="1"/>
  <c r="M15" i="58"/>
  <c r="D15" i="58"/>
  <c r="E15" i="58" s="1"/>
  <c r="F15" i="58" s="1"/>
  <c r="G15" i="58" s="1"/>
  <c r="H15" i="58" s="1"/>
  <c r="I15" i="58" s="1"/>
  <c r="J15" i="58" s="1"/>
  <c r="K15" i="58" s="1"/>
  <c r="L15" i="58" s="1"/>
  <c r="M14" i="58"/>
  <c r="D14" i="58"/>
  <c r="E14" i="58" s="1"/>
  <c r="F14" i="58" s="1"/>
  <c r="G14" i="58" s="1"/>
  <c r="H14" i="58" s="1"/>
  <c r="I14" i="58" s="1"/>
  <c r="J14" i="58" s="1"/>
  <c r="K14" i="58" s="1"/>
  <c r="L14" i="58" s="1"/>
  <c r="O13" i="58"/>
  <c r="M13" i="58"/>
  <c r="O12" i="58"/>
  <c r="P12" i="58" s="1"/>
  <c r="M12" i="58"/>
  <c r="O11" i="58"/>
  <c r="M11" i="58"/>
  <c r="O10" i="58"/>
  <c r="M10" i="58"/>
  <c r="O8" i="58"/>
  <c r="M8" i="58"/>
  <c r="M7" i="58"/>
  <c r="M6" i="58"/>
  <c r="D6" i="58"/>
  <c r="E6" i="58" s="1"/>
  <c r="F6" i="58" s="1"/>
  <c r="G6" i="58" s="1"/>
  <c r="H6" i="58" s="1"/>
  <c r="I6" i="58" s="1"/>
  <c r="J6" i="58" s="1"/>
  <c r="K6" i="58" s="1"/>
  <c r="L6" i="58" s="1"/>
  <c r="M5" i="58"/>
  <c r="D5" i="58"/>
  <c r="E5" i="58" s="1"/>
  <c r="F5" i="58" s="1"/>
  <c r="G5" i="58" s="1"/>
  <c r="H5" i="58" s="1"/>
  <c r="I5" i="58" s="1"/>
  <c r="J5" i="58" s="1"/>
  <c r="K5" i="58" s="1"/>
  <c r="L5" i="58" s="1"/>
  <c r="G4" i="58"/>
  <c r="H4" i="58" s="1"/>
  <c r="I4" i="58" s="1"/>
  <c r="J4" i="58" s="1"/>
  <c r="K4" i="58" s="1"/>
  <c r="L4" i="58" s="1"/>
  <c r="M4" i="58" s="1"/>
  <c r="F4" i="58"/>
  <c r="E4" i="58"/>
  <c r="D4" i="58"/>
  <c r="D3" i="58"/>
  <c r="E3" i="58" s="1"/>
  <c r="F3" i="58" s="1"/>
  <c r="G3" i="58" s="1"/>
  <c r="H3" i="58" s="1"/>
  <c r="I3" i="58" s="1"/>
  <c r="J3" i="58" s="1"/>
  <c r="K3" i="58" s="1"/>
  <c r="L3" i="58" s="1"/>
  <c r="M3" i="58" s="1"/>
  <c r="B28" i="58"/>
  <c r="E2" i="58"/>
  <c r="F2" i="58" s="1"/>
  <c r="G2" i="58" s="1"/>
  <c r="H2" i="58" s="1"/>
  <c r="I2" i="58" s="1"/>
  <c r="J2" i="58" s="1"/>
  <c r="K2" i="58" s="1"/>
  <c r="L2" i="58" s="1"/>
  <c r="M2" i="58" s="1"/>
  <c r="D2" i="58"/>
  <c r="O4" i="48"/>
  <c r="O5" i="57"/>
  <c r="R2" i="57"/>
  <c r="O33" i="57" s="1"/>
  <c r="J44" i="57"/>
  <c r="H44" i="57"/>
  <c r="B44" i="57"/>
  <c r="D44" i="57" s="1"/>
  <c r="J43" i="57"/>
  <c r="H43" i="57"/>
  <c r="F43" i="57"/>
  <c r="B43" i="57"/>
  <c r="D43" i="57" s="1"/>
  <c r="N39" i="57"/>
  <c r="N40" i="57" s="1"/>
  <c r="N41" i="57" s="1"/>
  <c r="N42" i="57" s="1"/>
  <c r="N43" i="57" s="1"/>
  <c r="Z38" i="57"/>
  <c r="Z39" i="57" s="1"/>
  <c r="Z40" i="57" s="1"/>
  <c r="Z41" i="57" s="1"/>
  <c r="Z42" i="57" s="1"/>
  <c r="Z43" i="57" s="1"/>
  <c r="N38" i="57"/>
  <c r="W36" i="57"/>
  <c r="W37" i="57" s="1"/>
  <c r="W38" i="57" s="1"/>
  <c r="W39" i="57" s="1"/>
  <c r="W40" i="57" s="1"/>
  <c r="W41" i="57" s="1"/>
  <c r="W42" i="57" s="1"/>
  <c r="W43" i="57" s="1"/>
  <c r="N36" i="57"/>
  <c r="N37" i="57" s="1"/>
  <c r="W35" i="57"/>
  <c r="Q35" i="57"/>
  <c r="Q36" i="57" s="1"/>
  <c r="Q37" i="57" s="1"/>
  <c r="Q38" i="57" s="1"/>
  <c r="Q39" i="57" s="1"/>
  <c r="Q40" i="57" s="1"/>
  <c r="Q41" i="57" s="1"/>
  <c r="Q42" i="57" s="1"/>
  <c r="Q43" i="57" s="1"/>
  <c r="N35" i="57"/>
  <c r="T34" i="57"/>
  <c r="T35" i="57" s="1"/>
  <c r="T36" i="57" s="1"/>
  <c r="T37" i="57" s="1"/>
  <c r="T38" i="57" s="1"/>
  <c r="T39" i="57" s="1"/>
  <c r="T40" i="57" s="1"/>
  <c r="T41" i="57" s="1"/>
  <c r="T42" i="57" s="1"/>
  <c r="T43" i="57" s="1"/>
  <c r="Q34" i="57"/>
  <c r="N34" i="57"/>
  <c r="W33" i="57"/>
  <c r="W34" i="57" s="1"/>
  <c r="T33" i="57"/>
  <c r="Q33" i="57"/>
  <c r="N33" i="57"/>
  <c r="Z33" i="57" s="1"/>
  <c r="Z34" i="57" s="1"/>
  <c r="Z35" i="57" s="1"/>
  <c r="Z36" i="57" s="1"/>
  <c r="Z37" i="57" s="1"/>
  <c r="C27" i="57"/>
  <c r="F44" i="57" s="1"/>
  <c r="O19" i="57"/>
  <c r="R6" i="57" s="1"/>
  <c r="M19" i="57"/>
  <c r="J19" i="57"/>
  <c r="K19" i="57" s="1"/>
  <c r="L19" i="57" s="1"/>
  <c r="E19" i="57"/>
  <c r="F19" i="57" s="1"/>
  <c r="G19" i="57" s="1"/>
  <c r="H19" i="57" s="1"/>
  <c r="I19" i="57" s="1"/>
  <c r="D19" i="57"/>
  <c r="O18" i="57"/>
  <c r="M18" i="57"/>
  <c r="D18" i="57"/>
  <c r="E18" i="57" s="1"/>
  <c r="F18" i="57" s="1"/>
  <c r="G18" i="57" s="1"/>
  <c r="H18" i="57" s="1"/>
  <c r="I18" i="57" s="1"/>
  <c r="J18" i="57" s="1"/>
  <c r="K18" i="57" s="1"/>
  <c r="L18" i="57" s="1"/>
  <c r="M17" i="57"/>
  <c r="D17" i="57"/>
  <c r="E17" i="57" s="1"/>
  <c r="F17" i="57" s="1"/>
  <c r="G17" i="57" s="1"/>
  <c r="H17" i="57" s="1"/>
  <c r="I17" i="57" s="1"/>
  <c r="J17" i="57" s="1"/>
  <c r="K17" i="57" s="1"/>
  <c r="L17" i="57" s="1"/>
  <c r="M16" i="57"/>
  <c r="G16" i="57"/>
  <c r="H16" i="57" s="1"/>
  <c r="I16" i="57" s="1"/>
  <c r="J16" i="57" s="1"/>
  <c r="K16" i="57" s="1"/>
  <c r="L16" i="57" s="1"/>
  <c r="F16" i="57"/>
  <c r="E16" i="57"/>
  <c r="D16" i="57"/>
  <c r="M15" i="57"/>
  <c r="D15" i="57"/>
  <c r="E15" i="57" s="1"/>
  <c r="F15" i="57" s="1"/>
  <c r="G15" i="57" s="1"/>
  <c r="H15" i="57" s="1"/>
  <c r="I15" i="57" s="1"/>
  <c r="J15" i="57" s="1"/>
  <c r="K15" i="57" s="1"/>
  <c r="L15" i="57" s="1"/>
  <c r="O14" i="57"/>
  <c r="R5" i="57" s="1"/>
  <c r="M14" i="57"/>
  <c r="D14" i="57"/>
  <c r="E14" i="57" s="1"/>
  <c r="F14" i="57" s="1"/>
  <c r="G14" i="57" s="1"/>
  <c r="H14" i="57" s="1"/>
  <c r="I14" i="57" s="1"/>
  <c r="J14" i="57" s="1"/>
  <c r="K14" i="57" s="1"/>
  <c r="L14" i="57" s="1"/>
  <c r="O13" i="57"/>
  <c r="M13" i="57"/>
  <c r="H13" i="57"/>
  <c r="O12" i="57"/>
  <c r="P12" i="57" s="1"/>
  <c r="Q11" i="57" s="1"/>
  <c r="R11" i="57" s="1"/>
  <c r="R4" i="57" s="1"/>
  <c r="M12" i="57"/>
  <c r="H12" i="57"/>
  <c r="O11" i="57"/>
  <c r="M11" i="57"/>
  <c r="H11" i="57"/>
  <c r="O10" i="57"/>
  <c r="M10" i="57"/>
  <c r="H10" i="57"/>
  <c r="O8" i="57"/>
  <c r="M8" i="57"/>
  <c r="H8" i="57"/>
  <c r="M7" i="57"/>
  <c r="H7" i="57"/>
  <c r="M6" i="57"/>
  <c r="D6" i="57"/>
  <c r="E6" i="57" s="1"/>
  <c r="F6" i="57" s="1"/>
  <c r="G6" i="57" s="1"/>
  <c r="H6" i="57" s="1"/>
  <c r="I6" i="57" s="1"/>
  <c r="J6" i="57" s="1"/>
  <c r="K6" i="57" s="1"/>
  <c r="L6" i="57" s="1"/>
  <c r="M5" i="57"/>
  <c r="D5" i="57"/>
  <c r="E5" i="57" s="1"/>
  <c r="F5" i="57" s="1"/>
  <c r="G5" i="57" s="1"/>
  <c r="H5" i="57" s="1"/>
  <c r="I5" i="57" s="1"/>
  <c r="J5" i="57" s="1"/>
  <c r="K5" i="57" s="1"/>
  <c r="L5" i="57" s="1"/>
  <c r="M4" i="57"/>
  <c r="D4" i="57"/>
  <c r="E4" i="57" s="1"/>
  <c r="F4" i="57" s="1"/>
  <c r="G4" i="57" s="1"/>
  <c r="H4" i="57" s="1"/>
  <c r="I4" i="57" s="1"/>
  <c r="J4" i="57" s="1"/>
  <c r="K4" i="57" s="1"/>
  <c r="L4" i="57" s="1"/>
  <c r="M3" i="57"/>
  <c r="D3" i="57"/>
  <c r="E3" i="57" s="1"/>
  <c r="F3" i="57" s="1"/>
  <c r="G3" i="57" s="1"/>
  <c r="H3" i="57" s="1"/>
  <c r="I3" i="57" s="1"/>
  <c r="J3" i="57" s="1"/>
  <c r="K3" i="57" s="1"/>
  <c r="L3" i="57" s="1"/>
  <c r="M2" i="57"/>
  <c r="D2" i="57"/>
  <c r="E2" i="57" s="1"/>
  <c r="F2" i="57" s="1"/>
  <c r="G2" i="57" s="1"/>
  <c r="H2" i="57" s="1"/>
  <c r="I2" i="57" s="1"/>
  <c r="J2" i="57" s="1"/>
  <c r="K2" i="57" s="1"/>
  <c r="L2" i="57" s="1"/>
  <c r="R2" i="55"/>
  <c r="O16" i="56"/>
  <c r="J43" i="56"/>
  <c r="H43" i="56"/>
  <c r="F43" i="56"/>
  <c r="B43" i="56"/>
  <c r="D43" i="56" s="1"/>
  <c r="Z34" i="56"/>
  <c r="Z35" i="56" s="1"/>
  <c r="Z36" i="56" s="1"/>
  <c r="Z37" i="56" s="1"/>
  <c r="Z38" i="56" s="1"/>
  <c r="Z39" i="56" s="1"/>
  <c r="Z40" i="56" s="1"/>
  <c r="Z41" i="56" s="1"/>
  <c r="Z42" i="56" s="1"/>
  <c r="Z43" i="56" s="1"/>
  <c r="N33" i="56"/>
  <c r="Z33" i="56" s="1"/>
  <c r="C27" i="56"/>
  <c r="J44" i="56" s="1"/>
  <c r="O19" i="56"/>
  <c r="M19" i="56"/>
  <c r="D19" i="56"/>
  <c r="E19" i="56" s="1"/>
  <c r="F19" i="56" s="1"/>
  <c r="G19" i="56" s="1"/>
  <c r="H19" i="56" s="1"/>
  <c r="I19" i="56" s="1"/>
  <c r="J19" i="56" s="1"/>
  <c r="K19" i="56" s="1"/>
  <c r="L19" i="56" s="1"/>
  <c r="O18" i="56"/>
  <c r="M18" i="56"/>
  <c r="D18" i="56"/>
  <c r="E18" i="56" s="1"/>
  <c r="F18" i="56" s="1"/>
  <c r="G18" i="56" s="1"/>
  <c r="H18" i="56" s="1"/>
  <c r="I18" i="56" s="1"/>
  <c r="J18" i="56" s="1"/>
  <c r="K18" i="56" s="1"/>
  <c r="L18" i="56" s="1"/>
  <c r="M17" i="56"/>
  <c r="D17" i="56"/>
  <c r="E17" i="56" s="1"/>
  <c r="F17" i="56" s="1"/>
  <c r="G17" i="56" s="1"/>
  <c r="H17" i="56" s="1"/>
  <c r="I17" i="56" s="1"/>
  <c r="J17" i="56" s="1"/>
  <c r="K17" i="56" s="1"/>
  <c r="L17" i="56" s="1"/>
  <c r="M16" i="56"/>
  <c r="F16" i="56"/>
  <c r="G16" i="56" s="1"/>
  <c r="H16" i="56" s="1"/>
  <c r="I16" i="56" s="1"/>
  <c r="J16" i="56" s="1"/>
  <c r="K16" i="56" s="1"/>
  <c r="L16" i="56" s="1"/>
  <c r="E16" i="56"/>
  <c r="D16" i="56"/>
  <c r="M15" i="56"/>
  <c r="D15" i="56"/>
  <c r="E15" i="56" s="1"/>
  <c r="F15" i="56" s="1"/>
  <c r="G15" i="56" s="1"/>
  <c r="H15" i="56" s="1"/>
  <c r="I15" i="56" s="1"/>
  <c r="J15" i="56" s="1"/>
  <c r="K15" i="56" s="1"/>
  <c r="L15" i="56" s="1"/>
  <c r="M14" i="56"/>
  <c r="D14" i="56"/>
  <c r="E14" i="56" s="1"/>
  <c r="F14" i="56" s="1"/>
  <c r="G14" i="56" s="1"/>
  <c r="H14" i="56" s="1"/>
  <c r="I14" i="56" s="1"/>
  <c r="J14" i="56" s="1"/>
  <c r="K14" i="56" s="1"/>
  <c r="L14" i="56" s="1"/>
  <c r="O13" i="56"/>
  <c r="M13" i="56"/>
  <c r="H13" i="56"/>
  <c r="O12" i="56"/>
  <c r="P12" i="56" s="1"/>
  <c r="M12" i="56"/>
  <c r="H12" i="56"/>
  <c r="O11" i="56"/>
  <c r="M11" i="56"/>
  <c r="H11" i="56"/>
  <c r="O10" i="56"/>
  <c r="M10" i="56"/>
  <c r="H10" i="56"/>
  <c r="O8" i="56"/>
  <c r="M8" i="56"/>
  <c r="H8" i="56"/>
  <c r="M7" i="56"/>
  <c r="H7" i="56"/>
  <c r="M6" i="56"/>
  <c r="D6" i="56"/>
  <c r="E6" i="56" s="1"/>
  <c r="F6" i="56" s="1"/>
  <c r="G6" i="56" s="1"/>
  <c r="H6" i="56" s="1"/>
  <c r="I6" i="56" s="1"/>
  <c r="J6" i="56" s="1"/>
  <c r="K6" i="56" s="1"/>
  <c r="L6" i="56" s="1"/>
  <c r="O5" i="56"/>
  <c r="M5" i="56"/>
  <c r="D5" i="56"/>
  <c r="E5" i="56" s="1"/>
  <c r="F5" i="56" s="1"/>
  <c r="G5" i="56" s="1"/>
  <c r="H5" i="56" s="1"/>
  <c r="I5" i="56" s="1"/>
  <c r="J5" i="56" s="1"/>
  <c r="K5" i="56" s="1"/>
  <c r="L5" i="56" s="1"/>
  <c r="O4" i="56"/>
  <c r="K4" i="56"/>
  <c r="L4" i="56" s="1"/>
  <c r="M4" i="56" s="1"/>
  <c r="E4" i="56"/>
  <c r="F4" i="56" s="1"/>
  <c r="G4" i="56" s="1"/>
  <c r="H4" i="56" s="1"/>
  <c r="I4" i="56" s="1"/>
  <c r="J4" i="56" s="1"/>
  <c r="D4" i="56"/>
  <c r="D3" i="56"/>
  <c r="E3" i="56" s="1"/>
  <c r="F3" i="56" s="1"/>
  <c r="G3" i="56" s="1"/>
  <c r="H3" i="56" s="1"/>
  <c r="I3" i="56" s="1"/>
  <c r="J3" i="56" s="1"/>
  <c r="K3" i="56" s="1"/>
  <c r="L3" i="56" s="1"/>
  <c r="M3" i="56" s="1"/>
  <c r="R2" i="56"/>
  <c r="D2" i="56"/>
  <c r="E2" i="56" s="1"/>
  <c r="F2" i="56" s="1"/>
  <c r="G2" i="56" s="1"/>
  <c r="H2" i="56" s="1"/>
  <c r="I2" i="56" s="1"/>
  <c r="J2" i="56" s="1"/>
  <c r="K2" i="56" s="1"/>
  <c r="L2" i="56" s="1"/>
  <c r="M2" i="56" s="1"/>
  <c r="J43" i="55"/>
  <c r="H43" i="55"/>
  <c r="F43" i="55"/>
  <c r="B43" i="55"/>
  <c r="D43" i="55" s="1"/>
  <c r="N33" i="55"/>
  <c r="W33" i="55" s="1"/>
  <c r="W34" i="55" s="1"/>
  <c r="W35" i="55" s="1"/>
  <c r="W36" i="55" s="1"/>
  <c r="W37" i="55" s="1"/>
  <c r="W38" i="55" s="1"/>
  <c r="W39" i="55" s="1"/>
  <c r="W40" i="55" s="1"/>
  <c r="W41" i="55" s="1"/>
  <c r="W42" i="55" s="1"/>
  <c r="W43" i="55" s="1"/>
  <c r="C27" i="55"/>
  <c r="J44" i="55" s="1"/>
  <c r="O19" i="55"/>
  <c r="M19" i="55"/>
  <c r="D19" i="55"/>
  <c r="E19" i="55" s="1"/>
  <c r="F19" i="55" s="1"/>
  <c r="G19" i="55" s="1"/>
  <c r="H19" i="55" s="1"/>
  <c r="I19" i="55" s="1"/>
  <c r="J19" i="55" s="1"/>
  <c r="K19" i="55" s="1"/>
  <c r="L19" i="55" s="1"/>
  <c r="O18" i="55"/>
  <c r="R6" i="55" s="1"/>
  <c r="M18" i="55"/>
  <c r="D18" i="55"/>
  <c r="E18" i="55" s="1"/>
  <c r="F18" i="55" s="1"/>
  <c r="G18" i="55" s="1"/>
  <c r="H18" i="55" s="1"/>
  <c r="I18" i="55" s="1"/>
  <c r="J18" i="55" s="1"/>
  <c r="K18" i="55" s="1"/>
  <c r="L18" i="55" s="1"/>
  <c r="M17" i="55"/>
  <c r="D17" i="55"/>
  <c r="E17" i="55" s="1"/>
  <c r="F17" i="55" s="1"/>
  <c r="G17" i="55" s="1"/>
  <c r="H17" i="55" s="1"/>
  <c r="I17" i="55" s="1"/>
  <c r="J17" i="55" s="1"/>
  <c r="K17" i="55" s="1"/>
  <c r="L17" i="55" s="1"/>
  <c r="M16" i="55"/>
  <c r="D16" i="55"/>
  <c r="E16" i="55" s="1"/>
  <c r="F16" i="55" s="1"/>
  <c r="G16" i="55" s="1"/>
  <c r="H16" i="55" s="1"/>
  <c r="I16" i="55" s="1"/>
  <c r="J16" i="55" s="1"/>
  <c r="K16" i="55" s="1"/>
  <c r="L16" i="55" s="1"/>
  <c r="M15" i="55"/>
  <c r="D15" i="55"/>
  <c r="E15" i="55" s="1"/>
  <c r="F15" i="55" s="1"/>
  <c r="G15" i="55" s="1"/>
  <c r="H15" i="55" s="1"/>
  <c r="I15" i="55" s="1"/>
  <c r="J15" i="55" s="1"/>
  <c r="K15" i="55" s="1"/>
  <c r="L15" i="55" s="1"/>
  <c r="O14" i="55"/>
  <c r="M14" i="55"/>
  <c r="D14" i="55"/>
  <c r="E14" i="55" s="1"/>
  <c r="F14" i="55" s="1"/>
  <c r="G14" i="55" s="1"/>
  <c r="H14" i="55" s="1"/>
  <c r="I14" i="55" s="1"/>
  <c r="J14" i="55" s="1"/>
  <c r="K14" i="55" s="1"/>
  <c r="L14" i="55" s="1"/>
  <c r="O13" i="55"/>
  <c r="M13" i="55"/>
  <c r="H13" i="55"/>
  <c r="O12" i="55"/>
  <c r="P12" i="55" s="1"/>
  <c r="M12" i="55"/>
  <c r="H12" i="55"/>
  <c r="O11" i="55"/>
  <c r="M11" i="55"/>
  <c r="H11" i="55"/>
  <c r="O10" i="55"/>
  <c r="M10" i="55"/>
  <c r="H10" i="55"/>
  <c r="O8" i="55"/>
  <c r="M8" i="55"/>
  <c r="H8" i="55"/>
  <c r="M7" i="55"/>
  <c r="H7" i="55"/>
  <c r="M6" i="55"/>
  <c r="D6" i="55"/>
  <c r="E6" i="55" s="1"/>
  <c r="F6" i="55" s="1"/>
  <c r="G6" i="55" s="1"/>
  <c r="H6" i="55" s="1"/>
  <c r="I6" i="55" s="1"/>
  <c r="J6" i="55" s="1"/>
  <c r="K6" i="55" s="1"/>
  <c r="L6" i="55" s="1"/>
  <c r="M5" i="55"/>
  <c r="D5" i="55"/>
  <c r="E5" i="55" s="1"/>
  <c r="F5" i="55" s="1"/>
  <c r="G5" i="55" s="1"/>
  <c r="H5" i="55" s="1"/>
  <c r="I5" i="55" s="1"/>
  <c r="J5" i="55" s="1"/>
  <c r="K5" i="55" s="1"/>
  <c r="L5" i="55" s="1"/>
  <c r="M4" i="55"/>
  <c r="D4" i="55"/>
  <c r="E4" i="55" s="1"/>
  <c r="F4" i="55" s="1"/>
  <c r="G4" i="55" s="1"/>
  <c r="H4" i="55" s="1"/>
  <c r="I4" i="55" s="1"/>
  <c r="J4" i="55" s="1"/>
  <c r="K4" i="55" s="1"/>
  <c r="L4" i="55" s="1"/>
  <c r="M3" i="55"/>
  <c r="D3" i="55"/>
  <c r="E3" i="55" s="1"/>
  <c r="F3" i="55" s="1"/>
  <c r="G3" i="55" s="1"/>
  <c r="H3" i="55" s="1"/>
  <c r="I3" i="55" s="1"/>
  <c r="J3" i="55" s="1"/>
  <c r="K3" i="55" s="1"/>
  <c r="L3" i="55" s="1"/>
  <c r="B28" i="55"/>
  <c r="M2" i="55"/>
  <c r="D2" i="55"/>
  <c r="E2" i="55" s="1"/>
  <c r="F2" i="55" s="1"/>
  <c r="G2" i="55" s="1"/>
  <c r="H2" i="55" s="1"/>
  <c r="I2" i="55" s="1"/>
  <c r="J2" i="55" s="1"/>
  <c r="K2" i="55" s="1"/>
  <c r="L2" i="55" s="1"/>
  <c r="X39" i="63" l="1"/>
  <c r="AA10" i="63"/>
  <c r="Q11" i="59"/>
  <c r="R11" i="59" s="1"/>
  <c r="R4" i="59" s="1"/>
  <c r="S34" i="59"/>
  <c r="S35" i="59" s="1"/>
  <c r="S36" i="59" s="1"/>
  <c r="S37" i="59" s="1"/>
  <c r="S38" i="59" s="1"/>
  <c r="S39" i="59" s="1"/>
  <c r="S40" i="59" s="1"/>
  <c r="S41" i="59" s="1"/>
  <c r="S42" i="59" s="1"/>
  <c r="S43" i="59" s="1"/>
  <c r="R34" i="59"/>
  <c r="R35" i="59" s="1"/>
  <c r="R36" i="59" s="1"/>
  <c r="R37" i="59" s="1"/>
  <c r="R38" i="59" s="1"/>
  <c r="R39" i="59" s="1"/>
  <c r="R40" i="59" s="1"/>
  <c r="R41" i="59" s="1"/>
  <c r="R42" i="59" s="1"/>
  <c r="R43" i="59" s="1"/>
  <c r="S33" i="59"/>
  <c r="B30" i="59"/>
  <c r="U33" i="59"/>
  <c r="X34" i="59"/>
  <c r="X35" i="59" s="1"/>
  <c r="X36" i="59" s="1"/>
  <c r="X37" i="59" s="1"/>
  <c r="X38" i="59" s="1"/>
  <c r="X39" i="59" s="1"/>
  <c r="X40" i="59" s="1"/>
  <c r="X41" i="59" s="1"/>
  <c r="X42" i="59" s="1"/>
  <c r="X43" i="59" s="1"/>
  <c r="Y33" i="59"/>
  <c r="Y34" i="59"/>
  <c r="Y35" i="59" s="1"/>
  <c r="Y36" i="59" s="1"/>
  <c r="Y37" i="59" s="1"/>
  <c r="Y38" i="59" s="1"/>
  <c r="Y39" i="59" s="1"/>
  <c r="Y40" i="59" s="1"/>
  <c r="Y41" i="59" s="1"/>
  <c r="Y42" i="59" s="1"/>
  <c r="Y43" i="59" s="1"/>
  <c r="AA33" i="59"/>
  <c r="B32" i="59"/>
  <c r="P34" i="59"/>
  <c r="P35" i="59" s="1"/>
  <c r="P36" i="59" s="1"/>
  <c r="P37" i="59" s="1"/>
  <c r="P38" i="59" s="1"/>
  <c r="P39" i="59" s="1"/>
  <c r="P40" i="59" s="1"/>
  <c r="P41" i="59" s="1"/>
  <c r="P42" i="59" s="1"/>
  <c r="P43" i="59" s="1"/>
  <c r="O34" i="59"/>
  <c r="O35" i="59" s="1"/>
  <c r="O36" i="59" s="1"/>
  <c r="O37" i="59" s="1"/>
  <c r="O38" i="59" s="1"/>
  <c r="O39" i="59" s="1"/>
  <c r="O40" i="59" s="1"/>
  <c r="O41" i="59" s="1"/>
  <c r="O42" i="59" s="1"/>
  <c r="O43" i="59" s="1"/>
  <c r="P33" i="59"/>
  <c r="B31" i="59"/>
  <c r="B29" i="59"/>
  <c r="D27" i="59"/>
  <c r="B44" i="59"/>
  <c r="D44" i="59" s="1"/>
  <c r="B28" i="59"/>
  <c r="Q33" i="58"/>
  <c r="Q34" i="58" s="1"/>
  <c r="Q35" i="58" s="1"/>
  <c r="Q36" i="58" s="1"/>
  <c r="Q37" i="58" s="1"/>
  <c r="Q38" i="58" s="1"/>
  <c r="Q39" i="58" s="1"/>
  <c r="Q40" i="58" s="1"/>
  <c r="Q41" i="58" s="1"/>
  <c r="Q42" i="58" s="1"/>
  <c r="Q43" i="58" s="1"/>
  <c r="T33" i="58"/>
  <c r="T34" i="58" s="1"/>
  <c r="T35" i="58" s="1"/>
  <c r="T36" i="58" s="1"/>
  <c r="T37" i="58" s="1"/>
  <c r="T38" i="58" s="1"/>
  <c r="T39" i="58" s="1"/>
  <c r="T40" i="58" s="1"/>
  <c r="T41" i="58" s="1"/>
  <c r="T42" i="58" s="1"/>
  <c r="T43" i="58" s="1"/>
  <c r="W33" i="58"/>
  <c r="W34" i="58" s="1"/>
  <c r="W35" i="58" s="1"/>
  <c r="W36" i="58" s="1"/>
  <c r="W37" i="58" s="1"/>
  <c r="W38" i="58" s="1"/>
  <c r="W39" i="58" s="1"/>
  <c r="W40" i="58" s="1"/>
  <c r="W41" i="58" s="1"/>
  <c r="W42" i="58" s="1"/>
  <c r="W43" i="58" s="1"/>
  <c r="Q11" i="58"/>
  <c r="R11" i="58" s="1"/>
  <c r="R4" i="58" s="1"/>
  <c r="B30" i="58" s="1"/>
  <c r="O33" i="58"/>
  <c r="R3" i="58"/>
  <c r="F44" i="58"/>
  <c r="B44" i="58"/>
  <c r="D44" i="58" s="1"/>
  <c r="D27" i="58"/>
  <c r="C28" i="58"/>
  <c r="C43" i="58"/>
  <c r="R5" i="58"/>
  <c r="R6" i="58"/>
  <c r="R3" i="57"/>
  <c r="B29" i="57" s="1"/>
  <c r="E43" i="57" s="1"/>
  <c r="P33" i="57"/>
  <c r="P34" i="57"/>
  <c r="P35" i="57" s="1"/>
  <c r="P36" i="57" s="1"/>
  <c r="P37" i="57" s="1"/>
  <c r="P38" i="57" s="1"/>
  <c r="P39" i="57" s="1"/>
  <c r="P40" i="57" s="1"/>
  <c r="P41" i="57" s="1"/>
  <c r="P42" i="57" s="1"/>
  <c r="P43" i="57" s="1"/>
  <c r="O34" i="57"/>
  <c r="O35" i="57" s="1"/>
  <c r="O36" i="57" s="1"/>
  <c r="O37" i="57" s="1"/>
  <c r="O38" i="57" s="1"/>
  <c r="O39" i="57" s="1"/>
  <c r="O40" i="57" s="1"/>
  <c r="O41" i="57" s="1"/>
  <c r="O42" i="57" s="1"/>
  <c r="O43" i="57" s="1"/>
  <c r="U33" i="57"/>
  <c r="B30" i="57"/>
  <c r="AA33" i="57"/>
  <c r="B32" i="57"/>
  <c r="X33" i="57"/>
  <c r="B31" i="57"/>
  <c r="D27" i="57"/>
  <c r="B28" i="57"/>
  <c r="Q33" i="56"/>
  <c r="Q34" i="56" s="1"/>
  <c r="Q35" i="56" s="1"/>
  <c r="Q36" i="56" s="1"/>
  <c r="Q37" i="56" s="1"/>
  <c r="Q38" i="56" s="1"/>
  <c r="Q39" i="56" s="1"/>
  <c r="Q40" i="56" s="1"/>
  <c r="Q41" i="56" s="1"/>
  <c r="Q42" i="56" s="1"/>
  <c r="Q43" i="56" s="1"/>
  <c r="T33" i="56"/>
  <c r="T34" i="56" s="1"/>
  <c r="T35" i="56" s="1"/>
  <c r="T36" i="56" s="1"/>
  <c r="T37" i="56" s="1"/>
  <c r="T38" i="56" s="1"/>
  <c r="T39" i="56" s="1"/>
  <c r="T40" i="56" s="1"/>
  <c r="T41" i="56" s="1"/>
  <c r="T42" i="56" s="1"/>
  <c r="T43" i="56" s="1"/>
  <c r="W33" i="56"/>
  <c r="W34" i="56" s="1"/>
  <c r="W35" i="56" s="1"/>
  <c r="W36" i="56" s="1"/>
  <c r="W37" i="56" s="1"/>
  <c r="W38" i="56" s="1"/>
  <c r="W39" i="56" s="1"/>
  <c r="W40" i="56" s="1"/>
  <c r="W41" i="56" s="1"/>
  <c r="W42" i="56" s="1"/>
  <c r="W43" i="56" s="1"/>
  <c r="N34" i="56"/>
  <c r="N35" i="56" s="1"/>
  <c r="N36" i="56" s="1"/>
  <c r="N37" i="56" s="1"/>
  <c r="N38" i="56" s="1"/>
  <c r="N39" i="56" s="1"/>
  <c r="N40" i="56" s="1"/>
  <c r="N41" i="56" s="1"/>
  <c r="N42" i="56" s="1"/>
  <c r="N43" i="56" s="1"/>
  <c r="R5" i="56"/>
  <c r="X33" i="56" s="1"/>
  <c r="Y34" i="56" s="1"/>
  <c r="Y35" i="56" s="1"/>
  <c r="Y36" i="56" s="1"/>
  <c r="Y37" i="56" s="1"/>
  <c r="Y38" i="56" s="1"/>
  <c r="Y39" i="56" s="1"/>
  <c r="Y40" i="56" s="1"/>
  <c r="Y41" i="56" s="1"/>
  <c r="Y42" i="56" s="1"/>
  <c r="Y43" i="56" s="1"/>
  <c r="R6" i="56"/>
  <c r="AA33" i="56" s="1"/>
  <c r="Q11" i="56"/>
  <c r="R11" i="56" s="1"/>
  <c r="R4" i="56" s="1"/>
  <c r="B30" i="56" s="1"/>
  <c r="R3" i="56"/>
  <c r="B32" i="56"/>
  <c r="H44" i="56"/>
  <c r="O33" i="56"/>
  <c r="B28" i="56"/>
  <c r="F44" i="56"/>
  <c r="B44" i="56"/>
  <c r="D44" i="56" s="1"/>
  <c r="D27" i="56"/>
  <c r="Q11" i="55"/>
  <c r="R11" i="55" s="1"/>
  <c r="R4" i="55" s="1"/>
  <c r="R3" i="55"/>
  <c r="R33" i="55" s="1"/>
  <c r="O33" i="55"/>
  <c r="P33" i="55" s="1"/>
  <c r="R5" i="55"/>
  <c r="AA33" i="55"/>
  <c r="B32" i="55"/>
  <c r="C43" i="55"/>
  <c r="C28" i="55"/>
  <c r="B30" i="55"/>
  <c r="U33" i="55"/>
  <c r="D27" i="55"/>
  <c r="Z33" i="55"/>
  <c r="Z34" i="55" s="1"/>
  <c r="Z35" i="55" s="1"/>
  <c r="Z36" i="55" s="1"/>
  <c r="Z37" i="55" s="1"/>
  <c r="Z38" i="55" s="1"/>
  <c r="Z39" i="55" s="1"/>
  <c r="Z40" i="55" s="1"/>
  <c r="Z41" i="55" s="1"/>
  <c r="Z42" i="55" s="1"/>
  <c r="Z43" i="55" s="1"/>
  <c r="F44" i="55"/>
  <c r="B44" i="55"/>
  <c r="D44" i="55" s="1"/>
  <c r="H44" i="55"/>
  <c r="Q33" i="55"/>
  <c r="Q34" i="55" s="1"/>
  <c r="Q35" i="55" s="1"/>
  <c r="Q36" i="55" s="1"/>
  <c r="Q37" i="55" s="1"/>
  <c r="Q38" i="55" s="1"/>
  <c r="Q39" i="55" s="1"/>
  <c r="Q40" i="55" s="1"/>
  <c r="Q41" i="55" s="1"/>
  <c r="Q42" i="55" s="1"/>
  <c r="Q43" i="55" s="1"/>
  <c r="N34" i="55"/>
  <c r="N35" i="55" s="1"/>
  <c r="N36" i="55" s="1"/>
  <c r="N37" i="55" s="1"/>
  <c r="N38" i="55" s="1"/>
  <c r="N39" i="55" s="1"/>
  <c r="N40" i="55" s="1"/>
  <c r="N41" i="55" s="1"/>
  <c r="N42" i="55" s="1"/>
  <c r="N43" i="55" s="1"/>
  <c r="T33" i="55"/>
  <c r="T34" i="55" s="1"/>
  <c r="T35" i="55" s="1"/>
  <c r="T36" i="55" s="1"/>
  <c r="T37" i="55" s="1"/>
  <c r="T38" i="55" s="1"/>
  <c r="T39" i="55" s="1"/>
  <c r="T40" i="55" s="1"/>
  <c r="T41" i="55" s="1"/>
  <c r="T42" i="55" s="1"/>
  <c r="T43" i="55" s="1"/>
  <c r="X40" i="63" l="1"/>
  <c r="AB10" i="63"/>
  <c r="C32" i="59"/>
  <c r="K43" i="59"/>
  <c r="AB34" i="59"/>
  <c r="AB35" i="59" s="1"/>
  <c r="AB36" i="59" s="1"/>
  <c r="AB37" i="59" s="1"/>
  <c r="AB38" i="59" s="1"/>
  <c r="AB39" i="59" s="1"/>
  <c r="AB40" i="59" s="1"/>
  <c r="AB41" i="59" s="1"/>
  <c r="AB42" i="59" s="1"/>
  <c r="AB43" i="59" s="1"/>
  <c r="AA34" i="59"/>
  <c r="AA35" i="59" s="1"/>
  <c r="AA36" i="59" s="1"/>
  <c r="AA37" i="59" s="1"/>
  <c r="AA38" i="59" s="1"/>
  <c r="AA39" i="59" s="1"/>
  <c r="AA40" i="59" s="1"/>
  <c r="AA41" i="59" s="1"/>
  <c r="AA42" i="59" s="1"/>
  <c r="AA43" i="59" s="1"/>
  <c r="AB33" i="59"/>
  <c r="A37" i="59"/>
  <c r="C28" i="59"/>
  <c r="C43" i="59"/>
  <c r="H45" i="59"/>
  <c r="E27" i="59"/>
  <c r="D45" i="59"/>
  <c r="B45" i="59"/>
  <c r="J45" i="59"/>
  <c r="F45" i="59"/>
  <c r="V34" i="59"/>
  <c r="V35" i="59" s="1"/>
  <c r="V36" i="59" s="1"/>
  <c r="V37" i="59" s="1"/>
  <c r="V38" i="59" s="1"/>
  <c r="V39" i="59" s="1"/>
  <c r="V40" i="59" s="1"/>
  <c r="V41" i="59" s="1"/>
  <c r="V42" i="59" s="1"/>
  <c r="V43" i="59" s="1"/>
  <c r="U34" i="59"/>
  <c r="U35" i="59" s="1"/>
  <c r="U36" i="59" s="1"/>
  <c r="U37" i="59" s="1"/>
  <c r="U38" i="59" s="1"/>
  <c r="U39" i="59" s="1"/>
  <c r="U40" i="59" s="1"/>
  <c r="U41" i="59" s="1"/>
  <c r="U42" i="59" s="1"/>
  <c r="U43" i="59" s="1"/>
  <c r="V33" i="59"/>
  <c r="E43" i="59"/>
  <c r="C29" i="59"/>
  <c r="G43" i="59"/>
  <c r="C30" i="59"/>
  <c r="E54" i="59"/>
  <c r="C31" i="59"/>
  <c r="I43" i="59"/>
  <c r="U33" i="58"/>
  <c r="V34" i="58" s="1"/>
  <c r="V35" i="58" s="1"/>
  <c r="V36" i="58" s="1"/>
  <c r="V37" i="58" s="1"/>
  <c r="V38" i="58" s="1"/>
  <c r="V39" i="58" s="1"/>
  <c r="V40" i="58" s="1"/>
  <c r="V41" i="58" s="1"/>
  <c r="V42" i="58" s="1"/>
  <c r="V43" i="58" s="1"/>
  <c r="P33" i="58"/>
  <c r="P34" i="58"/>
  <c r="P35" i="58" s="1"/>
  <c r="P36" i="58" s="1"/>
  <c r="P37" i="58" s="1"/>
  <c r="P38" i="58" s="1"/>
  <c r="P39" i="58" s="1"/>
  <c r="P40" i="58" s="1"/>
  <c r="P41" i="58" s="1"/>
  <c r="P42" i="58" s="1"/>
  <c r="P43" i="58" s="1"/>
  <c r="O34" i="58"/>
  <c r="O35" i="58" s="1"/>
  <c r="O36" i="58" s="1"/>
  <c r="O37" i="58" s="1"/>
  <c r="O38" i="58" s="1"/>
  <c r="O39" i="58" s="1"/>
  <c r="O40" i="58" s="1"/>
  <c r="O41" i="58" s="1"/>
  <c r="O42" i="58" s="1"/>
  <c r="O43" i="58" s="1"/>
  <c r="C29" i="57"/>
  <c r="E44" i="57" s="1"/>
  <c r="T4" i="57"/>
  <c r="B29" i="58"/>
  <c r="R33" i="58"/>
  <c r="D28" i="58"/>
  <c r="C44" i="58"/>
  <c r="H45" i="58"/>
  <c r="F45" i="58"/>
  <c r="E27" i="58"/>
  <c r="J45" i="58"/>
  <c r="D45" i="58"/>
  <c r="B45" i="58"/>
  <c r="G43" i="58"/>
  <c r="C30" i="58"/>
  <c r="X33" i="58"/>
  <c r="B31" i="58"/>
  <c r="U34" i="58"/>
  <c r="U35" i="58" s="1"/>
  <c r="U36" i="58" s="1"/>
  <c r="U37" i="58" s="1"/>
  <c r="U38" i="58" s="1"/>
  <c r="U39" i="58" s="1"/>
  <c r="U40" i="58" s="1"/>
  <c r="U41" i="58" s="1"/>
  <c r="U42" i="58" s="1"/>
  <c r="U43" i="58" s="1"/>
  <c r="V33" i="58"/>
  <c r="T4" i="58"/>
  <c r="E55" i="58" s="1"/>
  <c r="AA33" i="58"/>
  <c r="B32" i="58"/>
  <c r="R33" i="57"/>
  <c r="S34" i="57" s="1"/>
  <c r="S35" i="57" s="1"/>
  <c r="S36" i="57" s="1"/>
  <c r="S37" i="57" s="1"/>
  <c r="S38" i="57" s="1"/>
  <c r="S39" i="57" s="1"/>
  <c r="S40" i="57" s="1"/>
  <c r="S41" i="57" s="1"/>
  <c r="S42" i="57" s="1"/>
  <c r="S43" i="57" s="1"/>
  <c r="A37" i="57"/>
  <c r="C28" i="57"/>
  <c r="C43" i="57"/>
  <c r="H45" i="57"/>
  <c r="F45" i="57"/>
  <c r="J45" i="57"/>
  <c r="D45" i="57"/>
  <c r="E27" i="57"/>
  <c r="B45" i="57"/>
  <c r="X34" i="57"/>
  <c r="X35" i="57" s="1"/>
  <c r="X36" i="57" s="1"/>
  <c r="X37" i="57" s="1"/>
  <c r="X38" i="57" s="1"/>
  <c r="X39" i="57" s="1"/>
  <c r="X40" i="57" s="1"/>
  <c r="X41" i="57" s="1"/>
  <c r="X42" i="57" s="1"/>
  <c r="X43" i="57" s="1"/>
  <c r="Y33" i="57"/>
  <c r="Y34" i="57"/>
  <c r="Y35" i="57" s="1"/>
  <c r="Y36" i="57" s="1"/>
  <c r="Y37" i="57" s="1"/>
  <c r="Y38" i="57" s="1"/>
  <c r="Y39" i="57" s="1"/>
  <c r="Y40" i="57" s="1"/>
  <c r="Y41" i="57" s="1"/>
  <c r="Y42" i="57" s="1"/>
  <c r="Y43" i="57" s="1"/>
  <c r="C32" i="57"/>
  <c r="K43" i="57"/>
  <c r="AB33" i="57"/>
  <c r="AB34" i="57"/>
  <c r="AB35" i="57" s="1"/>
  <c r="AB36" i="57" s="1"/>
  <c r="AB37" i="57" s="1"/>
  <c r="AB38" i="57" s="1"/>
  <c r="AB39" i="57" s="1"/>
  <c r="AB40" i="57" s="1"/>
  <c r="AB41" i="57" s="1"/>
  <c r="AB42" i="57" s="1"/>
  <c r="AB43" i="57" s="1"/>
  <c r="AA34" i="57"/>
  <c r="AA35" i="57" s="1"/>
  <c r="AA36" i="57" s="1"/>
  <c r="AA37" i="57" s="1"/>
  <c r="AA38" i="57" s="1"/>
  <c r="AA39" i="57" s="1"/>
  <c r="AA40" i="57" s="1"/>
  <c r="AA41" i="57" s="1"/>
  <c r="AA42" i="57" s="1"/>
  <c r="AA43" i="57" s="1"/>
  <c r="G43" i="57"/>
  <c r="C30" i="57"/>
  <c r="C31" i="57"/>
  <c r="I43" i="57"/>
  <c r="V34" i="57"/>
  <c r="V35" i="57" s="1"/>
  <c r="V36" i="57" s="1"/>
  <c r="V37" i="57" s="1"/>
  <c r="V38" i="57" s="1"/>
  <c r="V39" i="57" s="1"/>
  <c r="V40" i="57" s="1"/>
  <c r="V41" i="57" s="1"/>
  <c r="V42" i="57" s="1"/>
  <c r="V43" i="57" s="1"/>
  <c r="U34" i="57"/>
  <c r="U35" i="57" s="1"/>
  <c r="U36" i="57" s="1"/>
  <c r="U37" i="57" s="1"/>
  <c r="U38" i="57" s="1"/>
  <c r="U39" i="57" s="1"/>
  <c r="U40" i="57" s="1"/>
  <c r="U41" i="57" s="1"/>
  <c r="U42" i="57" s="1"/>
  <c r="U43" i="57" s="1"/>
  <c r="V33" i="57"/>
  <c r="Y33" i="56"/>
  <c r="X34" i="56"/>
  <c r="X35" i="56" s="1"/>
  <c r="X36" i="56" s="1"/>
  <c r="X37" i="56" s="1"/>
  <c r="X38" i="56" s="1"/>
  <c r="X39" i="56" s="1"/>
  <c r="X40" i="56" s="1"/>
  <c r="X41" i="56" s="1"/>
  <c r="X42" i="56" s="1"/>
  <c r="X43" i="56" s="1"/>
  <c r="B31" i="56"/>
  <c r="C31" i="56" s="1"/>
  <c r="U33" i="56"/>
  <c r="V33" i="56" s="1"/>
  <c r="T4" i="56"/>
  <c r="E56" i="56" s="1"/>
  <c r="B29" i="56"/>
  <c r="R33" i="56"/>
  <c r="S34" i="56" s="1"/>
  <c r="S35" i="56" s="1"/>
  <c r="S36" i="56" s="1"/>
  <c r="S37" i="56" s="1"/>
  <c r="S38" i="56" s="1"/>
  <c r="S39" i="56" s="1"/>
  <c r="S40" i="56" s="1"/>
  <c r="S41" i="56" s="1"/>
  <c r="S42" i="56" s="1"/>
  <c r="S43" i="56" s="1"/>
  <c r="C28" i="56"/>
  <c r="C43" i="56"/>
  <c r="AB34" i="56"/>
  <c r="AB35" i="56" s="1"/>
  <c r="AB36" i="56" s="1"/>
  <c r="AB37" i="56" s="1"/>
  <c r="AB38" i="56" s="1"/>
  <c r="AB39" i="56" s="1"/>
  <c r="AB40" i="56" s="1"/>
  <c r="AB41" i="56" s="1"/>
  <c r="AB42" i="56" s="1"/>
  <c r="AB43" i="56" s="1"/>
  <c r="AA34" i="56"/>
  <c r="AA35" i="56" s="1"/>
  <c r="AA36" i="56" s="1"/>
  <c r="AA37" i="56" s="1"/>
  <c r="AA38" i="56" s="1"/>
  <c r="AA39" i="56" s="1"/>
  <c r="AA40" i="56" s="1"/>
  <c r="AA41" i="56" s="1"/>
  <c r="AA42" i="56" s="1"/>
  <c r="AA43" i="56" s="1"/>
  <c r="AB33" i="56"/>
  <c r="P33" i="56"/>
  <c r="P34" i="56"/>
  <c r="P35" i="56" s="1"/>
  <c r="P36" i="56" s="1"/>
  <c r="P37" i="56" s="1"/>
  <c r="P38" i="56" s="1"/>
  <c r="P39" i="56" s="1"/>
  <c r="P40" i="56" s="1"/>
  <c r="P41" i="56" s="1"/>
  <c r="P42" i="56" s="1"/>
  <c r="P43" i="56" s="1"/>
  <c r="O34" i="56"/>
  <c r="O35" i="56" s="1"/>
  <c r="O36" i="56" s="1"/>
  <c r="O37" i="56" s="1"/>
  <c r="O38" i="56" s="1"/>
  <c r="O39" i="56" s="1"/>
  <c r="O40" i="56" s="1"/>
  <c r="O41" i="56" s="1"/>
  <c r="O42" i="56" s="1"/>
  <c r="O43" i="56" s="1"/>
  <c r="K43" i="56"/>
  <c r="C32" i="56"/>
  <c r="H45" i="56"/>
  <c r="E27" i="56"/>
  <c r="F45" i="56"/>
  <c r="J45" i="56"/>
  <c r="D45" i="56"/>
  <c r="B45" i="56"/>
  <c r="G43" i="56"/>
  <c r="C30" i="56"/>
  <c r="B29" i="55"/>
  <c r="C29" i="55" s="1"/>
  <c r="T4" i="55"/>
  <c r="D55" i="55" s="1"/>
  <c r="P34" i="55"/>
  <c r="P35" i="55" s="1"/>
  <c r="P36" i="55" s="1"/>
  <c r="P37" i="55" s="1"/>
  <c r="P38" i="55" s="1"/>
  <c r="P39" i="55" s="1"/>
  <c r="P40" i="55" s="1"/>
  <c r="P41" i="55" s="1"/>
  <c r="P42" i="55" s="1"/>
  <c r="P43" i="55" s="1"/>
  <c r="O34" i="55"/>
  <c r="O35" i="55" s="1"/>
  <c r="O36" i="55" s="1"/>
  <c r="O37" i="55" s="1"/>
  <c r="O38" i="55" s="1"/>
  <c r="O39" i="55" s="1"/>
  <c r="O40" i="55" s="1"/>
  <c r="O41" i="55" s="1"/>
  <c r="O42" i="55" s="1"/>
  <c r="O43" i="55" s="1"/>
  <c r="X33" i="55"/>
  <c r="B31" i="55"/>
  <c r="C44" i="55"/>
  <c r="D28" i="55"/>
  <c r="F45" i="55"/>
  <c r="E27" i="55"/>
  <c r="B45" i="55"/>
  <c r="J45" i="55"/>
  <c r="H45" i="55"/>
  <c r="D45" i="55"/>
  <c r="AB33" i="55"/>
  <c r="AB34" i="55"/>
  <c r="AB35" i="55" s="1"/>
  <c r="AB36" i="55" s="1"/>
  <c r="AB37" i="55" s="1"/>
  <c r="AB38" i="55" s="1"/>
  <c r="AB39" i="55" s="1"/>
  <c r="AB40" i="55" s="1"/>
  <c r="AB41" i="55" s="1"/>
  <c r="AB42" i="55" s="1"/>
  <c r="AB43" i="55" s="1"/>
  <c r="AA34" i="55"/>
  <c r="AA35" i="55" s="1"/>
  <c r="AA36" i="55" s="1"/>
  <c r="AA37" i="55" s="1"/>
  <c r="AA38" i="55" s="1"/>
  <c r="AA39" i="55" s="1"/>
  <c r="AA40" i="55" s="1"/>
  <c r="AA41" i="55" s="1"/>
  <c r="AA42" i="55" s="1"/>
  <c r="AA43" i="55" s="1"/>
  <c r="V34" i="55"/>
  <c r="V35" i="55" s="1"/>
  <c r="V36" i="55" s="1"/>
  <c r="V37" i="55" s="1"/>
  <c r="V38" i="55" s="1"/>
  <c r="V39" i="55" s="1"/>
  <c r="V40" i="55" s="1"/>
  <c r="V41" i="55" s="1"/>
  <c r="V42" i="55" s="1"/>
  <c r="V43" i="55" s="1"/>
  <c r="U34" i="55"/>
  <c r="U35" i="55" s="1"/>
  <c r="U36" i="55" s="1"/>
  <c r="U37" i="55" s="1"/>
  <c r="U38" i="55" s="1"/>
  <c r="U39" i="55" s="1"/>
  <c r="U40" i="55" s="1"/>
  <c r="U41" i="55" s="1"/>
  <c r="U42" i="55" s="1"/>
  <c r="U43" i="55" s="1"/>
  <c r="V33" i="55"/>
  <c r="C30" i="55"/>
  <c r="G43" i="55"/>
  <c r="K43" i="55"/>
  <c r="C32" i="55"/>
  <c r="S33" i="55"/>
  <c r="S34" i="55"/>
  <c r="S35" i="55" s="1"/>
  <c r="S36" i="55" s="1"/>
  <c r="S37" i="55" s="1"/>
  <c r="S38" i="55" s="1"/>
  <c r="S39" i="55" s="1"/>
  <c r="S40" i="55" s="1"/>
  <c r="S41" i="55" s="1"/>
  <c r="S42" i="55" s="1"/>
  <c r="S43" i="55" s="1"/>
  <c r="R34" i="55"/>
  <c r="R35" i="55" s="1"/>
  <c r="R36" i="55" s="1"/>
  <c r="R37" i="55" s="1"/>
  <c r="R38" i="55" s="1"/>
  <c r="R39" i="55" s="1"/>
  <c r="R40" i="55" s="1"/>
  <c r="R41" i="55" s="1"/>
  <c r="R42" i="55" s="1"/>
  <c r="R43" i="55" s="1"/>
  <c r="X41" i="63" l="1"/>
  <c r="AC10" i="63"/>
  <c r="D54" i="57"/>
  <c r="D55" i="57"/>
  <c r="D31" i="59"/>
  <c r="I44" i="59"/>
  <c r="J46" i="59"/>
  <c r="H46" i="59"/>
  <c r="F27" i="59"/>
  <c r="F46" i="59"/>
  <c r="D46" i="59"/>
  <c r="B46" i="59"/>
  <c r="G44" i="59"/>
  <c r="D30" i="59"/>
  <c r="E44" i="59"/>
  <c r="D29" i="59"/>
  <c r="D28" i="59"/>
  <c r="C44" i="59"/>
  <c r="D32" i="59"/>
  <c r="K44" i="59"/>
  <c r="D29" i="57"/>
  <c r="E29" i="57" s="1"/>
  <c r="S33" i="58"/>
  <c r="R34" i="58"/>
  <c r="R35" i="58" s="1"/>
  <c r="R36" i="58" s="1"/>
  <c r="R37" i="58" s="1"/>
  <c r="R38" i="58" s="1"/>
  <c r="R39" i="58" s="1"/>
  <c r="R40" i="58" s="1"/>
  <c r="R41" i="58" s="1"/>
  <c r="R42" i="58" s="1"/>
  <c r="R43" i="58" s="1"/>
  <c r="S34" i="58"/>
  <c r="S35" i="58" s="1"/>
  <c r="S36" i="58" s="1"/>
  <c r="S37" i="58" s="1"/>
  <c r="S38" i="58" s="1"/>
  <c r="S39" i="58" s="1"/>
  <c r="S40" i="58" s="1"/>
  <c r="S41" i="58" s="1"/>
  <c r="S42" i="58" s="1"/>
  <c r="S43" i="58" s="1"/>
  <c r="E43" i="58"/>
  <c r="C29" i="58"/>
  <c r="I43" i="58"/>
  <c r="C31" i="58"/>
  <c r="A37" i="58"/>
  <c r="K43" i="58"/>
  <c r="C32" i="58"/>
  <c r="E54" i="58"/>
  <c r="X34" i="58"/>
  <c r="X35" i="58" s="1"/>
  <c r="X36" i="58" s="1"/>
  <c r="X37" i="58" s="1"/>
  <c r="X38" i="58" s="1"/>
  <c r="X39" i="58" s="1"/>
  <c r="X40" i="58" s="1"/>
  <c r="X41" i="58" s="1"/>
  <c r="X42" i="58" s="1"/>
  <c r="X43" i="58" s="1"/>
  <c r="Y33" i="58"/>
  <c r="Y34" i="58"/>
  <c r="Y35" i="58" s="1"/>
  <c r="Y36" i="58" s="1"/>
  <c r="Y37" i="58" s="1"/>
  <c r="Y38" i="58" s="1"/>
  <c r="Y39" i="58" s="1"/>
  <c r="Y40" i="58" s="1"/>
  <c r="Y41" i="58" s="1"/>
  <c r="Y42" i="58" s="1"/>
  <c r="Y43" i="58" s="1"/>
  <c r="G44" i="58"/>
  <c r="D30" i="58"/>
  <c r="AA34" i="58"/>
  <c r="AA35" i="58" s="1"/>
  <c r="AA36" i="58" s="1"/>
  <c r="AA37" i="58" s="1"/>
  <c r="AA38" i="58" s="1"/>
  <c r="AA39" i="58" s="1"/>
  <c r="AA40" i="58" s="1"/>
  <c r="AA41" i="58" s="1"/>
  <c r="AA42" i="58" s="1"/>
  <c r="AA43" i="58" s="1"/>
  <c r="AB33" i="58"/>
  <c r="AB34" i="58"/>
  <c r="AB35" i="58" s="1"/>
  <c r="AB36" i="58" s="1"/>
  <c r="AB37" i="58" s="1"/>
  <c r="AB38" i="58" s="1"/>
  <c r="AB39" i="58" s="1"/>
  <c r="AB40" i="58" s="1"/>
  <c r="AB41" i="58" s="1"/>
  <c r="AB42" i="58" s="1"/>
  <c r="AB43" i="58" s="1"/>
  <c r="J46" i="58"/>
  <c r="H46" i="58"/>
  <c r="F27" i="58"/>
  <c r="F46" i="58"/>
  <c r="D46" i="58"/>
  <c r="B46" i="58"/>
  <c r="C45" i="58"/>
  <c r="E28" i="58"/>
  <c r="R34" i="57"/>
  <c r="R35" i="57" s="1"/>
  <c r="R36" i="57" s="1"/>
  <c r="R37" i="57" s="1"/>
  <c r="R38" i="57" s="1"/>
  <c r="R39" i="57" s="1"/>
  <c r="R40" i="57" s="1"/>
  <c r="R41" i="57" s="1"/>
  <c r="R42" i="57" s="1"/>
  <c r="R43" i="57" s="1"/>
  <c r="S33" i="57"/>
  <c r="E43" i="55"/>
  <c r="D31" i="57"/>
  <c r="I44" i="57"/>
  <c r="J46" i="57"/>
  <c r="H46" i="57"/>
  <c r="F27" i="57"/>
  <c r="F46" i="57"/>
  <c r="D46" i="57"/>
  <c r="B46" i="57"/>
  <c r="G44" i="57"/>
  <c r="D30" i="57"/>
  <c r="I43" i="56"/>
  <c r="D28" i="57"/>
  <c r="C44" i="57"/>
  <c r="K44" i="57"/>
  <c r="D32" i="57"/>
  <c r="A37" i="56"/>
  <c r="S33" i="56"/>
  <c r="E43" i="56"/>
  <c r="E55" i="56"/>
  <c r="U34" i="56"/>
  <c r="U35" i="56" s="1"/>
  <c r="U36" i="56" s="1"/>
  <c r="U37" i="56" s="1"/>
  <c r="U38" i="56" s="1"/>
  <c r="U39" i="56" s="1"/>
  <c r="U40" i="56" s="1"/>
  <c r="U41" i="56" s="1"/>
  <c r="U42" i="56" s="1"/>
  <c r="U43" i="56" s="1"/>
  <c r="V34" i="56"/>
  <c r="V35" i="56" s="1"/>
  <c r="V36" i="56" s="1"/>
  <c r="V37" i="56" s="1"/>
  <c r="V38" i="56" s="1"/>
  <c r="V39" i="56" s="1"/>
  <c r="V40" i="56" s="1"/>
  <c r="V41" i="56" s="1"/>
  <c r="V42" i="56" s="1"/>
  <c r="V43" i="56" s="1"/>
  <c r="R34" i="56"/>
  <c r="R35" i="56" s="1"/>
  <c r="R36" i="56" s="1"/>
  <c r="R37" i="56" s="1"/>
  <c r="R38" i="56" s="1"/>
  <c r="R39" i="56" s="1"/>
  <c r="R40" i="56" s="1"/>
  <c r="R41" i="56" s="1"/>
  <c r="R42" i="56" s="1"/>
  <c r="R43" i="56" s="1"/>
  <c r="C29" i="56"/>
  <c r="E44" i="56" s="1"/>
  <c r="G44" i="56"/>
  <c r="D30" i="56"/>
  <c r="D32" i="56"/>
  <c r="K44" i="56"/>
  <c r="D31" i="56"/>
  <c r="I44" i="56"/>
  <c r="J46" i="56"/>
  <c r="H46" i="56"/>
  <c r="F27" i="56"/>
  <c r="D46" i="56"/>
  <c r="F46" i="56"/>
  <c r="B46" i="56"/>
  <c r="D28" i="56"/>
  <c r="C44" i="56"/>
  <c r="D54" i="55"/>
  <c r="I43" i="55"/>
  <c r="C31" i="55"/>
  <c r="Y33" i="55"/>
  <c r="Y34" i="55"/>
  <c r="Y35" i="55" s="1"/>
  <c r="Y36" i="55" s="1"/>
  <c r="Y37" i="55" s="1"/>
  <c r="Y38" i="55" s="1"/>
  <c r="Y39" i="55" s="1"/>
  <c r="Y40" i="55" s="1"/>
  <c r="Y41" i="55" s="1"/>
  <c r="Y42" i="55" s="1"/>
  <c r="Y43" i="55" s="1"/>
  <c r="X34" i="55"/>
  <c r="X35" i="55" s="1"/>
  <c r="X36" i="55" s="1"/>
  <c r="X37" i="55" s="1"/>
  <c r="X38" i="55" s="1"/>
  <c r="X39" i="55" s="1"/>
  <c r="X40" i="55" s="1"/>
  <c r="X41" i="55" s="1"/>
  <c r="X42" i="55" s="1"/>
  <c r="X43" i="55" s="1"/>
  <c r="A37" i="55"/>
  <c r="E44" i="55"/>
  <c r="D29" i="55"/>
  <c r="D32" i="55"/>
  <c r="K44" i="55"/>
  <c r="H46" i="55"/>
  <c r="F27" i="55"/>
  <c r="D46" i="55"/>
  <c r="B46" i="55"/>
  <c r="J46" i="55"/>
  <c r="F46" i="55"/>
  <c r="D30" i="55"/>
  <c r="G44" i="55"/>
  <c r="E28" i="55"/>
  <c r="C45" i="55"/>
  <c r="X42" i="63" l="1"/>
  <c r="AD10" i="63"/>
  <c r="E45" i="59"/>
  <c r="E29" i="59"/>
  <c r="E30" i="59"/>
  <c r="G45" i="59"/>
  <c r="J47" i="59"/>
  <c r="H47" i="59"/>
  <c r="F47" i="59"/>
  <c r="D47" i="59"/>
  <c r="B47" i="59"/>
  <c r="E32" i="59"/>
  <c r="K45" i="59"/>
  <c r="C45" i="59"/>
  <c r="E28" i="59"/>
  <c r="I45" i="59"/>
  <c r="E31" i="59"/>
  <c r="E45" i="57"/>
  <c r="D29" i="58"/>
  <c r="E44" i="58"/>
  <c r="D32" i="58"/>
  <c r="K44" i="58"/>
  <c r="E30" i="58"/>
  <c r="G45" i="58"/>
  <c r="D31" i="58"/>
  <c r="I44" i="58"/>
  <c r="J47" i="58"/>
  <c r="H47" i="58"/>
  <c r="F47" i="58"/>
  <c r="D47" i="58"/>
  <c r="B47" i="58"/>
  <c r="F28" i="58"/>
  <c r="C47" i="58" s="1"/>
  <c r="C46" i="58"/>
  <c r="E28" i="57"/>
  <c r="C45" i="57"/>
  <c r="E30" i="57"/>
  <c r="G45" i="57"/>
  <c r="E32" i="57"/>
  <c r="K45" i="57"/>
  <c r="J47" i="57"/>
  <c r="F47" i="57"/>
  <c r="D47" i="57"/>
  <c r="B47" i="57"/>
  <c r="H47" i="57"/>
  <c r="E46" i="57"/>
  <c r="F29" i="57"/>
  <c r="E47" i="57" s="1"/>
  <c r="I45" i="57"/>
  <c r="E31" i="57"/>
  <c r="D29" i="56"/>
  <c r="E45" i="56" s="1"/>
  <c r="I45" i="56"/>
  <c r="E31" i="56"/>
  <c r="H47" i="56"/>
  <c r="J47" i="56"/>
  <c r="F47" i="56"/>
  <c r="D47" i="56"/>
  <c r="B47" i="56"/>
  <c r="E32" i="56"/>
  <c r="K45" i="56"/>
  <c r="E30" i="56"/>
  <c r="G45" i="56"/>
  <c r="C45" i="56"/>
  <c r="E28" i="56"/>
  <c r="I44" i="55"/>
  <c r="D31" i="55"/>
  <c r="G45" i="55"/>
  <c r="E30" i="55"/>
  <c r="J47" i="55"/>
  <c r="F47" i="55"/>
  <c r="D47" i="55"/>
  <c r="B47" i="55"/>
  <c r="H47" i="55"/>
  <c r="E32" i="55"/>
  <c r="K45" i="55"/>
  <c r="E45" i="55"/>
  <c r="E29" i="55"/>
  <c r="F28" i="55"/>
  <c r="C47" i="55" s="1"/>
  <c r="C46" i="55"/>
  <c r="X43" i="63" l="1"/>
  <c r="AF10" i="63" s="1"/>
  <c r="AE10" i="63"/>
  <c r="I46" i="59"/>
  <c r="F31" i="59"/>
  <c r="F29" i="59"/>
  <c r="E47" i="59" s="1"/>
  <c r="E46" i="59"/>
  <c r="C46" i="59"/>
  <c r="F28" i="59"/>
  <c r="C47" i="59" s="1"/>
  <c r="K46" i="59"/>
  <c r="F32" i="59"/>
  <c r="K47" i="59" s="1"/>
  <c r="F30" i="59"/>
  <c r="G46" i="59"/>
  <c r="E45" i="58"/>
  <c r="E29" i="58"/>
  <c r="F30" i="58"/>
  <c r="G46" i="58"/>
  <c r="I45" i="58"/>
  <c r="E31" i="58"/>
  <c r="E32" i="58"/>
  <c r="K45" i="58"/>
  <c r="K46" i="57"/>
  <c r="F32" i="57"/>
  <c r="K47" i="57" s="1"/>
  <c r="I46" i="57"/>
  <c r="F31" i="57"/>
  <c r="F30" i="57"/>
  <c r="G46" i="57"/>
  <c r="F28" i="57"/>
  <c r="C47" i="57" s="1"/>
  <c r="C46" i="57"/>
  <c r="E29" i="56"/>
  <c r="E46" i="56" s="1"/>
  <c r="F30" i="56"/>
  <c r="G46" i="56"/>
  <c r="K46" i="56"/>
  <c r="F32" i="56"/>
  <c r="K47" i="56" s="1"/>
  <c r="C46" i="56"/>
  <c r="F28" i="56"/>
  <c r="C47" i="56" s="1"/>
  <c r="I46" i="56"/>
  <c r="F31" i="56"/>
  <c r="E31" i="55"/>
  <c r="I45" i="55"/>
  <c r="F32" i="55"/>
  <c r="K47" i="55" s="1"/>
  <c r="K46" i="55"/>
  <c r="G46" i="55"/>
  <c r="F30" i="55"/>
  <c r="F29" i="55"/>
  <c r="E47" i="55" s="1"/>
  <c r="E46" i="55"/>
  <c r="I47" i="59" l="1"/>
  <c r="G47" i="59"/>
  <c r="E46" i="58"/>
  <c r="F29" i="58"/>
  <c r="E47" i="58" s="1"/>
  <c r="K46" i="58"/>
  <c r="F32" i="58"/>
  <c r="K47" i="58" s="1"/>
  <c r="I46" i="58"/>
  <c r="F31" i="58"/>
  <c r="I47" i="57"/>
  <c r="G47" i="57"/>
  <c r="F29" i="56"/>
  <c r="E47" i="56" s="1"/>
  <c r="I47" i="56"/>
  <c r="G47" i="56"/>
  <c r="F31" i="55"/>
  <c r="I46" i="55"/>
  <c r="I47" i="58" l="1"/>
  <c r="G47" i="58"/>
  <c r="G47" i="55"/>
  <c r="I47" i="55"/>
  <c r="R2" i="38" l="1"/>
  <c r="M5" i="52"/>
  <c r="M4" i="52"/>
  <c r="M3" i="52"/>
  <c r="M2" i="52"/>
  <c r="H3" i="54"/>
  <c r="J44" i="54"/>
  <c r="H44" i="54"/>
  <c r="B44" i="54"/>
  <c r="D44" i="54" s="1"/>
  <c r="Z43" i="54"/>
  <c r="J43" i="54"/>
  <c r="H43" i="54"/>
  <c r="F43" i="54"/>
  <c r="B43" i="54"/>
  <c r="D43" i="54" s="1"/>
  <c r="T36" i="54"/>
  <c r="T37" i="54" s="1"/>
  <c r="T38" i="54" s="1"/>
  <c r="T39" i="54" s="1"/>
  <c r="T40" i="54" s="1"/>
  <c r="T41" i="54" s="1"/>
  <c r="T42" i="54" s="1"/>
  <c r="T43" i="54" s="1"/>
  <c r="N36" i="54"/>
  <c r="N37" i="54" s="1"/>
  <c r="N38" i="54" s="1"/>
  <c r="N39" i="54" s="1"/>
  <c r="N40" i="54" s="1"/>
  <c r="N41" i="54" s="1"/>
  <c r="N42" i="54" s="1"/>
  <c r="N43" i="54" s="1"/>
  <c r="Q35" i="54"/>
  <c r="Q36" i="54" s="1"/>
  <c r="Q37" i="54" s="1"/>
  <c r="Q38" i="54" s="1"/>
  <c r="Q39" i="54" s="1"/>
  <c r="Q40" i="54" s="1"/>
  <c r="Q41" i="54" s="1"/>
  <c r="Q42" i="54" s="1"/>
  <c r="Q43" i="54" s="1"/>
  <c r="N35" i="54"/>
  <c r="T34" i="54"/>
  <c r="T35" i="54" s="1"/>
  <c r="Q34" i="54"/>
  <c r="N34" i="54"/>
  <c r="W33" i="54"/>
  <c r="W34" i="54" s="1"/>
  <c r="W35" i="54" s="1"/>
  <c r="W36" i="54" s="1"/>
  <c r="W37" i="54" s="1"/>
  <c r="W38" i="54" s="1"/>
  <c r="W39" i="54" s="1"/>
  <c r="W40" i="54" s="1"/>
  <c r="W41" i="54" s="1"/>
  <c r="W42" i="54" s="1"/>
  <c r="W43" i="54" s="1"/>
  <c r="T33" i="54"/>
  <c r="Q33" i="54"/>
  <c r="N33" i="54"/>
  <c r="Z33" i="54" s="1"/>
  <c r="Z34" i="54" s="1"/>
  <c r="Z35" i="54" s="1"/>
  <c r="Z36" i="54" s="1"/>
  <c r="Z37" i="54" s="1"/>
  <c r="Z38" i="54" s="1"/>
  <c r="Z39" i="54" s="1"/>
  <c r="Z40" i="54" s="1"/>
  <c r="Z41" i="54" s="1"/>
  <c r="Z42" i="54" s="1"/>
  <c r="C27" i="54"/>
  <c r="F44" i="54" s="1"/>
  <c r="O19" i="54"/>
  <c r="M19" i="54"/>
  <c r="D19" i="54"/>
  <c r="E19" i="54" s="1"/>
  <c r="F19" i="54" s="1"/>
  <c r="G19" i="54" s="1"/>
  <c r="H19" i="54" s="1"/>
  <c r="I19" i="54" s="1"/>
  <c r="J19" i="54" s="1"/>
  <c r="K19" i="54" s="1"/>
  <c r="L19" i="54" s="1"/>
  <c r="O18" i="54"/>
  <c r="R6" i="54" s="1"/>
  <c r="AA33" i="54" s="1"/>
  <c r="AA34" i="54" s="1"/>
  <c r="AA35" i="54" s="1"/>
  <c r="AA36" i="54" s="1"/>
  <c r="AA37" i="54" s="1"/>
  <c r="AA38" i="54" s="1"/>
  <c r="AA39" i="54" s="1"/>
  <c r="AA40" i="54" s="1"/>
  <c r="AA41" i="54" s="1"/>
  <c r="AA42" i="54" s="1"/>
  <c r="AA43" i="54" s="1"/>
  <c r="M18" i="54"/>
  <c r="D18" i="54"/>
  <c r="E18" i="54" s="1"/>
  <c r="F18" i="54" s="1"/>
  <c r="G18" i="54" s="1"/>
  <c r="H18" i="54" s="1"/>
  <c r="I18" i="54" s="1"/>
  <c r="J18" i="54" s="1"/>
  <c r="K18" i="54" s="1"/>
  <c r="L18" i="54" s="1"/>
  <c r="M17" i="54"/>
  <c r="D17" i="54"/>
  <c r="E17" i="54" s="1"/>
  <c r="F17" i="54" s="1"/>
  <c r="G17" i="54" s="1"/>
  <c r="H17" i="54" s="1"/>
  <c r="I17" i="54" s="1"/>
  <c r="J17" i="54" s="1"/>
  <c r="K17" i="54" s="1"/>
  <c r="L17" i="54" s="1"/>
  <c r="O16" i="54"/>
  <c r="M16" i="54"/>
  <c r="D16" i="54"/>
  <c r="E16" i="54" s="1"/>
  <c r="F16" i="54" s="1"/>
  <c r="G16" i="54" s="1"/>
  <c r="H16" i="54" s="1"/>
  <c r="I16" i="54" s="1"/>
  <c r="J16" i="54" s="1"/>
  <c r="K16" i="54" s="1"/>
  <c r="L16" i="54" s="1"/>
  <c r="O15" i="54"/>
  <c r="M15" i="54"/>
  <c r="F15" i="54"/>
  <c r="G15" i="54" s="1"/>
  <c r="H15" i="54" s="1"/>
  <c r="I15" i="54" s="1"/>
  <c r="J15" i="54" s="1"/>
  <c r="K15" i="54" s="1"/>
  <c r="L15" i="54" s="1"/>
  <c r="E15" i="54"/>
  <c r="D15" i="54"/>
  <c r="M14" i="54"/>
  <c r="D14" i="54"/>
  <c r="E14" i="54" s="1"/>
  <c r="F14" i="54" s="1"/>
  <c r="G14" i="54" s="1"/>
  <c r="H14" i="54" s="1"/>
  <c r="I14" i="54" s="1"/>
  <c r="J14" i="54" s="1"/>
  <c r="K14" i="54" s="1"/>
  <c r="L14" i="54" s="1"/>
  <c r="O13" i="54"/>
  <c r="M13" i="54"/>
  <c r="O12" i="54"/>
  <c r="P12" i="54" s="1"/>
  <c r="M12" i="54"/>
  <c r="Q11" i="54"/>
  <c r="R11" i="54" s="1"/>
  <c r="R4" i="54" s="1"/>
  <c r="O11" i="54"/>
  <c r="M11" i="54"/>
  <c r="O10" i="54"/>
  <c r="M10" i="54"/>
  <c r="O8" i="54"/>
  <c r="M8" i="54"/>
  <c r="M7" i="54"/>
  <c r="O6" i="54"/>
  <c r="M6" i="54"/>
  <c r="D6" i="54"/>
  <c r="E6" i="54" s="1"/>
  <c r="F6" i="54" s="1"/>
  <c r="G6" i="54" s="1"/>
  <c r="H6" i="54" s="1"/>
  <c r="I6" i="54" s="1"/>
  <c r="J6" i="54" s="1"/>
  <c r="K6" i="54" s="1"/>
  <c r="L6" i="54" s="1"/>
  <c r="M5" i="54"/>
  <c r="E5" i="54"/>
  <c r="F5" i="54" s="1"/>
  <c r="G5" i="54" s="1"/>
  <c r="H5" i="54" s="1"/>
  <c r="I5" i="54" s="1"/>
  <c r="J5" i="54" s="1"/>
  <c r="K5" i="54" s="1"/>
  <c r="L5" i="54" s="1"/>
  <c r="D5" i="54"/>
  <c r="O4" i="54"/>
  <c r="D4" i="54"/>
  <c r="E4" i="54" s="1"/>
  <c r="F4" i="54" s="1"/>
  <c r="G4" i="54" s="1"/>
  <c r="H4" i="54" s="1"/>
  <c r="I4" i="54" s="1"/>
  <c r="J4" i="54" s="1"/>
  <c r="K4" i="54" s="1"/>
  <c r="L4" i="54" s="1"/>
  <c r="M4" i="54" s="1"/>
  <c r="D3" i="54"/>
  <c r="E3" i="54" s="1"/>
  <c r="F3" i="54" s="1"/>
  <c r="G3" i="54" s="1"/>
  <c r="I3" i="54" s="1"/>
  <c r="J3" i="54" s="1"/>
  <c r="K3" i="54" s="1"/>
  <c r="L3" i="54" s="1"/>
  <c r="M3" i="54" s="1"/>
  <c r="R2" i="54"/>
  <c r="O33" i="54" s="1"/>
  <c r="P33" i="54" s="1"/>
  <c r="D2" i="54"/>
  <c r="E2" i="54" s="1"/>
  <c r="F2" i="54" s="1"/>
  <c r="G2" i="54" s="1"/>
  <c r="H2" i="54" s="1"/>
  <c r="I2" i="54" s="1"/>
  <c r="J2" i="54" s="1"/>
  <c r="K2" i="54" s="1"/>
  <c r="L2" i="54" s="1"/>
  <c r="M2" i="54" s="1"/>
  <c r="J43" i="53"/>
  <c r="H43" i="53"/>
  <c r="F43" i="53"/>
  <c r="B43" i="53"/>
  <c r="D43" i="53" s="1"/>
  <c r="N33" i="53"/>
  <c r="Z33" i="53" s="1"/>
  <c r="Z34" i="53" s="1"/>
  <c r="Z35" i="53" s="1"/>
  <c r="Z36" i="53" s="1"/>
  <c r="Z37" i="53" s="1"/>
  <c r="Z38" i="53" s="1"/>
  <c r="Z39" i="53" s="1"/>
  <c r="Z40" i="53" s="1"/>
  <c r="Z41" i="53" s="1"/>
  <c r="Z42" i="53" s="1"/>
  <c r="Z43" i="53" s="1"/>
  <c r="C27" i="53"/>
  <c r="J44" i="53" s="1"/>
  <c r="O19" i="53"/>
  <c r="M19" i="53"/>
  <c r="D19" i="53"/>
  <c r="E19" i="53" s="1"/>
  <c r="F19" i="53" s="1"/>
  <c r="G19" i="53" s="1"/>
  <c r="H19" i="53" s="1"/>
  <c r="I19" i="53" s="1"/>
  <c r="J19" i="53" s="1"/>
  <c r="K19" i="53" s="1"/>
  <c r="L19" i="53" s="1"/>
  <c r="O18" i="53"/>
  <c r="R6" i="53" s="1"/>
  <c r="M18" i="53"/>
  <c r="D18" i="53"/>
  <c r="E18" i="53" s="1"/>
  <c r="F18" i="53" s="1"/>
  <c r="G18" i="53" s="1"/>
  <c r="H18" i="53" s="1"/>
  <c r="I18" i="53" s="1"/>
  <c r="J18" i="53" s="1"/>
  <c r="K18" i="53" s="1"/>
  <c r="L18" i="53" s="1"/>
  <c r="M17" i="53"/>
  <c r="D17" i="53"/>
  <c r="E17" i="53" s="1"/>
  <c r="F17" i="53" s="1"/>
  <c r="G17" i="53" s="1"/>
  <c r="H17" i="53" s="1"/>
  <c r="I17" i="53" s="1"/>
  <c r="J17" i="53" s="1"/>
  <c r="K17" i="53" s="1"/>
  <c r="L17" i="53" s="1"/>
  <c r="M16" i="53"/>
  <c r="D16" i="53"/>
  <c r="E16" i="53" s="1"/>
  <c r="F16" i="53" s="1"/>
  <c r="G16" i="53" s="1"/>
  <c r="H16" i="53" s="1"/>
  <c r="I16" i="53" s="1"/>
  <c r="J16" i="53" s="1"/>
  <c r="K16" i="53" s="1"/>
  <c r="L16" i="53" s="1"/>
  <c r="O15" i="53"/>
  <c r="R5" i="53" s="1"/>
  <c r="M15" i="53"/>
  <c r="D15" i="53"/>
  <c r="E15" i="53" s="1"/>
  <c r="F15" i="53" s="1"/>
  <c r="G15" i="53" s="1"/>
  <c r="H15" i="53" s="1"/>
  <c r="I15" i="53" s="1"/>
  <c r="J15" i="53" s="1"/>
  <c r="K15" i="53" s="1"/>
  <c r="L15" i="53" s="1"/>
  <c r="M14" i="53"/>
  <c r="D14" i="53"/>
  <c r="E14" i="53" s="1"/>
  <c r="F14" i="53" s="1"/>
  <c r="G14" i="53" s="1"/>
  <c r="H14" i="53" s="1"/>
  <c r="I14" i="53" s="1"/>
  <c r="J14" i="53" s="1"/>
  <c r="K14" i="53" s="1"/>
  <c r="L14" i="53" s="1"/>
  <c r="O13" i="53"/>
  <c r="M13" i="53"/>
  <c r="H13" i="53"/>
  <c r="O12" i="53"/>
  <c r="P12" i="53" s="1"/>
  <c r="M12" i="53"/>
  <c r="H12" i="53"/>
  <c r="O11" i="53"/>
  <c r="M11" i="53"/>
  <c r="H11" i="53"/>
  <c r="O10" i="53"/>
  <c r="M10" i="53"/>
  <c r="H10" i="53"/>
  <c r="O8" i="53"/>
  <c r="M8" i="53"/>
  <c r="H8" i="53"/>
  <c r="M7" i="53"/>
  <c r="H7" i="53"/>
  <c r="M6" i="53"/>
  <c r="D6" i="53"/>
  <c r="E6" i="53" s="1"/>
  <c r="F6" i="53" s="1"/>
  <c r="G6" i="53" s="1"/>
  <c r="H6" i="53" s="1"/>
  <c r="I6" i="53" s="1"/>
  <c r="J6" i="53" s="1"/>
  <c r="K6" i="53" s="1"/>
  <c r="L6" i="53" s="1"/>
  <c r="O5" i="53"/>
  <c r="M5" i="53"/>
  <c r="D5" i="53"/>
  <c r="E5" i="53" s="1"/>
  <c r="F5" i="53" s="1"/>
  <c r="G5" i="53" s="1"/>
  <c r="H5" i="53" s="1"/>
  <c r="I5" i="53" s="1"/>
  <c r="J5" i="53" s="1"/>
  <c r="K5" i="53" s="1"/>
  <c r="L5" i="53" s="1"/>
  <c r="D4" i="53"/>
  <c r="E4" i="53" s="1"/>
  <c r="F4" i="53" s="1"/>
  <c r="G4" i="53" s="1"/>
  <c r="H4" i="53" s="1"/>
  <c r="I4" i="53" s="1"/>
  <c r="J4" i="53" s="1"/>
  <c r="K4" i="53" s="1"/>
  <c r="L4" i="53" s="1"/>
  <c r="M4" i="53" s="1"/>
  <c r="D3" i="53"/>
  <c r="E3" i="53" s="1"/>
  <c r="F3" i="53" s="1"/>
  <c r="G3" i="53" s="1"/>
  <c r="H3" i="53" s="1"/>
  <c r="I3" i="53" s="1"/>
  <c r="J3" i="53" s="1"/>
  <c r="K3" i="53" s="1"/>
  <c r="L3" i="53" s="1"/>
  <c r="M3" i="53" s="1"/>
  <c r="R2" i="53"/>
  <c r="D2" i="53"/>
  <c r="E2" i="53" s="1"/>
  <c r="F2" i="53" s="1"/>
  <c r="G2" i="53" s="1"/>
  <c r="H2" i="53" s="1"/>
  <c r="I2" i="53" s="1"/>
  <c r="J2" i="53" s="1"/>
  <c r="K2" i="53" s="1"/>
  <c r="L2" i="53" s="1"/>
  <c r="M2" i="53" s="1"/>
  <c r="O33" i="35"/>
  <c r="J43" i="52"/>
  <c r="H43" i="52"/>
  <c r="F43" i="52"/>
  <c r="B43" i="52"/>
  <c r="D43" i="52" s="1"/>
  <c r="N35" i="52"/>
  <c r="N36" i="52" s="1"/>
  <c r="N37" i="52" s="1"/>
  <c r="N38" i="52" s="1"/>
  <c r="N39" i="52" s="1"/>
  <c r="N40" i="52" s="1"/>
  <c r="N41" i="52" s="1"/>
  <c r="N42" i="52" s="1"/>
  <c r="N43" i="52" s="1"/>
  <c r="Z34" i="52"/>
  <c r="Z35" i="52" s="1"/>
  <c r="Z36" i="52" s="1"/>
  <c r="Z37" i="52" s="1"/>
  <c r="Z38" i="52" s="1"/>
  <c r="Z39" i="52" s="1"/>
  <c r="Z40" i="52" s="1"/>
  <c r="Z41" i="52" s="1"/>
  <c r="Z42" i="52" s="1"/>
  <c r="Z43" i="52" s="1"/>
  <c r="N34" i="52"/>
  <c r="W33" i="52"/>
  <c r="W34" i="52" s="1"/>
  <c r="W35" i="52" s="1"/>
  <c r="W36" i="52" s="1"/>
  <c r="W37" i="52" s="1"/>
  <c r="W38" i="52" s="1"/>
  <c r="W39" i="52" s="1"/>
  <c r="W40" i="52" s="1"/>
  <c r="W41" i="52" s="1"/>
  <c r="W42" i="52" s="1"/>
  <c r="W43" i="52" s="1"/>
  <c r="Q33" i="52"/>
  <c r="Q34" i="52" s="1"/>
  <c r="Q35" i="52" s="1"/>
  <c r="Q36" i="52" s="1"/>
  <c r="Q37" i="52" s="1"/>
  <c r="Q38" i="52" s="1"/>
  <c r="Q39" i="52" s="1"/>
  <c r="Q40" i="52" s="1"/>
  <c r="Q41" i="52" s="1"/>
  <c r="Q42" i="52" s="1"/>
  <c r="Q43" i="52" s="1"/>
  <c r="N33" i="52"/>
  <c r="Z33" i="52" s="1"/>
  <c r="C27" i="52"/>
  <c r="F44" i="52" s="1"/>
  <c r="O19" i="52"/>
  <c r="M19" i="52"/>
  <c r="D19" i="52"/>
  <c r="E19" i="52" s="1"/>
  <c r="F19" i="52" s="1"/>
  <c r="G19" i="52" s="1"/>
  <c r="H19" i="52" s="1"/>
  <c r="I19" i="52" s="1"/>
  <c r="J19" i="52" s="1"/>
  <c r="K19" i="52" s="1"/>
  <c r="L19" i="52" s="1"/>
  <c r="O18" i="52"/>
  <c r="M18" i="52"/>
  <c r="D18" i="52"/>
  <c r="E18" i="52" s="1"/>
  <c r="F18" i="52" s="1"/>
  <c r="G18" i="52" s="1"/>
  <c r="H18" i="52" s="1"/>
  <c r="I18" i="52" s="1"/>
  <c r="J18" i="52" s="1"/>
  <c r="K18" i="52" s="1"/>
  <c r="L18" i="52" s="1"/>
  <c r="O17" i="52"/>
  <c r="M17" i="52"/>
  <c r="D17" i="52"/>
  <c r="E17" i="52" s="1"/>
  <c r="F17" i="52" s="1"/>
  <c r="G17" i="52" s="1"/>
  <c r="H17" i="52" s="1"/>
  <c r="I17" i="52" s="1"/>
  <c r="J17" i="52" s="1"/>
  <c r="K17" i="52" s="1"/>
  <c r="L17" i="52" s="1"/>
  <c r="O16" i="52"/>
  <c r="M16" i="52"/>
  <c r="D16" i="52"/>
  <c r="E16" i="52" s="1"/>
  <c r="F16" i="52" s="1"/>
  <c r="G16" i="52" s="1"/>
  <c r="H16" i="52" s="1"/>
  <c r="I16" i="52" s="1"/>
  <c r="J16" i="52" s="1"/>
  <c r="K16" i="52" s="1"/>
  <c r="L16" i="52" s="1"/>
  <c r="O15" i="52"/>
  <c r="M15" i="52"/>
  <c r="D15" i="52"/>
  <c r="E15" i="52" s="1"/>
  <c r="F15" i="52" s="1"/>
  <c r="G15" i="52" s="1"/>
  <c r="H15" i="52" s="1"/>
  <c r="I15" i="52" s="1"/>
  <c r="J15" i="52" s="1"/>
  <c r="K15" i="52" s="1"/>
  <c r="L15" i="52" s="1"/>
  <c r="O14" i="52"/>
  <c r="M14" i="52"/>
  <c r="G14" i="52"/>
  <c r="H14" i="52" s="1"/>
  <c r="I14" i="52" s="1"/>
  <c r="J14" i="52" s="1"/>
  <c r="K14" i="52" s="1"/>
  <c r="L14" i="52" s="1"/>
  <c r="F14" i="52"/>
  <c r="E14" i="52"/>
  <c r="D14" i="52"/>
  <c r="O13" i="52"/>
  <c r="M13" i="52"/>
  <c r="H13" i="52"/>
  <c r="O12" i="52"/>
  <c r="P12" i="52" s="1"/>
  <c r="M12" i="52"/>
  <c r="H12" i="52"/>
  <c r="O11" i="52"/>
  <c r="M11" i="52"/>
  <c r="H11" i="52"/>
  <c r="O10" i="52"/>
  <c r="M10" i="52"/>
  <c r="H10" i="52"/>
  <c r="O8" i="52"/>
  <c r="M8" i="52"/>
  <c r="H8" i="52"/>
  <c r="M7" i="52"/>
  <c r="H7" i="52"/>
  <c r="R6" i="52"/>
  <c r="O6" i="52"/>
  <c r="M6" i="52"/>
  <c r="D6" i="52"/>
  <c r="E6" i="52" s="1"/>
  <c r="F6" i="52" s="1"/>
  <c r="G6" i="52" s="1"/>
  <c r="H6" i="52" s="1"/>
  <c r="I6" i="52" s="1"/>
  <c r="J6" i="52" s="1"/>
  <c r="K6" i="52" s="1"/>
  <c r="L6" i="52" s="1"/>
  <c r="O5" i="52"/>
  <c r="D5" i="52"/>
  <c r="E5" i="52" s="1"/>
  <c r="F5" i="52" s="1"/>
  <c r="G5" i="52" s="1"/>
  <c r="H5" i="52" s="1"/>
  <c r="I5" i="52" s="1"/>
  <c r="J5" i="52" s="1"/>
  <c r="K5" i="52" s="1"/>
  <c r="L5" i="52" s="1"/>
  <c r="D4" i="52"/>
  <c r="E4" i="52" s="1"/>
  <c r="F4" i="52" s="1"/>
  <c r="G4" i="52" s="1"/>
  <c r="H4" i="52" s="1"/>
  <c r="I4" i="52" s="1"/>
  <c r="J4" i="52" s="1"/>
  <c r="K4" i="52" s="1"/>
  <c r="L4" i="52" s="1"/>
  <c r="D3" i="52"/>
  <c r="E3" i="52" s="1"/>
  <c r="F3" i="52" s="1"/>
  <c r="G3" i="52" s="1"/>
  <c r="H3" i="52" s="1"/>
  <c r="I3" i="52" s="1"/>
  <c r="J3" i="52" s="1"/>
  <c r="K3" i="52" s="1"/>
  <c r="L3" i="52" s="1"/>
  <c r="R2" i="52"/>
  <c r="E2" i="52"/>
  <c r="F2" i="52" s="1"/>
  <c r="G2" i="52" s="1"/>
  <c r="H2" i="52" s="1"/>
  <c r="I2" i="52" s="1"/>
  <c r="J2" i="52" s="1"/>
  <c r="K2" i="52" s="1"/>
  <c r="L2" i="52" s="1"/>
  <c r="D2" i="52"/>
  <c r="O34" i="54" l="1"/>
  <c r="O35" i="54" s="1"/>
  <c r="O36" i="54" s="1"/>
  <c r="O37" i="54" s="1"/>
  <c r="O38" i="54" s="1"/>
  <c r="O39" i="54" s="1"/>
  <c r="O40" i="54" s="1"/>
  <c r="O41" i="54" s="1"/>
  <c r="O42" i="54" s="1"/>
  <c r="O43" i="54" s="1"/>
  <c r="P34" i="54"/>
  <c r="P35" i="54" s="1"/>
  <c r="P36" i="54" s="1"/>
  <c r="P37" i="54" s="1"/>
  <c r="P38" i="54" s="1"/>
  <c r="P39" i="54" s="1"/>
  <c r="P40" i="54" s="1"/>
  <c r="P41" i="54" s="1"/>
  <c r="P42" i="54" s="1"/>
  <c r="P43" i="54" s="1"/>
  <c r="R3" i="54"/>
  <c r="R33" i="54" s="1"/>
  <c r="S33" i="54" s="1"/>
  <c r="R5" i="54"/>
  <c r="B31" i="54" s="1"/>
  <c r="U33" i="54"/>
  <c r="B30" i="54"/>
  <c r="AB33" i="54"/>
  <c r="B32" i="54"/>
  <c r="AB34" i="54"/>
  <c r="AB35" i="54" s="1"/>
  <c r="AB36" i="54" s="1"/>
  <c r="AB37" i="54" s="1"/>
  <c r="AB38" i="54" s="1"/>
  <c r="AB39" i="54" s="1"/>
  <c r="AB40" i="54" s="1"/>
  <c r="AB41" i="54" s="1"/>
  <c r="AB42" i="54" s="1"/>
  <c r="AB43" i="54" s="1"/>
  <c r="D27" i="54"/>
  <c r="B28" i="54"/>
  <c r="Q11" i="53"/>
  <c r="R11" i="53" s="1"/>
  <c r="R4" i="53" s="1"/>
  <c r="B30" i="53" s="1"/>
  <c r="R3" i="53"/>
  <c r="R33" i="53" s="1"/>
  <c r="S34" i="53" s="1"/>
  <c r="S35" i="53" s="1"/>
  <c r="S36" i="53" s="1"/>
  <c r="S37" i="53" s="1"/>
  <c r="S38" i="53" s="1"/>
  <c r="S39" i="53" s="1"/>
  <c r="S40" i="53" s="1"/>
  <c r="S41" i="53" s="1"/>
  <c r="S42" i="53" s="1"/>
  <c r="S43" i="53" s="1"/>
  <c r="N34" i="53"/>
  <c r="N35" i="53" s="1"/>
  <c r="N36" i="53" s="1"/>
  <c r="N37" i="53" s="1"/>
  <c r="N38" i="53" s="1"/>
  <c r="N39" i="53" s="1"/>
  <c r="N40" i="53" s="1"/>
  <c r="N41" i="53" s="1"/>
  <c r="N42" i="53" s="1"/>
  <c r="N43" i="53" s="1"/>
  <c r="Q33" i="53"/>
  <c r="Q34" i="53" s="1"/>
  <c r="Q35" i="53" s="1"/>
  <c r="Q36" i="53" s="1"/>
  <c r="Q37" i="53" s="1"/>
  <c r="Q38" i="53" s="1"/>
  <c r="Q39" i="53" s="1"/>
  <c r="Q40" i="53" s="1"/>
  <c r="Q41" i="53" s="1"/>
  <c r="Q42" i="53" s="1"/>
  <c r="Q43" i="53" s="1"/>
  <c r="T33" i="53"/>
  <c r="T34" i="53" s="1"/>
  <c r="T35" i="53" s="1"/>
  <c r="T36" i="53" s="1"/>
  <c r="T37" i="53" s="1"/>
  <c r="T38" i="53" s="1"/>
  <c r="T39" i="53" s="1"/>
  <c r="T40" i="53" s="1"/>
  <c r="T41" i="53" s="1"/>
  <c r="T42" i="53" s="1"/>
  <c r="T43" i="53" s="1"/>
  <c r="B44" i="53"/>
  <c r="D44" i="53" s="1"/>
  <c r="W33" i="53"/>
  <c r="W34" i="53" s="1"/>
  <c r="W35" i="53" s="1"/>
  <c r="W36" i="53" s="1"/>
  <c r="W37" i="53" s="1"/>
  <c r="W38" i="53" s="1"/>
  <c r="W39" i="53" s="1"/>
  <c r="W40" i="53" s="1"/>
  <c r="W41" i="53" s="1"/>
  <c r="W42" i="53" s="1"/>
  <c r="W43" i="53" s="1"/>
  <c r="AA33" i="53"/>
  <c r="B32" i="53"/>
  <c r="B31" i="53"/>
  <c r="X33" i="53"/>
  <c r="F44" i="53"/>
  <c r="H44" i="53"/>
  <c r="D27" i="53"/>
  <c r="O33" i="53"/>
  <c r="B28" i="53"/>
  <c r="T33" i="52"/>
  <c r="T34" i="52" s="1"/>
  <c r="T35" i="52" s="1"/>
  <c r="T36" i="52" s="1"/>
  <c r="T37" i="52" s="1"/>
  <c r="T38" i="52" s="1"/>
  <c r="T39" i="52" s="1"/>
  <c r="T40" i="52" s="1"/>
  <c r="T41" i="52" s="1"/>
  <c r="T42" i="52" s="1"/>
  <c r="T43" i="52" s="1"/>
  <c r="H44" i="52"/>
  <c r="J44" i="52"/>
  <c r="Q11" i="52"/>
  <c r="R11" i="52" s="1"/>
  <c r="R4" i="52" s="1"/>
  <c r="U33" i="52" s="1"/>
  <c r="B30" i="52"/>
  <c r="R3" i="52"/>
  <c r="B29" i="52" s="1"/>
  <c r="R5" i="52"/>
  <c r="X33" i="52" s="1"/>
  <c r="AA33" i="52"/>
  <c r="B32" i="52"/>
  <c r="G43" i="52"/>
  <c r="C30" i="52"/>
  <c r="D27" i="52"/>
  <c r="B44" i="52"/>
  <c r="D44" i="52" s="1"/>
  <c r="O33" i="52"/>
  <c r="B28" i="52"/>
  <c r="X33" i="54" l="1"/>
  <c r="X34" i="54" s="1"/>
  <c r="X35" i="54" s="1"/>
  <c r="X36" i="54" s="1"/>
  <c r="X37" i="54" s="1"/>
  <c r="X38" i="54" s="1"/>
  <c r="X39" i="54" s="1"/>
  <c r="X40" i="54" s="1"/>
  <c r="X41" i="54" s="1"/>
  <c r="X42" i="54" s="1"/>
  <c r="X43" i="54" s="1"/>
  <c r="S34" i="54"/>
  <c r="S35" i="54" s="1"/>
  <c r="S36" i="54" s="1"/>
  <c r="S37" i="54" s="1"/>
  <c r="S38" i="54" s="1"/>
  <c r="S39" i="54" s="1"/>
  <c r="S40" i="54" s="1"/>
  <c r="S41" i="54" s="1"/>
  <c r="S42" i="54" s="1"/>
  <c r="S43" i="54" s="1"/>
  <c r="R34" i="54"/>
  <c r="R35" i="54" s="1"/>
  <c r="R36" i="54" s="1"/>
  <c r="R37" i="54" s="1"/>
  <c r="R38" i="54" s="1"/>
  <c r="R39" i="54" s="1"/>
  <c r="R40" i="54" s="1"/>
  <c r="R41" i="54" s="1"/>
  <c r="R42" i="54" s="1"/>
  <c r="R43" i="54" s="1"/>
  <c r="B29" i="54"/>
  <c r="A37" i="54" s="1"/>
  <c r="T4" i="54"/>
  <c r="E55" i="54" s="1"/>
  <c r="H45" i="54"/>
  <c r="F45" i="54"/>
  <c r="J45" i="54"/>
  <c r="E27" i="54"/>
  <c r="D45" i="54"/>
  <c r="B45" i="54"/>
  <c r="K43" i="54"/>
  <c r="C32" i="54"/>
  <c r="C31" i="54"/>
  <c r="I43" i="54"/>
  <c r="C28" i="54"/>
  <c r="C43" i="54"/>
  <c r="G43" i="54"/>
  <c r="C30" i="54"/>
  <c r="V34" i="54"/>
  <c r="V35" i="54" s="1"/>
  <c r="V36" i="54" s="1"/>
  <c r="V37" i="54" s="1"/>
  <c r="V38" i="54" s="1"/>
  <c r="V39" i="54" s="1"/>
  <c r="V40" i="54" s="1"/>
  <c r="V41" i="54" s="1"/>
  <c r="V42" i="54" s="1"/>
  <c r="V43" i="54" s="1"/>
  <c r="U34" i="54"/>
  <c r="U35" i="54" s="1"/>
  <c r="U36" i="54" s="1"/>
  <c r="U37" i="54" s="1"/>
  <c r="U38" i="54" s="1"/>
  <c r="U39" i="54" s="1"/>
  <c r="U40" i="54" s="1"/>
  <c r="U41" i="54" s="1"/>
  <c r="U42" i="54" s="1"/>
  <c r="U43" i="54" s="1"/>
  <c r="V33" i="54"/>
  <c r="S33" i="53"/>
  <c r="U33" i="53"/>
  <c r="V34" i="53" s="1"/>
  <c r="V35" i="53" s="1"/>
  <c r="V36" i="53" s="1"/>
  <c r="V37" i="53" s="1"/>
  <c r="V38" i="53" s="1"/>
  <c r="V39" i="53" s="1"/>
  <c r="V40" i="53" s="1"/>
  <c r="V41" i="53" s="1"/>
  <c r="V42" i="53" s="1"/>
  <c r="V43" i="53" s="1"/>
  <c r="R34" i="53"/>
  <c r="R35" i="53" s="1"/>
  <c r="R36" i="53" s="1"/>
  <c r="R37" i="53" s="1"/>
  <c r="R38" i="53" s="1"/>
  <c r="R39" i="53" s="1"/>
  <c r="R40" i="53" s="1"/>
  <c r="R41" i="53" s="1"/>
  <c r="R42" i="53" s="1"/>
  <c r="R43" i="53" s="1"/>
  <c r="T4" i="53"/>
  <c r="E56" i="53" s="1"/>
  <c r="B29" i="53"/>
  <c r="C29" i="53" s="1"/>
  <c r="X34" i="53"/>
  <c r="X35" i="53" s="1"/>
  <c r="X36" i="53" s="1"/>
  <c r="X37" i="53" s="1"/>
  <c r="X38" i="53" s="1"/>
  <c r="X39" i="53" s="1"/>
  <c r="X40" i="53" s="1"/>
  <c r="X41" i="53" s="1"/>
  <c r="X42" i="53" s="1"/>
  <c r="X43" i="53" s="1"/>
  <c r="Y33" i="53"/>
  <c r="Y34" i="53"/>
  <c r="Y35" i="53" s="1"/>
  <c r="Y36" i="53" s="1"/>
  <c r="Y37" i="53" s="1"/>
  <c r="Y38" i="53" s="1"/>
  <c r="Y39" i="53" s="1"/>
  <c r="Y40" i="53" s="1"/>
  <c r="Y41" i="53" s="1"/>
  <c r="Y42" i="53" s="1"/>
  <c r="Y43" i="53" s="1"/>
  <c r="C28" i="53"/>
  <c r="C43" i="53"/>
  <c r="AB33" i="53"/>
  <c r="AB34" i="53"/>
  <c r="AB35" i="53" s="1"/>
  <c r="AB36" i="53" s="1"/>
  <c r="AB37" i="53" s="1"/>
  <c r="AB38" i="53" s="1"/>
  <c r="AB39" i="53" s="1"/>
  <c r="AB40" i="53" s="1"/>
  <c r="AB41" i="53" s="1"/>
  <c r="AB42" i="53" s="1"/>
  <c r="AB43" i="53" s="1"/>
  <c r="AA34" i="53"/>
  <c r="AA35" i="53" s="1"/>
  <c r="AA36" i="53" s="1"/>
  <c r="AA37" i="53" s="1"/>
  <c r="AA38" i="53" s="1"/>
  <c r="AA39" i="53" s="1"/>
  <c r="AA40" i="53" s="1"/>
  <c r="AA41" i="53" s="1"/>
  <c r="AA42" i="53" s="1"/>
  <c r="AA43" i="53" s="1"/>
  <c r="K43" i="53"/>
  <c r="C32" i="53"/>
  <c r="P33" i="53"/>
  <c r="O34" i="53"/>
  <c r="O35" i="53" s="1"/>
  <c r="O36" i="53" s="1"/>
  <c r="O37" i="53" s="1"/>
  <c r="O38" i="53" s="1"/>
  <c r="O39" i="53" s="1"/>
  <c r="O40" i="53" s="1"/>
  <c r="O41" i="53" s="1"/>
  <c r="O42" i="53" s="1"/>
  <c r="O43" i="53" s="1"/>
  <c r="P34" i="53"/>
  <c r="P35" i="53" s="1"/>
  <c r="P36" i="53" s="1"/>
  <c r="P37" i="53" s="1"/>
  <c r="P38" i="53" s="1"/>
  <c r="P39" i="53" s="1"/>
  <c r="P40" i="53" s="1"/>
  <c r="P41" i="53" s="1"/>
  <c r="P42" i="53" s="1"/>
  <c r="P43" i="53" s="1"/>
  <c r="U34" i="53"/>
  <c r="U35" i="53" s="1"/>
  <c r="U36" i="53" s="1"/>
  <c r="U37" i="53" s="1"/>
  <c r="U38" i="53" s="1"/>
  <c r="U39" i="53" s="1"/>
  <c r="U40" i="53" s="1"/>
  <c r="U41" i="53" s="1"/>
  <c r="U42" i="53" s="1"/>
  <c r="U43" i="53" s="1"/>
  <c r="I43" i="53"/>
  <c r="C31" i="53"/>
  <c r="F45" i="53"/>
  <c r="H45" i="53"/>
  <c r="J45" i="53"/>
  <c r="E27" i="53"/>
  <c r="B45" i="53"/>
  <c r="D45" i="53"/>
  <c r="G43" i="53"/>
  <c r="C30" i="53"/>
  <c r="V34" i="52"/>
  <c r="V35" i="52" s="1"/>
  <c r="V36" i="52" s="1"/>
  <c r="V37" i="52" s="1"/>
  <c r="V38" i="52" s="1"/>
  <c r="V39" i="52" s="1"/>
  <c r="V40" i="52" s="1"/>
  <c r="V41" i="52" s="1"/>
  <c r="V42" i="52" s="1"/>
  <c r="V43" i="52" s="1"/>
  <c r="U34" i="52"/>
  <c r="U35" i="52" s="1"/>
  <c r="U36" i="52" s="1"/>
  <c r="U37" i="52" s="1"/>
  <c r="U38" i="52" s="1"/>
  <c r="U39" i="52" s="1"/>
  <c r="U40" i="52" s="1"/>
  <c r="U41" i="52" s="1"/>
  <c r="U42" i="52" s="1"/>
  <c r="U43" i="52" s="1"/>
  <c r="V33" i="52"/>
  <c r="T4" i="52"/>
  <c r="C29" i="52"/>
  <c r="D29" i="52" s="1"/>
  <c r="E43" i="52"/>
  <c r="R33" i="52"/>
  <c r="S33" i="52" s="1"/>
  <c r="B31" i="52"/>
  <c r="C31" i="52" s="1"/>
  <c r="P33" i="52"/>
  <c r="P34" i="52"/>
  <c r="P35" i="52" s="1"/>
  <c r="P36" i="52" s="1"/>
  <c r="P37" i="52" s="1"/>
  <c r="P38" i="52" s="1"/>
  <c r="P39" i="52" s="1"/>
  <c r="P40" i="52" s="1"/>
  <c r="P41" i="52" s="1"/>
  <c r="P42" i="52" s="1"/>
  <c r="P43" i="52" s="1"/>
  <c r="O34" i="52"/>
  <c r="O35" i="52" s="1"/>
  <c r="O36" i="52" s="1"/>
  <c r="O37" i="52" s="1"/>
  <c r="O38" i="52" s="1"/>
  <c r="O39" i="52" s="1"/>
  <c r="O40" i="52" s="1"/>
  <c r="O41" i="52" s="1"/>
  <c r="O42" i="52" s="1"/>
  <c r="O43" i="52" s="1"/>
  <c r="H45" i="52"/>
  <c r="F45" i="52"/>
  <c r="D45" i="52"/>
  <c r="B45" i="52"/>
  <c r="J45" i="52"/>
  <c r="E27" i="52"/>
  <c r="K43" i="52"/>
  <c r="C32" i="52"/>
  <c r="AB33" i="52"/>
  <c r="AB34" i="52"/>
  <c r="AB35" i="52" s="1"/>
  <c r="AB36" i="52" s="1"/>
  <c r="AB37" i="52" s="1"/>
  <c r="AB38" i="52" s="1"/>
  <c r="AB39" i="52" s="1"/>
  <c r="AB40" i="52" s="1"/>
  <c r="AB41" i="52" s="1"/>
  <c r="AB42" i="52" s="1"/>
  <c r="AB43" i="52" s="1"/>
  <c r="AA34" i="52"/>
  <c r="AA35" i="52" s="1"/>
  <c r="AA36" i="52" s="1"/>
  <c r="AA37" i="52" s="1"/>
  <c r="AA38" i="52" s="1"/>
  <c r="AA39" i="52" s="1"/>
  <c r="AA40" i="52" s="1"/>
  <c r="AA41" i="52" s="1"/>
  <c r="AA42" i="52" s="1"/>
  <c r="AA43" i="52" s="1"/>
  <c r="G44" i="52"/>
  <c r="D30" i="52"/>
  <c r="C28" i="52"/>
  <c r="C43" i="52"/>
  <c r="X34" i="52"/>
  <c r="X35" i="52" s="1"/>
  <c r="X36" i="52" s="1"/>
  <c r="X37" i="52" s="1"/>
  <c r="X38" i="52" s="1"/>
  <c r="X39" i="52" s="1"/>
  <c r="X40" i="52" s="1"/>
  <c r="X41" i="52" s="1"/>
  <c r="X42" i="52" s="1"/>
  <c r="X43" i="52" s="1"/>
  <c r="Y33" i="52"/>
  <c r="Y34" i="52"/>
  <c r="Y35" i="52" s="1"/>
  <c r="Y36" i="52" s="1"/>
  <c r="Y37" i="52" s="1"/>
  <c r="Y38" i="52" s="1"/>
  <c r="Y39" i="52" s="1"/>
  <c r="Y40" i="52" s="1"/>
  <c r="Y41" i="52" s="1"/>
  <c r="Y42" i="52" s="1"/>
  <c r="Y43" i="52" s="1"/>
  <c r="D54" i="52" l="1"/>
  <c r="D55" i="52"/>
  <c r="E54" i="54"/>
  <c r="Y33" i="54"/>
  <c r="Y34" i="54"/>
  <c r="Y35" i="54" s="1"/>
  <c r="Y36" i="54" s="1"/>
  <c r="Y37" i="54" s="1"/>
  <c r="Y38" i="54" s="1"/>
  <c r="Y39" i="54" s="1"/>
  <c r="Y40" i="54" s="1"/>
  <c r="Y41" i="54" s="1"/>
  <c r="Y42" i="54" s="1"/>
  <c r="Y43" i="54" s="1"/>
  <c r="E43" i="54"/>
  <c r="C29" i="54"/>
  <c r="K44" i="54"/>
  <c r="D32" i="54"/>
  <c r="G44" i="54"/>
  <c r="D30" i="54"/>
  <c r="J46" i="54"/>
  <c r="H46" i="54"/>
  <c r="F27" i="54"/>
  <c r="F46" i="54"/>
  <c r="D46" i="54"/>
  <c r="B46" i="54"/>
  <c r="D31" i="54"/>
  <c r="I44" i="54"/>
  <c r="D28" i="54"/>
  <c r="C44" i="54"/>
  <c r="V33" i="53"/>
  <c r="A37" i="53"/>
  <c r="E55" i="53"/>
  <c r="E43" i="53"/>
  <c r="D31" i="53"/>
  <c r="I44" i="53"/>
  <c r="G44" i="53"/>
  <c r="D30" i="53"/>
  <c r="J46" i="53"/>
  <c r="H46" i="53"/>
  <c r="F27" i="53"/>
  <c r="F46" i="53"/>
  <c r="B46" i="53"/>
  <c r="D46" i="53"/>
  <c r="D32" i="53"/>
  <c r="K44" i="53"/>
  <c r="E44" i="53"/>
  <c r="D29" i="53"/>
  <c r="D28" i="53"/>
  <c r="C44" i="53"/>
  <c r="E44" i="52"/>
  <c r="R34" i="52"/>
  <c r="R35" i="52" s="1"/>
  <c r="R36" i="52" s="1"/>
  <c r="R37" i="52" s="1"/>
  <c r="R38" i="52" s="1"/>
  <c r="R39" i="52" s="1"/>
  <c r="R40" i="52" s="1"/>
  <c r="R41" i="52" s="1"/>
  <c r="R42" i="52" s="1"/>
  <c r="R43" i="52" s="1"/>
  <c r="S34" i="52"/>
  <c r="S35" i="52" s="1"/>
  <c r="S36" i="52" s="1"/>
  <c r="S37" i="52" s="1"/>
  <c r="S38" i="52" s="1"/>
  <c r="S39" i="52" s="1"/>
  <c r="S40" i="52" s="1"/>
  <c r="S41" i="52" s="1"/>
  <c r="S42" i="52" s="1"/>
  <c r="S43" i="52" s="1"/>
  <c r="A37" i="52"/>
  <c r="I43" i="52"/>
  <c r="D31" i="52"/>
  <c r="I44" i="52"/>
  <c r="K44" i="52"/>
  <c r="D32" i="52"/>
  <c r="E29" i="52"/>
  <c r="E45" i="52"/>
  <c r="D28" i="52"/>
  <c r="C44" i="52"/>
  <c r="E30" i="52"/>
  <c r="G45" i="52"/>
  <c r="J46" i="52"/>
  <c r="H46" i="52"/>
  <c r="F27" i="52"/>
  <c r="B46" i="52"/>
  <c r="F46" i="52"/>
  <c r="D46" i="52"/>
  <c r="D29" i="54" l="1"/>
  <c r="E44" i="54"/>
  <c r="J47" i="54"/>
  <c r="F47" i="54"/>
  <c r="D47" i="54"/>
  <c r="B47" i="54"/>
  <c r="H47" i="54"/>
  <c r="E30" i="54"/>
  <c r="G45" i="54"/>
  <c r="C45" i="54"/>
  <c r="E28" i="54"/>
  <c r="E32" i="54"/>
  <c r="K45" i="54"/>
  <c r="I45" i="54"/>
  <c r="E31" i="54"/>
  <c r="E32" i="53"/>
  <c r="K45" i="53"/>
  <c r="B47" i="53"/>
  <c r="J47" i="53"/>
  <c r="F47" i="53"/>
  <c r="D47" i="53"/>
  <c r="H47" i="53"/>
  <c r="E30" i="53"/>
  <c r="G45" i="53"/>
  <c r="E28" i="53"/>
  <c r="C45" i="53"/>
  <c r="E45" i="53"/>
  <c r="E29" i="53"/>
  <c r="I45" i="53"/>
  <c r="E31" i="53"/>
  <c r="C45" i="52"/>
  <c r="E28" i="52"/>
  <c r="F29" i="52"/>
  <c r="E47" i="52" s="1"/>
  <c r="E46" i="52"/>
  <c r="E32" i="52"/>
  <c r="K45" i="52"/>
  <c r="F30" i="52"/>
  <c r="G46" i="52"/>
  <c r="J47" i="52"/>
  <c r="H47" i="52"/>
  <c r="F47" i="52"/>
  <c r="D47" i="52"/>
  <c r="B47" i="52"/>
  <c r="I45" i="52"/>
  <c r="E31" i="52"/>
  <c r="E45" i="54" l="1"/>
  <c r="E29" i="54"/>
  <c r="K46" i="54"/>
  <c r="F32" i="54"/>
  <c r="K47" i="54" s="1"/>
  <c r="C46" i="54"/>
  <c r="F28" i="54"/>
  <c r="C47" i="54" s="1"/>
  <c r="F30" i="54"/>
  <c r="G46" i="54"/>
  <c r="I46" i="54"/>
  <c r="F31" i="54"/>
  <c r="F29" i="53"/>
  <c r="E47" i="53" s="1"/>
  <c r="E46" i="53"/>
  <c r="K46" i="53"/>
  <c r="F32" i="53"/>
  <c r="K47" i="53" s="1"/>
  <c r="F30" i="53"/>
  <c r="G46" i="53"/>
  <c r="I46" i="53"/>
  <c r="F31" i="53"/>
  <c r="C46" i="53"/>
  <c r="F28" i="53"/>
  <c r="C47" i="53" s="1"/>
  <c r="K46" i="52"/>
  <c r="F32" i="52"/>
  <c r="K47" i="52" s="1"/>
  <c r="I46" i="52"/>
  <c r="F31" i="52"/>
  <c r="C46" i="52"/>
  <c r="F28" i="52"/>
  <c r="C47" i="52" s="1"/>
  <c r="E46" i="54" l="1"/>
  <c r="F29" i="54"/>
  <c r="E47" i="54" s="1"/>
  <c r="I47" i="54"/>
  <c r="G47" i="54"/>
  <c r="I47" i="53"/>
  <c r="G47" i="53"/>
  <c r="I47" i="52"/>
  <c r="G47" i="52"/>
  <c r="D2" i="48" l="1"/>
  <c r="E2" i="48"/>
  <c r="M10" i="48"/>
  <c r="H13" i="48"/>
  <c r="H12" i="48"/>
  <c r="H11" i="48"/>
  <c r="H10" i="48"/>
  <c r="H8" i="48"/>
  <c r="H7" i="48"/>
  <c r="U34" i="19"/>
  <c r="M17" i="48"/>
  <c r="M7" i="48"/>
  <c r="U33" i="19"/>
  <c r="U35" i="19" s="1"/>
  <c r="U36" i="19" s="1"/>
  <c r="U37" i="19" s="1"/>
  <c r="U38" i="19" s="1"/>
  <c r="U39" i="19" s="1"/>
  <c r="U40" i="19" s="1"/>
  <c r="U41" i="19" s="1"/>
  <c r="U42" i="19" s="1"/>
  <c r="U43" i="19" s="1"/>
  <c r="U33" i="27"/>
  <c r="U34" i="27" s="1"/>
  <c r="U35" i="27" s="1"/>
  <c r="U36" i="27" s="1"/>
  <c r="U37" i="27" s="1"/>
  <c r="U38" i="27" s="1"/>
  <c r="U39" i="27" s="1"/>
  <c r="U40" i="27" s="1"/>
  <c r="U41" i="27" s="1"/>
  <c r="U42" i="27" s="1"/>
  <c r="U43" i="27" s="1"/>
  <c r="U33" i="30"/>
  <c r="U34" i="30" s="1"/>
  <c r="U35" i="30" s="1"/>
  <c r="U36" i="30" s="1"/>
  <c r="U37" i="30" s="1"/>
  <c r="U38" i="30" s="1"/>
  <c r="U39" i="30" s="1"/>
  <c r="U40" i="30" s="1"/>
  <c r="U41" i="30" s="1"/>
  <c r="U42" i="30" s="1"/>
  <c r="U43" i="30" s="1"/>
  <c r="U33" i="31"/>
  <c r="U34" i="31" s="1"/>
  <c r="U35" i="31" s="1"/>
  <c r="U36" i="31" s="1"/>
  <c r="U37" i="31" s="1"/>
  <c r="U38" i="31" s="1"/>
  <c r="U39" i="31" s="1"/>
  <c r="U40" i="31" s="1"/>
  <c r="U41" i="31" s="1"/>
  <c r="U42" i="31" s="1"/>
  <c r="U43" i="31" s="1"/>
  <c r="U33" i="17"/>
  <c r="U34" i="17" s="1"/>
  <c r="U35" i="17" s="1"/>
  <c r="U36" i="17" s="1"/>
  <c r="U37" i="17" s="1"/>
  <c r="U38" i="17" s="1"/>
  <c r="U39" i="17" s="1"/>
  <c r="U40" i="17" s="1"/>
  <c r="U41" i="17" s="1"/>
  <c r="U42" i="17" s="1"/>
  <c r="U43" i="17" s="1"/>
  <c r="U33" i="26"/>
  <c r="U34" i="26" s="1"/>
  <c r="U35" i="26" s="1"/>
  <c r="U36" i="26" s="1"/>
  <c r="U37" i="26" s="1"/>
  <c r="U38" i="26" s="1"/>
  <c r="U39" i="26" s="1"/>
  <c r="U40" i="26" s="1"/>
  <c r="U41" i="26" s="1"/>
  <c r="U42" i="26" s="1"/>
  <c r="U43" i="26" s="1"/>
  <c r="U33" i="32"/>
  <c r="U34" i="32" s="1"/>
  <c r="U35" i="32" s="1"/>
  <c r="U36" i="32" s="1"/>
  <c r="U37" i="32" s="1"/>
  <c r="U38" i="32" s="1"/>
  <c r="U39" i="32" s="1"/>
  <c r="U40" i="32" s="1"/>
  <c r="U41" i="32" s="1"/>
  <c r="U42" i="32" s="1"/>
  <c r="U43" i="32" s="1"/>
  <c r="U33" i="33"/>
  <c r="U34" i="33" s="1"/>
  <c r="U35" i="33" s="1"/>
  <c r="U36" i="33" s="1"/>
  <c r="U37" i="33" s="1"/>
  <c r="U38" i="33" s="1"/>
  <c r="U39" i="33" s="1"/>
  <c r="U40" i="33" s="1"/>
  <c r="U41" i="33" s="1"/>
  <c r="U42" i="33" s="1"/>
  <c r="U43" i="33" s="1"/>
  <c r="U33" i="22"/>
  <c r="U34" i="22" s="1"/>
  <c r="U35" i="22" s="1"/>
  <c r="U36" i="22" s="1"/>
  <c r="U37" i="22" s="1"/>
  <c r="U38" i="22" s="1"/>
  <c r="U39" i="22" s="1"/>
  <c r="U40" i="22" s="1"/>
  <c r="U41" i="22" s="1"/>
  <c r="U42" i="22" s="1"/>
  <c r="U43" i="22" s="1"/>
  <c r="U33" i="25"/>
  <c r="U34" i="25" s="1"/>
  <c r="U35" i="25" s="1"/>
  <c r="U36" i="25" s="1"/>
  <c r="U37" i="25" s="1"/>
  <c r="U38" i="25" s="1"/>
  <c r="U39" i="25" s="1"/>
  <c r="U40" i="25" s="1"/>
  <c r="U41" i="25" s="1"/>
  <c r="U42" i="25" s="1"/>
  <c r="U43" i="25" s="1"/>
  <c r="U33" i="34"/>
  <c r="U34" i="34" s="1"/>
  <c r="U35" i="34" s="1"/>
  <c r="U36" i="34" s="1"/>
  <c r="U37" i="34" s="1"/>
  <c r="U38" i="34" s="1"/>
  <c r="U39" i="34" s="1"/>
  <c r="U40" i="34" s="1"/>
  <c r="U41" i="34" s="1"/>
  <c r="U42" i="34" s="1"/>
  <c r="U43" i="34" s="1"/>
  <c r="U33" i="35"/>
  <c r="U34" i="35" s="1"/>
  <c r="U35" i="35" s="1"/>
  <c r="U36" i="35" s="1"/>
  <c r="U37" i="35" s="1"/>
  <c r="U38" i="35" s="1"/>
  <c r="U39" i="35" s="1"/>
  <c r="U40" i="35" s="1"/>
  <c r="U41" i="35" s="1"/>
  <c r="U42" i="35" s="1"/>
  <c r="U43" i="35" s="1"/>
  <c r="U33" i="23"/>
  <c r="U34" i="23" s="1"/>
  <c r="U35" i="23" s="1"/>
  <c r="U36" i="23" s="1"/>
  <c r="U37" i="23" s="1"/>
  <c r="U38" i="23" s="1"/>
  <c r="U39" i="23" s="1"/>
  <c r="U40" i="23" s="1"/>
  <c r="U41" i="23" s="1"/>
  <c r="U42" i="23" s="1"/>
  <c r="U43" i="23" s="1"/>
  <c r="U33" i="18"/>
  <c r="U34" i="18" s="1"/>
  <c r="U35" i="18" s="1"/>
  <c r="U36" i="18" s="1"/>
  <c r="U37" i="18" s="1"/>
  <c r="U38" i="18" s="1"/>
  <c r="U39" i="18" s="1"/>
  <c r="U40" i="18" s="1"/>
  <c r="U41" i="18" s="1"/>
  <c r="U42" i="18" s="1"/>
  <c r="U43" i="18" s="1"/>
  <c r="U33" i="36"/>
  <c r="U34" i="36" s="1"/>
  <c r="U35" i="36" s="1"/>
  <c r="U36" i="36" s="1"/>
  <c r="U37" i="36" s="1"/>
  <c r="U38" i="36" s="1"/>
  <c r="U39" i="36" s="1"/>
  <c r="U40" i="36" s="1"/>
  <c r="U41" i="36" s="1"/>
  <c r="U42" i="36" s="1"/>
  <c r="U43" i="36" s="1"/>
  <c r="U33" i="37"/>
  <c r="U34" i="37" s="1"/>
  <c r="U35" i="37" s="1"/>
  <c r="U36" i="37" s="1"/>
  <c r="U37" i="37" s="1"/>
  <c r="U38" i="37" s="1"/>
  <c r="U39" i="37" s="1"/>
  <c r="U40" i="37" s="1"/>
  <c r="U41" i="37" s="1"/>
  <c r="U42" i="37" s="1"/>
  <c r="U43" i="37" s="1"/>
  <c r="U33" i="20"/>
  <c r="U34" i="20" s="1"/>
  <c r="U35" i="20" s="1"/>
  <c r="U36" i="20" s="1"/>
  <c r="U37" i="20" s="1"/>
  <c r="U38" i="20" s="1"/>
  <c r="U39" i="20" s="1"/>
  <c r="U40" i="20" s="1"/>
  <c r="U41" i="20" s="1"/>
  <c r="U42" i="20" s="1"/>
  <c r="U43" i="20" s="1"/>
  <c r="U33" i="28"/>
  <c r="U34" i="28" s="1"/>
  <c r="U35" i="28" s="1"/>
  <c r="U36" i="28" s="1"/>
  <c r="U37" i="28" s="1"/>
  <c r="U38" i="28" s="1"/>
  <c r="U39" i="28" s="1"/>
  <c r="U40" i="28" s="1"/>
  <c r="U41" i="28" s="1"/>
  <c r="U42" i="28" s="1"/>
  <c r="U43" i="28" s="1"/>
  <c r="U33" i="38"/>
  <c r="U34" i="38" s="1"/>
  <c r="U35" i="38" s="1"/>
  <c r="U36" i="38" s="1"/>
  <c r="U37" i="38" s="1"/>
  <c r="U38" i="38" s="1"/>
  <c r="U39" i="38" s="1"/>
  <c r="U40" i="38" s="1"/>
  <c r="U41" i="38" s="1"/>
  <c r="U42" i="38" s="1"/>
  <c r="U43" i="38" s="1"/>
  <c r="U33" i="39"/>
  <c r="U34" i="39" s="1"/>
  <c r="U35" i="39" s="1"/>
  <c r="U36" i="39" s="1"/>
  <c r="U37" i="39" s="1"/>
  <c r="U38" i="39" s="1"/>
  <c r="U39" i="39" s="1"/>
  <c r="U40" i="39" s="1"/>
  <c r="U41" i="39" s="1"/>
  <c r="U42" i="39" s="1"/>
  <c r="U43" i="39" s="1"/>
  <c r="U33" i="24"/>
  <c r="U34" i="24" s="1"/>
  <c r="U35" i="24" s="1"/>
  <c r="U36" i="24" s="1"/>
  <c r="U37" i="24" s="1"/>
  <c r="U38" i="24" s="1"/>
  <c r="U39" i="24" s="1"/>
  <c r="U40" i="24" s="1"/>
  <c r="U41" i="24" s="1"/>
  <c r="U42" i="24" s="1"/>
  <c r="U43" i="24" s="1"/>
  <c r="U33" i="40"/>
  <c r="U34" i="40" s="1"/>
  <c r="U35" i="40" s="1"/>
  <c r="U36" i="40" s="1"/>
  <c r="U37" i="40" s="1"/>
  <c r="U38" i="40" s="1"/>
  <c r="U39" i="40" s="1"/>
  <c r="U40" i="40" s="1"/>
  <c r="U41" i="40" s="1"/>
  <c r="U42" i="40" s="1"/>
  <c r="U43" i="40" s="1"/>
  <c r="U33" i="29"/>
  <c r="U34" i="29" s="1"/>
  <c r="U35" i="29" s="1"/>
  <c r="U36" i="29" s="1"/>
  <c r="U37" i="29" s="1"/>
  <c r="U38" i="29" s="1"/>
  <c r="U39" i="29" s="1"/>
  <c r="U40" i="29" s="1"/>
  <c r="U41" i="29" s="1"/>
  <c r="U42" i="29" s="1"/>
  <c r="U43" i="29" s="1"/>
  <c r="U33" i="41"/>
  <c r="U34" i="41" s="1"/>
  <c r="U35" i="41" s="1"/>
  <c r="U36" i="41" s="1"/>
  <c r="U37" i="41" s="1"/>
  <c r="U38" i="41" s="1"/>
  <c r="U39" i="41" s="1"/>
  <c r="U40" i="41" s="1"/>
  <c r="U41" i="41" s="1"/>
  <c r="U42" i="41" s="1"/>
  <c r="U43" i="41" s="1"/>
  <c r="R2" i="19"/>
  <c r="O14" i="19"/>
  <c r="M14" i="48"/>
  <c r="M16" i="48"/>
  <c r="D16" i="48"/>
  <c r="E16" i="48" s="1"/>
  <c r="F16" i="48" s="1"/>
  <c r="G16" i="48" s="1"/>
  <c r="H16" i="48" s="1"/>
  <c r="I16" i="48" s="1"/>
  <c r="J16" i="48" s="1"/>
  <c r="K16" i="48" s="1"/>
  <c r="L16" i="48" s="1"/>
  <c r="D19" i="48"/>
  <c r="E19" i="48" s="1"/>
  <c r="F19" i="48" s="1"/>
  <c r="G19" i="48" s="1"/>
  <c r="H19" i="48" s="1"/>
  <c r="I19" i="48" s="1"/>
  <c r="J19" i="48" s="1"/>
  <c r="K19" i="48" s="1"/>
  <c r="L19" i="48" s="1"/>
  <c r="D18" i="48"/>
  <c r="E18" i="48" s="1"/>
  <c r="F18" i="48" s="1"/>
  <c r="G18" i="48" s="1"/>
  <c r="H18" i="48" s="1"/>
  <c r="I18" i="48" s="1"/>
  <c r="J18" i="48" s="1"/>
  <c r="K18" i="48" s="1"/>
  <c r="L18" i="48" s="1"/>
  <c r="D14" i="48"/>
  <c r="E14" i="48" s="1"/>
  <c r="F14" i="48" s="1"/>
  <c r="G14" i="48" s="1"/>
  <c r="H14" i="48" s="1"/>
  <c r="I14" i="48" s="1"/>
  <c r="J14" i="48" s="1"/>
  <c r="K14" i="48" s="1"/>
  <c r="L14" i="48" s="1"/>
  <c r="D6" i="48"/>
  <c r="E6" i="48" s="1"/>
  <c r="F6" i="48" s="1"/>
  <c r="G6" i="48" s="1"/>
  <c r="H6" i="48" s="1"/>
  <c r="I6" i="48" s="1"/>
  <c r="J6" i="48" s="1"/>
  <c r="K6" i="48" s="1"/>
  <c r="L6" i="48" s="1"/>
  <c r="D5" i="48"/>
  <c r="E5" i="48" s="1"/>
  <c r="F5" i="48" s="1"/>
  <c r="G5" i="48" s="1"/>
  <c r="H5" i="48" s="1"/>
  <c r="I5" i="48" s="1"/>
  <c r="J5" i="48" s="1"/>
  <c r="K5" i="48" s="1"/>
  <c r="L5" i="48" s="1"/>
  <c r="D4" i="48"/>
  <c r="E4" i="48" s="1"/>
  <c r="F4" i="48" s="1"/>
  <c r="G4" i="48" s="1"/>
  <c r="H4" i="48" s="1"/>
  <c r="I4" i="48" s="1"/>
  <c r="J4" i="48" s="1"/>
  <c r="K4" i="48" s="1"/>
  <c r="L4" i="48" s="1"/>
  <c r="D3" i="48"/>
  <c r="E3" i="48" s="1"/>
  <c r="F3" i="48" s="1"/>
  <c r="G3" i="48" s="1"/>
  <c r="H3" i="48" s="1"/>
  <c r="I3" i="48" s="1"/>
  <c r="J3" i="48" s="1"/>
  <c r="F2" i="48"/>
  <c r="G2" i="48" s="1"/>
  <c r="H2" i="48" s="1"/>
  <c r="D17" i="48"/>
  <c r="E17" i="48" s="1"/>
  <c r="F17" i="48" s="1"/>
  <c r="G17" i="48" s="1"/>
  <c r="H17" i="48" s="1"/>
  <c r="I17" i="48" s="1"/>
  <c r="J17" i="48" s="1"/>
  <c r="K17" i="48" s="1"/>
  <c r="L17" i="48" s="1"/>
  <c r="D15" i="48"/>
  <c r="E15" i="48" s="1"/>
  <c r="F15" i="48" s="1"/>
  <c r="G15" i="48" s="1"/>
  <c r="H15" i="48" s="1"/>
  <c r="I15" i="48" s="1"/>
  <c r="J15" i="48" s="1"/>
  <c r="K15" i="48" s="1"/>
  <c r="L15" i="48" s="1"/>
  <c r="R2" i="48"/>
  <c r="B28" i="48" s="1"/>
  <c r="C43" i="48" s="1"/>
  <c r="J43" i="48"/>
  <c r="H43" i="48"/>
  <c r="F43" i="48"/>
  <c r="B43" i="48"/>
  <c r="D43" i="48" s="1"/>
  <c r="N33" i="48"/>
  <c r="T33" i="48" s="1"/>
  <c r="T34" i="48" s="1"/>
  <c r="T35" i="48" s="1"/>
  <c r="T36" i="48" s="1"/>
  <c r="T37" i="48" s="1"/>
  <c r="T38" i="48" s="1"/>
  <c r="T39" i="48" s="1"/>
  <c r="T40" i="48" s="1"/>
  <c r="T41" i="48" s="1"/>
  <c r="T42" i="48" s="1"/>
  <c r="T43" i="48" s="1"/>
  <c r="C27" i="48"/>
  <c r="B44" i="48" s="1"/>
  <c r="D44" i="48" s="1"/>
  <c r="O19" i="48"/>
  <c r="M19" i="48"/>
  <c r="O18" i="48"/>
  <c r="M18" i="48"/>
  <c r="O16" i="48"/>
  <c r="O15" i="48"/>
  <c r="M15" i="48"/>
  <c r="O13" i="48"/>
  <c r="M13" i="48"/>
  <c r="O12" i="48"/>
  <c r="P12" i="48" s="1"/>
  <c r="M12" i="48"/>
  <c r="O11" i="48"/>
  <c r="M11" i="48"/>
  <c r="O10" i="48"/>
  <c r="O8" i="48"/>
  <c r="M8" i="48"/>
  <c r="M6" i="48"/>
  <c r="O5" i="48"/>
  <c r="M5" i="48"/>
  <c r="J43" i="41"/>
  <c r="H43" i="41"/>
  <c r="F43" i="41"/>
  <c r="B43" i="41"/>
  <c r="D43" i="41" s="1"/>
  <c r="Q35" i="41"/>
  <c r="Q36" i="41" s="1"/>
  <c r="Q37" i="41" s="1"/>
  <c r="Q38" i="41" s="1"/>
  <c r="Q39" i="41" s="1"/>
  <c r="Q40" i="41" s="1"/>
  <c r="Q41" i="41" s="1"/>
  <c r="Q42" i="41" s="1"/>
  <c r="Q43" i="41" s="1"/>
  <c r="O35" i="41"/>
  <c r="O36" i="41" s="1"/>
  <c r="O37" i="41" s="1"/>
  <c r="O38" i="41" s="1"/>
  <c r="O39" i="41" s="1"/>
  <c r="O40" i="41" s="1"/>
  <c r="O41" i="41" s="1"/>
  <c r="O42" i="41" s="1"/>
  <c r="O43" i="41" s="1"/>
  <c r="N34" i="41"/>
  <c r="N35" i="41" s="1"/>
  <c r="N36" i="41" s="1"/>
  <c r="N37" i="41" s="1"/>
  <c r="N38" i="41" s="1"/>
  <c r="N39" i="41" s="1"/>
  <c r="N40" i="41" s="1"/>
  <c r="N41" i="41" s="1"/>
  <c r="N42" i="41" s="1"/>
  <c r="N43" i="41" s="1"/>
  <c r="Z33" i="41"/>
  <c r="Z34" i="41" s="1"/>
  <c r="Z35" i="41" s="1"/>
  <c r="Z36" i="41" s="1"/>
  <c r="Z37" i="41" s="1"/>
  <c r="Z38" i="41" s="1"/>
  <c r="Z39" i="41" s="1"/>
  <c r="Z40" i="41" s="1"/>
  <c r="Z41" i="41" s="1"/>
  <c r="Z42" i="41" s="1"/>
  <c r="Z43" i="41" s="1"/>
  <c r="W33" i="41"/>
  <c r="W34" i="41" s="1"/>
  <c r="W35" i="41" s="1"/>
  <c r="W36" i="41" s="1"/>
  <c r="W37" i="41" s="1"/>
  <c r="W38" i="41" s="1"/>
  <c r="W39" i="41" s="1"/>
  <c r="W40" i="41" s="1"/>
  <c r="W41" i="41" s="1"/>
  <c r="W42" i="41" s="1"/>
  <c r="W43" i="41" s="1"/>
  <c r="N33" i="41"/>
  <c r="Q33" i="41" s="1"/>
  <c r="Q34" i="41" s="1"/>
  <c r="C27" i="41"/>
  <c r="O19" i="41"/>
  <c r="M19" i="41"/>
  <c r="O18" i="41"/>
  <c r="R6" i="41" s="1"/>
  <c r="M18" i="41"/>
  <c r="O17" i="41"/>
  <c r="M17" i="41"/>
  <c r="O16" i="41"/>
  <c r="M16" i="41"/>
  <c r="O15" i="41"/>
  <c r="M15" i="41"/>
  <c r="O14" i="41"/>
  <c r="M14" i="41"/>
  <c r="O13" i="41"/>
  <c r="M13" i="41"/>
  <c r="O12" i="41"/>
  <c r="P12" i="41" s="1"/>
  <c r="M12" i="41"/>
  <c r="O11" i="41"/>
  <c r="M11" i="41"/>
  <c r="O10" i="41"/>
  <c r="M10" i="41"/>
  <c r="O8" i="41"/>
  <c r="M8" i="41"/>
  <c r="M7" i="41"/>
  <c r="O6" i="41"/>
  <c r="M6" i="41"/>
  <c r="O5" i="41"/>
  <c r="M5" i="41"/>
  <c r="O4" i="41"/>
  <c r="D4" i="41"/>
  <c r="E4" i="41" s="1"/>
  <c r="F4" i="41" s="1"/>
  <c r="G4" i="41" s="1"/>
  <c r="H4" i="41" s="1"/>
  <c r="I4" i="41" s="1"/>
  <c r="J4" i="41" s="1"/>
  <c r="K4" i="41" s="1"/>
  <c r="L4" i="41" s="1"/>
  <c r="M4" i="41" s="1"/>
  <c r="D3" i="41"/>
  <c r="E3" i="41" s="1"/>
  <c r="F3" i="41" s="1"/>
  <c r="G3" i="41" s="1"/>
  <c r="H3" i="41" s="1"/>
  <c r="I3" i="41" s="1"/>
  <c r="J3" i="41" s="1"/>
  <c r="K3" i="41" s="1"/>
  <c r="L3" i="41" s="1"/>
  <c r="M3" i="41" s="1"/>
  <c r="R2" i="41"/>
  <c r="O33" i="41" s="1"/>
  <c r="O34" i="41" s="1"/>
  <c r="H2" i="41"/>
  <c r="I2" i="41" s="1"/>
  <c r="J2" i="41" s="1"/>
  <c r="K2" i="41" s="1"/>
  <c r="L2" i="41" s="1"/>
  <c r="M2" i="41" s="1"/>
  <c r="D2" i="41"/>
  <c r="E2" i="41" s="1"/>
  <c r="F2" i="41" s="1"/>
  <c r="G2" i="41" s="1"/>
  <c r="J43" i="40"/>
  <c r="H43" i="40"/>
  <c r="F43" i="40"/>
  <c r="B43" i="40"/>
  <c r="D43" i="40" s="1"/>
  <c r="W39" i="40"/>
  <c r="W40" i="40" s="1"/>
  <c r="W41" i="40" s="1"/>
  <c r="W42" i="40" s="1"/>
  <c r="W43" i="40" s="1"/>
  <c r="T38" i="40"/>
  <c r="T39" i="40" s="1"/>
  <c r="T40" i="40" s="1"/>
  <c r="T41" i="40" s="1"/>
  <c r="T42" i="40" s="1"/>
  <c r="T43" i="40" s="1"/>
  <c r="N34" i="40"/>
  <c r="N35" i="40" s="1"/>
  <c r="N36" i="40" s="1"/>
  <c r="N37" i="40" s="1"/>
  <c r="N38" i="40" s="1"/>
  <c r="N39" i="40" s="1"/>
  <c r="N40" i="40" s="1"/>
  <c r="N41" i="40" s="1"/>
  <c r="N42" i="40" s="1"/>
  <c r="N43" i="40" s="1"/>
  <c r="W33" i="40"/>
  <c r="W34" i="40" s="1"/>
  <c r="W35" i="40" s="1"/>
  <c r="W36" i="40" s="1"/>
  <c r="W37" i="40" s="1"/>
  <c r="W38" i="40" s="1"/>
  <c r="N33" i="40"/>
  <c r="T33" i="40" s="1"/>
  <c r="T34" i="40" s="1"/>
  <c r="T35" i="40" s="1"/>
  <c r="T36" i="40" s="1"/>
  <c r="T37" i="40" s="1"/>
  <c r="C27" i="40"/>
  <c r="H44" i="40" s="1"/>
  <c r="O19" i="40"/>
  <c r="M19" i="40"/>
  <c r="O18" i="40"/>
  <c r="M18" i="40"/>
  <c r="O17" i="40"/>
  <c r="M17" i="40"/>
  <c r="O16" i="40"/>
  <c r="M16" i="40"/>
  <c r="O15" i="40"/>
  <c r="M15" i="40"/>
  <c r="M14" i="40"/>
  <c r="O13" i="40"/>
  <c r="M13" i="40"/>
  <c r="P12" i="40"/>
  <c r="O12" i="40"/>
  <c r="M12" i="40"/>
  <c r="O11" i="40"/>
  <c r="M11" i="40"/>
  <c r="O10" i="40"/>
  <c r="M10" i="40"/>
  <c r="O8" i="40"/>
  <c r="M8" i="40"/>
  <c r="M7" i="40"/>
  <c r="O6" i="40"/>
  <c r="M6" i="40"/>
  <c r="O5" i="40"/>
  <c r="M5" i="40"/>
  <c r="O4" i="40"/>
  <c r="D4" i="40"/>
  <c r="E4" i="40" s="1"/>
  <c r="F4" i="40" s="1"/>
  <c r="G4" i="40" s="1"/>
  <c r="H4" i="40" s="1"/>
  <c r="I4" i="40" s="1"/>
  <c r="J4" i="40" s="1"/>
  <c r="K4" i="40" s="1"/>
  <c r="L4" i="40" s="1"/>
  <c r="M4" i="40" s="1"/>
  <c r="D3" i="40"/>
  <c r="E3" i="40" s="1"/>
  <c r="F3" i="40" s="1"/>
  <c r="G3" i="40" s="1"/>
  <c r="H3" i="40" s="1"/>
  <c r="I3" i="40" s="1"/>
  <c r="J3" i="40" s="1"/>
  <c r="K3" i="40" s="1"/>
  <c r="L3" i="40" s="1"/>
  <c r="M3" i="40" s="1"/>
  <c r="R2" i="40"/>
  <c r="B28" i="40" s="1"/>
  <c r="C43" i="40" s="1"/>
  <c r="H2" i="40"/>
  <c r="I2" i="40" s="1"/>
  <c r="J2" i="40" s="1"/>
  <c r="K2" i="40" s="1"/>
  <c r="L2" i="40" s="1"/>
  <c r="M2" i="40" s="1"/>
  <c r="E2" i="40"/>
  <c r="F2" i="40" s="1"/>
  <c r="G2" i="40" s="1"/>
  <c r="D2" i="40"/>
  <c r="J43" i="39"/>
  <c r="H43" i="39"/>
  <c r="F43" i="39"/>
  <c r="B43" i="39"/>
  <c r="D43" i="39" s="1"/>
  <c r="O34" i="39"/>
  <c r="O35" i="39" s="1"/>
  <c r="O36" i="39" s="1"/>
  <c r="O37" i="39" s="1"/>
  <c r="O38" i="39" s="1"/>
  <c r="O39" i="39" s="1"/>
  <c r="O40" i="39" s="1"/>
  <c r="O41" i="39" s="1"/>
  <c r="O42" i="39" s="1"/>
  <c r="O43" i="39" s="1"/>
  <c r="O33" i="39"/>
  <c r="N33" i="39"/>
  <c r="T33" i="39" s="1"/>
  <c r="T34" i="39" s="1"/>
  <c r="T35" i="39" s="1"/>
  <c r="T36" i="39" s="1"/>
  <c r="T37" i="39" s="1"/>
  <c r="T38" i="39" s="1"/>
  <c r="T39" i="39" s="1"/>
  <c r="T40" i="39" s="1"/>
  <c r="T41" i="39" s="1"/>
  <c r="T42" i="39" s="1"/>
  <c r="T43" i="39" s="1"/>
  <c r="B28" i="39"/>
  <c r="C27" i="39"/>
  <c r="B44" i="39" s="1"/>
  <c r="D44" i="39" s="1"/>
  <c r="O19" i="39"/>
  <c r="M19" i="39"/>
  <c r="O18" i="39"/>
  <c r="M18" i="39"/>
  <c r="O17" i="39"/>
  <c r="M17" i="39"/>
  <c r="O16" i="39"/>
  <c r="M16" i="39"/>
  <c r="O15" i="39"/>
  <c r="M15" i="39"/>
  <c r="O14" i="39"/>
  <c r="M14" i="39"/>
  <c r="O13" i="39"/>
  <c r="M13" i="39"/>
  <c r="O12" i="39"/>
  <c r="P12" i="39" s="1"/>
  <c r="M12" i="39"/>
  <c r="O11" i="39"/>
  <c r="M11" i="39"/>
  <c r="O10" i="39"/>
  <c r="M10" i="39"/>
  <c r="O8" i="39"/>
  <c r="M8" i="39"/>
  <c r="M7" i="39"/>
  <c r="O6" i="39"/>
  <c r="M6" i="39"/>
  <c r="O5" i="39"/>
  <c r="M5" i="39"/>
  <c r="O4" i="39"/>
  <c r="E4" i="39"/>
  <c r="F4" i="39" s="1"/>
  <c r="G4" i="39" s="1"/>
  <c r="H4" i="39" s="1"/>
  <c r="I4" i="39" s="1"/>
  <c r="J4" i="39" s="1"/>
  <c r="K4" i="39" s="1"/>
  <c r="L4" i="39" s="1"/>
  <c r="M4" i="39" s="1"/>
  <c r="D4" i="39"/>
  <c r="D3" i="39"/>
  <c r="E3" i="39" s="1"/>
  <c r="F3" i="39" s="1"/>
  <c r="G3" i="39" s="1"/>
  <c r="H3" i="39" s="1"/>
  <c r="I3" i="39" s="1"/>
  <c r="J3" i="39" s="1"/>
  <c r="K3" i="39" s="1"/>
  <c r="L3" i="39" s="1"/>
  <c r="M3" i="39" s="1"/>
  <c r="R2" i="39"/>
  <c r="I2" i="39"/>
  <c r="J2" i="39" s="1"/>
  <c r="K2" i="39" s="1"/>
  <c r="L2" i="39" s="1"/>
  <c r="M2" i="39" s="1"/>
  <c r="D2" i="39"/>
  <c r="E2" i="39" s="1"/>
  <c r="F2" i="39" s="1"/>
  <c r="G2" i="39" s="1"/>
  <c r="H2" i="39" s="1"/>
  <c r="J43" i="38"/>
  <c r="H43" i="38"/>
  <c r="F43" i="38"/>
  <c r="B43" i="38"/>
  <c r="D43" i="38" s="1"/>
  <c r="N34" i="38"/>
  <c r="N35" i="38" s="1"/>
  <c r="N36" i="38" s="1"/>
  <c r="N37" i="38" s="1"/>
  <c r="N38" i="38" s="1"/>
  <c r="N39" i="38" s="1"/>
  <c r="N40" i="38" s="1"/>
  <c r="N41" i="38" s="1"/>
  <c r="N42" i="38" s="1"/>
  <c r="N43" i="38" s="1"/>
  <c r="Z33" i="38"/>
  <c r="Z34" i="38" s="1"/>
  <c r="Z35" i="38" s="1"/>
  <c r="Z36" i="38" s="1"/>
  <c r="Z37" i="38" s="1"/>
  <c r="Z38" i="38" s="1"/>
  <c r="Z39" i="38" s="1"/>
  <c r="Z40" i="38" s="1"/>
  <c r="Z41" i="38" s="1"/>
  <c r="Z42" i="38" s="1"/>
  <c r="Z43" i="38" s="1"/>
  <c r="N33" i="38"/>
  <c r="T33" i="38" s="1"/>
  <c r="T34" i="38" s="1"/>
  <c r="T35" i="38" s="1"/>
  <c r="T36" i="38" s="1"/>
  <c r="T37" i="38" s="1"/>
  <c r="T38" i="38" s="1"/>
  <c r="T39" i="38" s="1"/>
  <c r="T40" i="38" s="1"/>
  <c r="T41" i="38" s="1"/>
  <c r="T42" i="38" s="1"/>
  <c r="T43" i="38" s="1"/>
  <c r="C27" i="38"/>
  <c r="B44" i="38" s="1"/>
  <c r="D44" i="38" s="1"/>
  <c r="O19" i="38"/>
  <c r="M19" i="38"/>
  <c r="O18" i="38"/>
  <c r="R6" i="38" s="1"/>
  <c r="B32" i="38" s="1"/>
  <c r="M18" i="38"/>
  <c r="O17" i="38"/>
  <c r="M17" i="38"/>
  <c r="O16" i="38"/>
  <c r="M16" i="38"/>
  <c r="O15" i="38"/>
  <c r="M15" i="38"/>
  <c r="M14" i="38"/>
  <c r="O13" i="38"/>
  <c r="M13" i="38"/>
  <c r="P12" i="38"/>
  <c r="O12" i="38"/>
  <c r="M12" i="38"/>
  <c r="O11" i="38"/>
  <c r="M11" i="38"/>
  <c r="O10" i="38"/>
  <c r="M10" i="38"/>
  <c r="O8" i="38"/>
  <c r="M8" i="38"/>
  <c r="M7" i="38"/>
  <c r="O6" i="38"/>
  <c r="M6" i="38"/>
  <c r="O5" i="38"/>
  <c r="M5" i="38"/>
  <c r="O4" i="38"/>
  <c r="D4" i="38"/>
  <c r="E4" i="38" s="1"/>
  <c r="F4" i="38" s="1"/>
  <c r="G4" i="38" s="1"/>
  <c r="H4" i="38" s="1"/>
  <c r="I4" i="38" s="1"/>
  <c r="J4" i="38" s="1"/>
  <c r="K4" i="38" s="1"/>
  <c r="L4" i="38" s="1"/>
  <c r="M4" i="38" s="1"/>
  <c r="D3" i="38"/>
  <c r="E3" i="38" s="1"/>
  <c r="F3" i="38" s="1"/>
  <c r="G3" i="38" s="1"/>
  <c r="H3" i="38" s="1"/>
  <c r="I3" i="38" s="1"/>
  <c r="J3" i="38" s="1"/>
  <c r="K3" i="38" s="1"/>
  <c r="L3" i="38" s="1"/>
  <c r="M3" i="38" s="1"/>
  <c r="B28" i="38"/>
  <c r="C43" i="38" s="1"/>
  <c r="D2" i="38"/>
  <c r="E2" i="38" s="1"/>
  <c r="F2" i="38" s="1"/>
  <c r="G2" i="38" s="1"/>
  <c r="H2" i="38" s="1"/>
  <c r="I2" i="38" s="1"/>
  <c r="J2" i="38" s="1"/>
  <c r="K2" i="38" s="1"/>
  <c r="L2" i="38" s="1"/>
  <c r="M2" i="38" s="1"/>
  <c r="J43" i="37"/>
  <c r="H43" i="37"/>
  <c r="F43" i="37"/>
  <c r="B43" i="37"/>
  <c r="D43" i="37" s="1"/>
  <c r="W33" i="37"/>
  <c r="W34" i="37" s="1"/>
  <c r="W35" i="37" s="1"/>
  <c r="W36" i="37" s="1"/>
  <c r="W37" i="37" s="1"/>
  <c r="W38" i="37" s="1"/>
  <c r="W39" i="37" s="1"/>
  <c r="W40" i="37" s="1"/>
  <c r="W41" i="37" s="1"/>
  <c r="W42" i="37" s="1"/>
  <c r="W43" i="37" s="1"/>
  <c r="N33" i="37"/>
  <c r="T33" i="37" s="1"/>
  <c r="T34" i="37" s="1"/>
  <c r="T35" i="37" s="1"/>
  <c r="T36" i="37" s="1"/>
  <c r="T37" i="37" s="1"/>
  <c r="T38" i="37" s="1"/>
  <c r="T39" i="37" s="1"/>
  <c r="T40" i="37" s="1"/>
  <c r="T41" i="37" s="1"/>
  <c r="T42" i="37" s="1"/>
  <c r="T43" i="37" s="1"/>
  <c r="C27" i="37"/>
  <c r="O19" i="37"/>
  <c r="M19" i="37"/>
  <c r="O18" i="37"/>
  <c r="M18" i="37"/>
  <c r="O17" i="37"/>
  <c r="M17" i="37"/>
  <c r="O16" i="37"/>
  <c r="M16" i="37"/>
  <c r="O15" i="37"/>
  <c r="M15" i="37"/>
  <c r="O14" i="37"/>
  <c r="M14" i="37"/>
  <c r="O13" i="37"/>
  <c r="M13" i="37"/>
  <c r="O12" i="37"/>
  <c r="P12" i="37" s="1"/>
  <c r="Q11" i="37" s="1"/>
  <c r="R11" i="37" s="1"/>
  <c r="R4" i="37" s="1"/>
  <c r="B30" i="37" s="1"/>
  <c r="M12" i="37"/>
  <c r="O11" i="37"/>
  <c r="M11" i="37"/>
  <c r="O10" i="37"/>
  <c r="M10" i="37"/>
  <c r="O8" i="37"/>
  <c r="M8" i="37"/>
  <c r="M7" i="37"/>
  <c r="O6" i="37"/>
  <c r="M6" i="37"/>
  <c r="O5" i="37"/>
  <c r="M5" i="37"/>
  <c r="O4" i="37"/>
  <c r="D4" i="37"/>
  <c r="E4" i="37" s="1"/>
  <c r="F4" i="37" s="1"/>
  <c r="G4" i="37" s="1"/>
  <c r="H4" i="37" s="1"/>
  <c r="I4" i="37" s="1"/>
  <c r="J4" i="37" s="1"/>
  <c r="K4" i="37" s="1"/>
  <c r="L4" i="37" s="1"/>
  <c r="M4" i="37" s="1"/>
  <c r="J3" i="37"/>
  <c r="K3" i="37" s="1"/>
  <c r="L3" i="37" s="1"/>
  <c r="M3" i="37" s="1"/>
  <c r="D3" i="37"/>
  <c r="E3" i="37" s="1"/>
  <c r="F3" i="37" s="1"/>
  <c r="G3" i="37" s="1"/>
  <c r="H3" i="37" s="1"/>
  <c r="I3" i="37" s="1"/>
  <c r="R2" i="37"/>
  <c r="B28" i="37" s="1"/>
  <c r="C43" i="37" s="1"/>
  <c r="D2" i="37"/>
  <c r="E2" i="37" s="1"/>
  <c r="F2" i="37" s="1"/>
  <c r="G2" i="37" s="1"/>
  <c r="H2" i="37" s="1"/>
  <c r="I2" i="37" s="1"/>
  <c r="J2" i="37" s="1"/>
  <c r="K2" i="37" s="1"/>
  <c r="L2" i="37" s="1"/>
  <c r="M2" i="37" s="1"/>
  <c r="J43" i="36"/>
  <c r="H43" i="36"/>
  <c r="F43" i="36"/>
  <c r="B43" i="36"/>
  <c r="D43" i="36" s="1"/>
  <c r="N33" i="36"/>
  <c r="T33" i="36" s="1"/>
  <c r="T34" i="36" s="1"/>
  <c r="T35" i="36" s="1"/>
  <c r="T36" i="36" s="1"/>
  <c r="T37" i="36" s="1"/>
  <c r="T38" i="36" s="1"/>
  <c r="T39" i="36" s="1"/>
  <c r="T40" i="36" s="1"/>
  <c r="T41" i="36" s="1"/>
  <c r="T42" i="36" s="1"/>
  <c r="T43" i="36" s="1"/>
  <c r="C27" i="36"/>
  <c r="D27" i="36" s="1"/>
  <c r="O19" i="36"/>
  <c r="R6" i="36" s="1"/>
  <c r="M19" i="36"/>
  <c r="O18" i="36"/>
  <c r="M18" i="36"/>
  <c r="O17" i="36"/>
  <c r="M17" i="36"/>
  <c r="O16" i="36"/>
  <c r="M16" i="36"/>
  <c r="O15" i="36"/>
  <c r="M15" i="36"/>
  <c r="M14" i="36"/>
  <c r="O13" i="36"/>
  <c r="M13" i="36"/>
  <c r="P12" i="36"/>
  <c r="O12" i="36"/>
  <c r="M12" i="36"/>
  <c r="O11" i="36"/>
  <c r="M11" i="36"/>
  <c r="O10" i="36"/>
  <c r="M10" i="36"/>
  <c r="O8" i="36"/>
  <c r="M8" i="36"/>
  <c r="M7" i="36"/>
  <c r="O6" i="36"/>
  <c r="M6" i="36"/>
  <c r="O5" i="36"/>
  <c r="M5" i="36"/>
  <c r="O4" i="36"/>
  <c r="D4" i="36"/>
  <c r="E4" i="36" s="1"/>
  <c r="F4" i="36" s="1"/>
  <c r="G4" i="36" s="1"/>
  <c r="H4" i="36" s="1"/>
  <c r="I4" i="36" s="1"/>
  <c r="J4" i="36" s="1"/>
  <c r="K4" i="36" s="1"/>
  <c r="L4" i="36" s="1"/>
  <c r="M4" i="36" s="1"/>
  <c r="D3" i="36"/>
  <c r="E3" i="36" s="1"/>
  <c r="F3" i="36" s="1"/>
  <c r="G3" i="36" s="1"/>
  <c r="H3" i="36" s="1"/>
  <c r="I3" i="36" s="1"/>
  <c r="J3" i="36" s="1"/>
  <c r="K3" i="36" s="1"/>
  <c r="L3" i="36" s="1"/>
  <c r="M3" i="36" s="1"/>
  <c r="R2" i="36"/>
  <c r="O33" i="36" s="1"/>
  <c r="O34" i="36" s="1"/>
  <c r="O35" i="36" s="1"/>
  <c r="O36" i="36" s="1"/>
  <c r="O37" i="36" s="1"/>
  <c r="O38" i="36" s="1"/>
  <c r="O39" i="36" s="1"/>
  <c r="O40" i="36" s="1"/>
  <c r="O41" i="36" s="1"/>
  <c r="O42" i="36" s="1"/>
  <c r="O43" i="36" s="1"/>
  <c r="I2" i="36"/>
  <c r="J2" i="36" s="1"/>
  <c r="K2" i="36" s="1"/>
  <c r="L2" i="36" s="1"/>
  <c r="M2" i="36" s="1"/>
  <c r="H2" i="36"/>
  <c r="E2" i="36"/>
  <c r="F2" i="36" s="1"/>
  <c r="G2" i="36" s="1"/>
  <c r="D2" i="36"/>
  <c r="J43" i="35"/>
  <c r="H43" i="35"/>
  <c r="F43" i="35"/>
  <c r="B43" i="35"/>
  <c r="D43" i="35" s="1"/>
  <c r="T37" i="35"/>
  <c r="T38" i="35" s="1"/>
  <c r="T39" i="35" s="1"/>
  <c r="T40" i="35" s="1"/>
  <c r="T41" i="35" s="1"/>
  <c r="T42" i="35" s="1"/>
  <c r="T43" i="35" s="1"/>
  <c r="N34" i="35"/>
  <c r="N35" i="35" s="1"/>
  <c r="N36" i="35" s="1"/>
  <c r="N37" i="35" s="1"/>
  <c r="N38" i="35" s="1"/>
  <c r="N39" i="35" s="1"/>
  <c r="N40" i="35" s="1"/>
  <c r="N41" i="35" s="1"/>
  <c r="N42" i="35" s="1"/>
  <c r="N43" i="35" s="1"/>
  <c r="W33" i="35"/>
  <c r="W34" i="35" s="1"/>
  <c r="W35" i="35" s="1"/>
  <c r="W36" i="35" s="1"/>
  <c r="W37" i="35" s="1"/>
  <c r="W38" i="35" s="1"/>
  <c r="W39" i="35" s="1"/>
  <c r="W40" i="35" s="1"/>
  <c r="W41" i="35" s="1"/>
  <c r="W42" i="35" s="1"/>
  <c r="W43" i="35" s="1"/>
  <c r="N33" i="35"/>
  <c r="T33" i="35" s="1"/>
  <c r="T34" i="35" s="1"/>
  <c r="T35" i="35" s="1"/>
  <c r="T36" i="35" s="1"/>
  <c r="C27" i="35"/>
  <c r="H44" i="35" s="1"/>
  <c r="O19" i="35"/>
  <c r="M19" i="35"/>
  <c r="O18" i="35"/>
  <c r="M18" i="35"/>
  <c r="O17" i="35"/>
  <c r="M17" i="35"/>
  <c r="O16" i="35"/>
  <c r="M16" i="35"/>
  <c r="O15" i="35"/>
  <c r="M15" i="35"/>
  <c r="O14" i="35"/>
  <c r="M14" i="35"/>
  <c r="O13" i="35"/>
  <c r="M13" i="35"/>
  <c r="P12" i="35"/>
  <c r="O12" i="35"/>
  <c r="M12" i="35"/>
  <c r="O11" i="35"/>
  <c r="M11" i="35"/>
  <c r="O10" i="35"/>
  <c r="M10" i="35"/>
  <c r="O8" i="35"/>
  <c r="M8" i="35"/>
  <c r="M7" i="35"/>
  <c r="O6" i="35"/>
  <c r="M6" i="35"/>
  <c r="O5" i="35"/>
  <c r="M5" i="35"/>
  <c r="O4" i="35"/>
  <c r="D4" i="35"/>
  <c r="E4" i="35" s="1"/>
  <c r="F4" i="35" s="1"/>
  <c r="G4" i="35" s="1"/>
  <c r="H4" i="35" s="1"/>
  <c r="I4" i="35" s="1"/>
  <c r="J4" i="35" s="1"/>
  <c r="K4" i="35" s="1"/>
  <c r="L4" i="35" s="1"/>
  <c r="M4" i="35" s="1"/>
  <c r="D3" i="35"/>
  <c r="E3" i="35" s="1"/>
  <c r="F3" i="35" s="1"/>
  <c r="G3" i="35" s="1"/>
  <c r="H3" i="35" s="1"/>
  <c r="I3" i="35" s="1"/>
  <c r="J3" i="35" s="1"/>
  <c r="K3" i="35" s="1"/>
  <c r="L3" i="35" s="1"/>
  <c r="M3" i="35" s="1"/>
  <c r="R2" i="35"/>
  <c r="O34" i="35" s="1"/>
  <c r="O35" i="35" s="1"/>
  <c r="O36" i="35" s="1"/>
  <c r="O37" i="35" s="1"/>
  <c r="O38" i="35" s="1"/>
  <c r="O39" i="35" s="1"/>
  <c r="O40" i="35" s="1"/>
  <c r="O41" i="35" s="1"/>
  <c r="O42" i="35" s="1"/>
  <c r="O43" i="35" s="1"/>
  <c r="D2" i="35"/>
  <c r="E2" i="35" s="1"/>
  <c r="F2" i="35" s="1"/>
  <c r="G2" i="35" s="1"/>
  <c r="H2" i="35" s="1"/>
  <c r="I2" i="35" s="1"/>
  <c r="J2" i="35" s="1"/>
  <c r="K2" i="35" s="1"/>
  <c r="L2" i="35" s="1"/>
  <c r="M2" i="35" s="1"/>
  <c r="J43" i="34"/>
  <c r="H43" i="34"/>
  <c r="F43" i="34"/>
  <c r="B43" i="34"/>
  <c r="D43" i="34" s="1"/>
  <c r="W40" i="34"/>
  <c r="W41" i="34" s="1"/>
  <c r="W42" i="34" s="1"/>
  <c r="W43" i="34" s="1"/>
  <c r="T39" i="34"/>
  <c r="T40" i="34" s="1"/>
  <c r="T41" i="34" s="1"/>
  <c r="T42" i="34" s="1"/>
  <c r="T43" i="34" s="1"/>
  <c r="N35" i="34"/>
  <c r="N36" i="34" s="1"/>
  <c r="N37" i="34" s="1"/>
  <c r="N38" i="34" s="1"/>
  <c r="N39" i="34" s="1"/>
  <c r="N40" i="34" s="1"/>
  <c r="N41" i="34" s="1"/>
  <c r="N42" i="34" s="1"/>
  <c r="N43" i="34" s="1"/>
  <c r="N34" i="34"/>
  <c r="W33" i="34"/>
  <c r="W34" i="34" s="1"/>
  <c r="W35" i="34" s="1"/>
  <c r="W36" i="34" s="1"/>
  <c r="W37" i="34" s="1"/>
  <c r="W38" i="34" s="1"/>
  <c r="W39" i="34" s="1"/>
  <c r="Q33" i="34"/>
  <c r="Q34" i="34" s="1"/>
  <c r="Q35" i="34" s="1"/>
  <c r="Q36" i="34" s="1"/>
  <c r="Q37" i="34" s="1"/>
  <c r="Q38" i="34" s="1"/>
  <c r="Q39" i="34" s="1"/>
  <c r="Q40" i="34" s="1"/>
  <c r="Q41" i="34" s="1"/>
  <c r="Q42" i="34" s="1"/>
  <c r="Q43" i="34" s="1"/>
  <c r="N33" i="34"/>
  <c r="T33" i="34" s="1"/>
  <c r="T34" i="34" s="1"/>
  <c r="T35" i="34" s="1"/>
  <c r="T36" i="34" s="1"/>
  <c r="T37" i="34" s="1"/>
  <c r="T38" i="34" s="1"/>
  <c r="C27" i="34"/>
  <c r="D27" i="34" s="1"/>
  <c r="O19" i="34"/>
  <c r="M19" i="34"/>
  <c r="O18" i="34"/>
  <c r="M18" i="34"/>
  <c r="O17" i="34"/>
  <c r="M17" i="34"/>
  <c r="O16" i="34"/>
  <c r="M16" i="34"/>
  <c r="O15" i="34"/>
  <c r="M15" i="34"/>
  <c r="M14" i="34"/>
  <c r="O13" i="34"/>
  <c r="M13" i="34"/>
  <c r="P12" i="34"/>
  <c r="O12" i="34"/>
  <c r="M12" i="34"/>
  <c r="O11" i="34"/>
  <c r="M11" i="34"/>
  <c r="O10" i="34"/>
  <c r="M10" i="34"/>
  <c r="O8" i="34"/>
  <c r="M8" i="34"/>
  <c r="M7" i="34"/>
  <c r="O6" i="34"/>
  <c r="M6" i="34"/>
  <c r="O5" i="34"/>
  <c r="M5" i="34"/>
  <c r="O4" i="34"/>
  <c r="D4" i="34"/>
  <c r="E4" i="34" s="1"/>
  <c r="F4" i="34" s="1"/>
  <c r="G4" i="34" s="1"/>
  <c r="H4" i="34" s="1"/>
  <c r="I4" i="34" s="1"/>
  <c r="J4" i="34" s="1"/>
  <c r="K4" i="34" s="1"/>
  <c r="L4" i="34" s="1"/>
  <c r="M4" i="34" s="1"/>
  <c r="D3" i="34"/>
  <c r="E3" i="34" s="1"/>
  <c r="F3" i="34" s="1"/>
  <c r="G3" i="34" s="1"/>
  <c r="H3" i="34" s="1"/>
  <c r="I3" i="34" s="1"/>
  <c r="J3" i="34" s="1"/>
  <c r="K3" i="34" s="1"/>
  <c r="L3" i="34" s="1"/>
  <c r="M3" i="34" s="1"/>
  <c r="R2" i="34"/>
  <c r="O33" i="34" s="1"/>
  <c r="O34" i="34" s="1"/>
  <c r="O35" i="34" s="1"/>
  <c r="O36" i="34" s="1"/>
  <c r="O37" i="34" s="1"/>
  <c r="O38" i="34" s="1"/>
  <c r="O39" i="34" s="1"/>
  <c r="O40" i="34" s="1"/>
  <c r="O41" i="34" s="1"/>
  <c r="O42" i="34" s="1"/>
  <c r="O43" i="34" s="1"/>
  <c r="E2" i="34"/>
  <c r="F2" i="34" s="1"/>
  <c r="G2" i="34" s="1"/>
  <c r="H2" i="34" s="1"/>
  <c r="I2" i="34" s="1"/>
  <c r="J2" i="34" s="1"/>
  <c r="K2" i="34" s="1"/>
  <c r="L2" i="34" s="1"/>
  <c r="M2" i="34" s="1"/>
  <c r="D2" i="34"/>
  <c r="R2" i="33"/>
  <c r="N33" i="33"/>
  <c r="N34" i="33" s="1"/>
  <c r="N35" i="33" s="1"/>
  <c r="N36" i="33" s="1"/>
  <c r="N37" i="33" s="1"/>
  <c r="N38" i="33" s="1"/>
  <c r="N39" i="33" s="1"/>
  <c r="N40" i="33" s="1"/>
  <c r="N41" i="33" s="1"/>
  <c r="N42" i="33" s="1"/>
  <c r="N43" i="33" s="1"/>
  <c r="C27" i="33"/>
  <c r="D27" i="33" s="1"/>
  <c r="E27" i="33" s="1"/>
  <c r="F27" i="33" s="1"/>
  <c r="O19" i="33"/>
  <c r="M19" i="33"/>
  <c r="O18" i="33"/>
  <c r="M18" i="33"/>
  <c r="O17" i="33"/>
  <c r="M17" i="33"/>
  <c r="O16" i="33"/>
  <c r="M16" i="33"/>
  <c r="O15" i="33"/>
  <c r="M15" i="33"/>
  <c r="M14" i="33"/>
  <c r="O13" i="33"/>
  <c r="M13" i="33"/>
  <c r="O12" i="33"/>
  <c r="P12" i="33" s="1"/>
  <c r="M12" i="33"/>
  <c r="O11" i="33"/>
  <c r="M11" i="33"/>
  <c r="O10" i="33"/>
  <c r="M10" i="33"/>
  <c r="O8" i="33"/>
  <c r="M8" i="33"/>
  <c r="M7" i="33"/>
  <c r="O6" i="33"/>
  <c r="M6" i="33"/>
  <c r="O5" i="33"/>
  <c r="M5" i="33"/>
  <c r="D4" i="33"/>
  <c r="E4" i="33" s="1"/>
  <c r="F4" i="33" s="1"/>
  <c r="G4" i="33" s="1"/>
  <c r="H4" i="33" s="1"/>
  <c r="I4" i="33" s="1"/>
  <c r="J4" i="33" s="1"/>
  <c r="K4" i="33" s="1"/>
  <c r="L4" i="33" s="1"/>
  <c r="M4" i="33" s="1"/>
  <c r="D3" i="33"/>
  <c r="E3" i="33" s="1"/>
  <c r="F3" i="33" s="1"/>
  <c r="G3" i="33" s="1"/>
  <c r="H3" i="33" s="1"/>
  <c r="I3" i="33" s="1"/>
  <c r="J3" i="33" s="1"/>
  <c r="K3" i="33" s="1"/>
  <c r="L3" i="33" s="1"/>
  <c r="M3" i="33" s="1"/>
  <c r="O33" i="33"/>
  <c r="O34" i="33" s="1"/>
  <c r="O35" i="33" s="1"/>
  <c r="O36" i="33" s="1"/>
  <c r="O37" i="33" s="1"/>
  <c r="O38" i="33" s="1"/>
  <c r="O39" i="33" s="1"/>
  <c r="O40" i="33" s="1"/>
  <c r="O41" i="33" s="1"/>
  <c r="O42" i="33" s="1"/>
  <c r="O43" i="33" s="1"/>
  <c r="F2" i="33"/>
  <c r="G2" i="33" s="1"/>
  <c r="H2" i="33" s="1"/>
  <c r="I2" i="33" s="1"/>
  <c r="J2" i="33" s="1"/>
  <c r="K2" i="33" s="1"/>
  <c r="L2" i="33" s="1"/>
  <c r="M2" i="33" s="1"/>
  <c r="E2" i="33"/>
  <c r="D2" i="33"/>
  <c r="F44" i="32"/>
  <c r="J43" i="32"/>
  <c r="H43" i="32"/>
  <c r="F43" i="32"/>
  <c r="B43" i="32"/>
  <c r="D43" i="32" s="1"/>
  <c r="N34" i="32"/>
  <c r="N35" i="32" s="1"/>
  <c r="N36" i="32" s="1"/>
  <c r="N37" i="32" s="1"/>
  <c r="N38" i="32" s="1"/>
  <c r="N39" i="32" s="1"/>
  <c r="N40" i="32" s="1"/>
  <c r="N41" i="32" s="1"/>
  <c r="N42" i="32" s="1"/>
  <c r="N43" i="32" s="1"/>
  <c r="Z33" i="32"/>
  <c r="Z34" i="32" s="1"/>
  <c r="Z35" i="32" s="1"/>
  <c r="Z36" i="32" s="1"/>
  <c r="Z37" i="32" s="1"/>
  <c r="Z38" i="32" s="1"/>
  <c r="Z39" i="32" s="1"/>
  <c r="Z40" i="32" s="1"/>
  <c r="Z41" i="32" s="1"/>
  <c r="Z42" i="32" s="1"/>
  <c r="Z43" i="32" s="1"/>
  <c r="N33" i="32"/>
  <c r="T33" i="32" s="1"/>
  <c r="T34" i="32" s="1"/>
  <c r="T35" i="32" s="1"/>
  <c r="T36" i="32" s="1"/>
  <c r="T37" i="32" s="1"/>
  <c r="T38" i="32" s="1"/>
  <c r="T39" i="32" s="1"/>
  <c r="T40" i="32" s="1"/>
  <c r="T41" i="32" s="1"/>
  <c r="T42" i="32" s="1"/>
  <c r="T43" i="32" s="1"/>
  <c r="C27" i="32"/>
  <c r="O19" i="32"/>
  <c r="M19" i="32"/>
  <c r="O18" i="32"/>
  <c r="M18" i="32"/>
  <c r="O17" i="32"/>
  <c r="M17" i="32"/>
  <c r="O16" i="32"/>
  <c r="M16" i="32"/>
  <c r="O15" i="32"/>
  <c r="M15" i="32"/>
  <c r="M14" i="32"/>
  <c r="O13" i="32"/>
  <c r="M13" i="32"/>
  <c r="P12" i="32"/>
  <c r="O12" i="32"/>
  <c r="M12" i="32"/>
  <c r="O11" i="32"/>
  <c r="M11" i="32"/>
  <c r="O10" i="32"/>
  <c r="M10" i="32"/>
  <c r="O8" i="32"/>
  <c r="Q11" i="32" s="1"/>
  <c r="R11" i="32" s="1"/>
  <c r="R4" i="32" s="1"/>
  <c r="B30" i="32" s="1"/>
  <c r="M8" i="32"/>
  <c r="M7" i="32"/>
  <c r="O6" i="32"/>
  <c r="M6" i="32"/>
  <c r="O5" i="32"/>
  <c r="M5" i="32"/>
  <c r="O4" i="32"/>
  <c r="D4" i="32"/>
  <c r="E4" i="32" s="1"/>
  <c r="F4" i="32" s="1"/>
  <c r="G4" i="32" s="1"/>
  <c r="H4" i="32" s="1"/>
  <c r="I4" i="32" s="1"/>
  <c r="J4" i="32" s="1"/>
  <c r="K4" i="32" s="1"/>
  <c r="L4" i="32" s="1"/>
  <c r="M4" i="32" s="1"/>
  <c r="D3" i="32"/>
  <c r="E3" i="32" s="1"/>
  <c r="F3" i="32" s="1"/>
  <c r="G3" i="32" s="1"/>
  <c r="H3" i="32" s="1"/>
  <c r="I3" i="32" s="1"/>
  <c r="J3" i="32" s="1"/>
  <c r="K3" i="32" s="1"/>
  <c r="L3" i="32" s="1"/>
  <c r="M3" i="32" s="1"/>
  <c r="R2" i="32"/>
  <c r="B28" i="32" s="1"/>
  <c r="C43" i="32" s="1"/>
  <c r="D2" i="32"/>
  <c r="E2" i="32" s="1"/>
  <c r="F2" i="32" s="1"/>
  <c r="G2" i="32" s="1"/>
  <c r="H2" i="32" s="1"/>
  <c r="I2" i="32" s="1"/>
  <c r="J2" i="32" s="1"/>
  <c r="K2" i="32" s="1"/>
  <c r="L2" i="32" s="1"/>
  <c r="M2" i="32" s="1"/>
  <c r="N34" i="31"/>
  <c r="N35" i="31" s="1"/>
  <c r="N36" i="31" s="1"/>
  <c r="N37" i="31" s="1"/>
  <c r="N38" i="31" s="1"/>
  <c r="N39" i="31" s="1"/>
  <c r="N40" i="31" s="1"/>
  <c r="N41" i="31" s="1"/>
  <c r="N42" i="31" s="1"/>
  <c r="N43" i="31" s="1"/>
  <c r="Z33" i="31"/>
  <c r="Z34" i="31" s="1"/>
  <c r="Z35" i="31" s="1"/>
  <c r="Z36" i="31" s="1"/>
  <c r="Z37" i="31" s="1"/>
  <c r="Z38" i="31" s="1"/>
  <c r="Z39" i="31" s="1"/>
  <c r="Z40" i="31" s="1"/>
  <c r="Z41" i="31" s="1"/>
  <c r="Z42" i="31" s="1"/>
  <c r="Z43" i="31" s="1"/>
  <c r="W33" i="31"/>
  <c r="W34" i="31" s="1"/>
  <c r="W35" i="31" s="1"/>
  <c r="W36" i="31" s="1"/>
  <c r="W37" i="31" s="1"/>
  <c r="W38" i="31" s="1"/>
  <c r="W39" i="31" s="1"/>
  <c r="W40" i="31" s="1"/>
  <c r="W41" i="31" s="1"/>
  <c r="W42" i="31" s="1"/>
  <c r="W43" i="31" s="1"/>
  <c r="T33" i="31"/>
  <c r="T34" i="31" s="1"/>
  <c r="T35" i="31" s="1"/>
  <c r="T36" i="31" s="1"/>
  <c r="T37" i="31" s="1"/>
  <c r="T38" i="31" s="1"/>
  <c r="T39" i="31" s="1"/>
  <c r="T40" i="31" s="1"/>
  <c r="T41" i="31" s="1"/>
  <c r="T42" i="31" s="1"/>
  <c r="T43" i="31" s="1"/>
  <c r="Q33" i="31"/>
  <c r="Q34" i="31" s="1"/>
  <c r="Q35" i="31" s="1"/>
  <c r="Q36" i="31" s="1"/>
  <c r="Q37" i="31" s="1"/>
  <c r="Q38" i="31" s="1"/>
  <c r="Q39" i="31" s="1"/>
  <c r="Q40" i="31" s="1"/>
  <c r="Q41" i="31" s="1"/>
  <c r="Q42" i="31" s="1"/>
  <c r="Q43" i="31" s="1"/>
  <c r="N33" i="31"/>
  <c r="C27" i="31"/>
  <c r="D27" i="31" s="1"/>
  <c r="E27" i="31" s="1"/>
  <c r="F27" i="31" s="1"/>
  <c r="O19" i="31"/>
  <c r="M19" i="31"/>
  <c r="O18" i="31"/>
  <c r="R6" i="31" s="1"/>
  <c r="M18" i="31"/>
  <c r="O17" i="31"/>
  <c r="M17" i="31"/>
  <c r="O16" i="31"/>
  <c r="M16" i="31"/>
  <c r="O15" i="31"/>
  <c r="M15" i="31"/>
  <c r="O14" i="31"/>
  <c r="M14" i="31"/>
  <c r="O13" i="31"/>
  <c r="M13" i="31"/>
  <c r="O12" i="31"/>
  <c r="P12" i="31" s="1"/>
  <c r="M12" i="31"/>
  <c r="O11" i="31"/>
  <c r="M11" i="31"/>
  <c r="O10" i="31"/>
  <c r="M10" i="31"/>
  <c r="O8" i="31"/>
  <c r="M8" i="31"/>
  <c r="M7" i="31"/>
  <c r="O6" i="31"/>
  <c r="M6" i="31"/>
  <c r="O5" i="31"/>
  <c r="M5" i="31"/>
  <c r="D4" i="31"/>
  <c r="E4" i="31" s="1"/>
  <c r="F4" i="31" s="1"/>
  <c r="G4" i="31" s="1"/>
  <c r="H4" i="31" s="1"/>
  <c r="I4" i="31" s="1"/>
  <c r="J4" i="31" s="1"/>
  <c r="K4" i="31" s="1"/>
  <c r="L4" i="31" s="1"/>
  <c r="M4" i="31" s="1"/>
  <c r="H3" i="31"/>
  <c r="I3" i="31" s="1"/>
  <c r="J3" i="31" s="1"/>
  <c r="K3" i="31" s="1"/>
  <c r="L3" i="31" s="1"/>
  <c r="M3" i="31" s="1"/>
  <c r="G3" i="31"/>
  <c r="F3" i="31"/>
  <c r="E3" i="31"/>
  <c r="D3" i="31"/>
  <c r="R2" i="31"/>
  <c r="O33" i="31" s="1"/>
  <c r="O34" i="31" s="1"/>
  <c r="O35" i="31" s="1"/>
  <c r="O36" i="31" s="1"/>
  <c r="O37" i="31" s="1"/>
  <c r="O38" i="31" s="1"/>
  <c r="O39" i="31" s="1"/>
  <c r="O40" i="31" s="1"/>
  <c r="O41" i="31" s="1"/>
  <c r="O42" i="31" s="1"/>
  <c r="O43" i="31" s="1"/>
  <c r="E2" i="31"/>
  <c r="F2" i="31" s="1"/>
  <c r="G2" i="31" s="1"/>
  <c r="H2" i="31" s="1"/>
  <c r="I2" i="31" s="1"/>
  <c r="J2" i="31" s="1"/>
  <c r="K2" i="31" s="1"/>
  <c r="L2" i="31" s="1"/>
  <c r="M2" i="31" s="1"/>
  <c r="D2" i="31"/>
  <c r="J43" i="30"/>
  <c r="H43" i="30"/>
  <c r="F43" i="30"/>
  <c r="B43" i="30"/>
  <c r="D43" i="30" s="1"/>
  <c r="N34" i="30"/>
  <c r="N35" i="30" s="1"/>
  <c r="N36" i="30" s="1"/>
  <c r="N37" i="30" s="1"/>
  <c r="N38" i="30" s="1"/>
  <c r="N39" i="30" s="1"/>
  <c r="N40" i="30" s="1"/>
  <c r="N41" i="30" s="1"/>
  <c r="N42" i="30" s="1"/>
  <c r="N43" i="30" s="1"/>
  <c r="Z33" i="30"/>
  <c r="Z34" i="30" s="1"/>
  <c r="Z35" i="30" s="1"/>
  <c r="Z36" i="30" s="1"/>
  <c r="Z37" i="30" s="1"/>
  <c r="Z38" i="30" s="1"/>
  <c r="Z39" i="30" s="1"/>
  <c r="Z40" i="30" s="1"/>
  <c r="Z41" i="30" s="1"/>
  <c r="Z42" i="30" s="1"/>
  <c r="Z43" i="30" s="1"/>
  <c r="N33" i="30"/>
  <c r="T33" i="30" s="1"/>
  <c r="T34" i="30" s="1"/>
  <c r="T35" i="30" s="1"/>
  <c r="T36" i="30" s="1"/>
  <c r="T37" i="30" s="1"/>
  <c r="T38" i="30" s="1"/>
  <c r="T39" i="30" s="1"/>
  <c r="T40" i="30" s="1"/>
  <c r="T41" i="30" s="1"/>
  <c r="T42" i="30" s="1"/>
  <c r="T43" i="30" s="1"/>
  <c r="C27" i="30"/>
  <c r="F44" i="30" s="1"/>
  <c r="O19" i="30"/>
  <c r="M19" i="30"/>
  <c r="O18" i="30"/>
  <c r="M18" i="30"/>
  <c r="O17" i="30"/>
  <c r="M17" i="30"/>
  <c r="O16" i="30"/>
  <c r="M16" i="30"/>
  <c r="O15" i="30"/>
  <c r="M15" i="30"/>
  <c r="O14" i="30"/>
  <c r="M14" i="30"/>
  <c r="O13" i="30"/>
  <c r="M13" i="30"/>
  <c r="O12" i="30"/>
  <c r="P12" i="30" s="1"/>
  <c r="M12" i="30"/>
  <c r="O11" i="30"/>
  <c r="M11" i="30"/>
  <c r="O10" i="30"/>
  <c r="M10" i="30"/>
  <c r="O8" i="30"/>
  <c r="M8" i="30"/>
  <c r="M7" i="30"/>
  <c r="O6" i="30"/>
  <c r="M6" i="30"/>
  <c r="O5" i="30"/>
  <c r="M5" i="30"/>
  <c r="O4" i="30"/>
  <c r="D4" i="30"/>
  <c r="E4" i="30" s="1"/>
  <c r="F4" i="30" s="1"/>
  <c r="G4" i="30" s="1"/>
  <c r="H4" i="30" s="1"/>
  <c r="I4" i="30" s="1"/>
  <c r="J4" i="30" s="1"/>
  <c r="K4" i="30" s="1"/>
  <c r="L4" i="30" s="1"/>
  <c r="M4" i="30" s="1"/>
  <c r="D3" i="30"/>
  <c r="E3" i="30" s="1"/>
  <c r="F3" i="30" s="1"/>
  <c r="G3" i="30" s="1"/>
  <c r="H3" i="30" s="1"/>
  <c r="I3" i="30" s="1"/>
  <c r="J3" i="30" s="1"/>
  <c r="K3" i="30" s="1"/>
  <c r="L3" i="30" s="1"/>
  <c r="M3" i="30" s="1"/>
  <c r="R2" i="30"/>
  <c r="B28" i="30" s="1"/>
  <c r="D2" i="30"/>
  <c r="E2" i="30" s="1"/>
  <c r="F2" i="30" s="1"/>
  <c r="G2" i="30" s="1"/>
  <c r="H2" i="30" s="1"/>
  <c r="I2" i="30" s="1"/>
  <c r="J2" i="30" s="1"/>
  <c r="K2" i="30" s="1"/>
  <c r="L2" i="30" s="1"/>
  <c r="M2" i="30" s="1"/>
  <c r="R2" i="29"/>
  <c r="J43" i="29"/>
  <c r="H43" i="29"/>
  <c r="F43" i="29"/>
  <c r="B43" i="29"/>
  <c r="D43" i="29" s="1"/>
  <c r="T38" i="29"/>
  <c r="T39" i="29" s="1"/>
  <c r="T40" i="29" s="1"/>
  <c r="T41" i="29" s="1"/>
  <c r="T42" i="29" s="1"/>
  <c r="T43" i="29" s="1"/>
  <c r="N33" i="29"/>
  <c r="T33" i="29" s="1"/>
  <c r="T34" i="29" s="1"/>
  <c r="T35" i="29" s="1"/>
  <c r="T36" i="29" s="1"/>
  <c r="T37" i="29" s="1"/>
  <c r="C27" i="29"/>
  <c r="H44" i="29" s="1"/>
  <c r="O19" i="29"/>
  <c r="M19" i="29"/>
  <c r="O18" i="29"/>
  <c r="M18" i="29"/>
  <c r="O17" i="29"/>
  <c r="M17" i="29"/>
  <c r="O16" i="29"/>
  <c r="M16" i="29"/>
  <c r="O15" i="29"/>
  <c r="M15" i="29"/>
  <c r="O14" i="29"/>
  <c r="M14" i="29"/>
  <c r="O13" i="29"/>
  <c r="M13" i="29"/>
  <c r="O12" i="29"/>
  <c r="P12" i="29" s="1"/>
  <c r="M12" i="29"/>
  <c r="O11" i="29"/>
  <c r="M11" i="29"/>
  <c r="O10" i="29"/>
  <c r="M10" i="29"/>
  <c r="O8" i="29"/>
  <c r="M8" i="29"/>
  <c r="M7" i="29"/>
  <c r="O6" i="29"/>
  <c r="M6" i="29"/>
  <c r="O5" i="29"/>
  <c r="M5" i="29"/>
  <c r="O4" i="29"/>
  <c r="D4" i="29"/>
  <c r="E4" i="29" s="1"/>
  <c r="F4" i="29" s="1"/>
  <c r="G4" i="29" s="1"/>
  <c r="H4" i="29" s="1"/>
  <c r="I4" i="29" s="1"/>
  <c r="J4" i="29" s="1"/>
  <c r="K4" i="29" s="1"/>
  <c r="L4" i="29" s="1"/>
  <c r="M4" i="29" s="1"/>
  <c r="J3" i="29"/>
  <c r="K3" i="29" s="1"/>
  <c r="L3" i="29" s="1"/>
  <c r="M3" i="29" s="1"/>
  <c r="D3" i="29"/>
  <c r="E3" i="29" s="1"/>
  <c r="F3" i="29" s="1"/>
  <c r="G3" i="29" s="1"/>
  <c r="H3" i="29" s="1"/>
  <c r="I3" i="29" s="1"/>
  <c r="D2" i="29"/>
  <c r="E2" i="29" s="1"/>
  <c r="F2" i="29" s="1"/>
  <c r="G2" i="29" s="1"/>
  <c r="H2" i="29" s="1"/>
  <c r="I2" i="29" s="1"/>
  <c r="J2" i="29" s="1"/>
  <c r="K2" i="29" s="1"/>
  <c r="L2" i="29" s="1"/>
  <c r="M2" i="29" s="1"/>
  <c r="R2" i="28"/>
  <c r="J43" i="28"/>
  <c r="H43" i="28"/>
  <c r="F43" i="28"/>
  <c r="B43" i="28"/>
  <c r="D43" i="28" s="1"/>
  <c r="N33" i="28"/>
  <c r="N34" i="28" s="1"/>
  <c r="N35" i="28" s="1"/>
  <c r="N36" i="28" s="1"/>
  <c r="N37" i="28" s="1"/>
  <c r="N38" i="28" s="1"/>
  <c r="N39" i="28" s="1"/>
  <c r="N40" i="28" s="1"/>
  <c r="N41" i="28" s="1"/>
  <c r="N42" i="28" s="1"/>
  <c r="N43" i="28" s="1"/>
  <c r="C27" i="28"/>
  <c r="F44" i="28" s="1"/>
  <c r="O19" i="28"/>
  <c r="M19" i="28"/>
  <c r="O18" i="28"/>
  <c r="M18" i="28"/>
  <c r="O17" i="28"/>
  <c r="M17" i="28"/>
  <c r="O16" i="28"/>
  <c r="M16" i="28"/>
  <c r="O15" i="28"/>
  <c r="M15" i="28"/>
  <c r="O14" i="28"/>
  <c r="M14" i="28"/>
  <c r="O13" i="28"/>
  <c r="M13" i="28"/>
  <c r="P12" i="28"/>
  <c r="Q11" i="28" s="1"/>
  <c r="R11" i="28" s="1"/>
  <c r="R4" i="28" s="1"/>
  <c r="B30" i="28" s="1"/>
  <c r="O12" i="28"/>
  <c r="M12" i="28"/>
  <c r="O11" i="28"/>
  <c r="M11" i="28"/>
  <c r="O10" i="28"/>
  <c r="M10" i="28"/>
  <c r="O8" i="28"/>
  <c r="M8" i="28"/>
  <c r="M7" i="28"/>
  <c r="O6" i="28"/>
  <c r="M6" i="28"/>
  <c r="O5" i="28"/>
  <c r="M5" i="28"/>
  <c r="O4" i="28"/>
  <c r="D4" i="28"/>
  <c r="E4" i="28" s="1"/>
  <c r="F4" i="28" s="1"/>
  <c r="G4" i="28" s="1"/>
  <c r="H4" i="28" s="1"/>
  <c r="I4" i="28" s="1"/>
  <c r="J4" i="28" s="1"/>
  <c r="K4" i="28" s="1"/>
  <c r="L4" i="28" s="1"/>
  <c r="M4" i="28" s="1"/>
  <c r="D3" i="28"/>
  <c r="E3" i="28" s="1"/>
  <c r="F3" i="28" s="1"/>
  <c r="G3" i="28" s="1"/>
  <c r="H3" i="28" s="1"/>
  <c r="I3" i="28" s="1"/>
  <c r="J3" i="28" s="1"/>
  <c r="K3" i="28" s="1"/>
  <c r="L3" i="28" s="1"/>
  <c r="M3" i="28" s="1"/>
  <c r="E2" i="28"/>
  <c r="F2" i="28" s="1"/>
  <c r="G2" i="28" s="1"/>
  <c r="H2" i="28" s="1"/>
  <c r="I2" i="28" s="1"/>
  <c r="J2" i="28" s="1"/>
  <c r="K2" i="28" s="1"/>
  <c r="L2" i="28" s="1"/>
  <c r="M2" i="28" s="1"/>
  <c r="D2" i="28"/>
  <c r="R2" i="27"/>
  <c r="N33" i="27"/>
  <c r="T33" i="27" s="1"/>
  <c r="T34" i="27" s="1"/>
  <c r="T35" i="27" s="1"/>
  <c r="T36" i="27" s="1"/>
  <c r="T37" i="27" s="1"/>
  <c r="T38" i="27" s="1"/>
  <c r="T39" i="27" s="1"/>
  <c r="T40" i="27" s="1"/>
  <c r="T41" i="27" s="1"/>
  <c r="T42" i="27" s="1"/>
  <c r="T43" i="27" s="1"/>
  <c r="C27" i="27"/>
  <c r="D27" i="27" s="1"/>
  <c r="E27" i="27" s="1"/>
  <c r="F27" i="27" s="1"/>
  <c r="O19" i="27"/>
  <c r="M19" i="27"/>
  <c r="O18" i="27"/>
  <c r="M18" i="27"/>
  <c r="O17" i="27"/>
  <c r="M17" i="27"/>
  <c r="O16" i="27"/>
  <c r="M16" i="27"/>
  <c r="O15" i="27"/>
  <c r="M15" i="27"/>
  <c r="O14" i="27"/>
  <c r="M14" i="27"/>
  <c r="O13" i="27"/>
  <c r="M13" i="27"/>
  <c r="P12" i="27"/>
  <c r="O12" i="27"/>
  <c r="M12" i="27"/>
  <c r="O11" i="27"/>
  <c r="M11" i="27"/>
  <c r="O10" i="27"/>
  <c r="M10" i="27"/>
  <c r="O8" i="27"/>
  <c r="M8" i="27"/>
  <c r="M7" i="27"/>
  <c r="R6" i="27"/>
  <c r="B32" i="27" s="1"/>
  <c r="C32" i="27" s="1"/>
  <c r="D32" i="27" s="1"/>
  <c r="E32" i="27" s="1"/>
  <c r="F32" i="27" s="1"/>
  <c r="O6" i="27"/>
  <c r="M6" i="27"/>
  <c r="O5" i="27"/>
  <c r="M5" i="27"/>
  <c r="D4" i="27"/>
  <c r="E4" i="27" s="1"/>
  <c r="F4" i="27" s="1"/>
  <c r="G4" i="27" s="1"/>
  <c r="H4" i="27" s="1"/>
  <c r="I4" i="27" s="1"/>
  <c r="J4" i="27" s="1"/>
  <c r="K4" i="27" s="1"/>
  <c r="L4" i="27" s="1"/>
  <c r="M4" i="27" s="1"/>
  <c r="D3" i="27"/>
  <c r="E3" i="27" s="1"/>
  <c r="F3" i="27" s="1"/>
  <c r="G3" i="27" s="1"/>
  <c r="H3" i="27" s="1"/>
  <c r="I3" i="27" s="1"/>
  <c r="J3" i="27" s="1"/>
  <c r="K3" i="27" s="1"/>
  <c r="L3" i="27" s="1"/>
  <c r="M3" i="27" s="1"/>
  <c r="B28" i="27"/>
  <c r="C28" i="27" s="1"/>
  <c r="D28" i="27" s="1"/>
  <c r="E28" i="27" s="1"/>
  <c r="F28" i="27" s="1"/>
  <c r="D2" i="27"/>
  <c r="E2" i="27" s="1"/>
  <c r="F2" i="27" s="1"/>
  <c r="G2" i="27" s="1"/>
  <c r="H2" i="27" s="1"/>
  <c r="I2" i="27" s="1"/>
  <c r="J2" i="27" s="1"/>
  <c r="K2" i="27" s="1"/>
  <c r="L2" i="27" s="1"/>
  <c r="M2" i="27" s="1"/>
  <c r="O6" i="26"/>
  <c r="O5" i="26"/>
  <c r="B43" i="25"/>
  <c r="R2" i="25"/>
  <c r="O4" i="25"/>
  <c r="R2" i="26"/>
  <c r="N34" i="26"/>
  <c r="N35" i="26" s="1"/>
  <c r="N36" i="26" s="1"/>
  <c r="N37" i="26" s="1"/>
  <c r="N38" i="26" s="1"/>
  <c r="N39" i="26" s="1"/>
  <c r="N40" i="26" s="1"/>
  <c r="N41" i="26" s="1"/>
  <c r="N42" i="26" s="1"/>
  <c r="N43" i="26" s="1"/>
  <c r="T33" i="26"/>
  <c r="T34" i="26" s="1"/>
  <c r="T35" i="26" s="1"/>
  <c r="T36" i="26" s="1"/>
  <c r="T37" i="26" s="1"/>
  <c r="T38" i="26" s="1"/>
  <c r="T39" i="26" s="1"/>
  <c r="T40" i="26" s="1"/>
  <c r="T41" i="26" s="1"/>
  <c r="T42" i="26" s="1"/>
  <c r="T43" i="26" s="1"/>
  <c r="N33" i="26"/>
  <c r="Z33" i="26" s="1"/>
  <c r="Z34" i="26" s="1"/>
  <c r="Z35" i="26" s="1"/>
  <c r="Z36" i="26" s="1"/>
  <c r="Z37" i="26" s="1"/>
  <c r="Z38" i="26" s="1"/>
  <c r="Z39" i="26" s="1"/>
  <c r="Z40" i="26" s="1"/>
  <c r="Z41" i="26" s="1"/>
  <c r="Z42" i="26" s="1"/>
  <c r="Z43" i="26" s="1"/>
  <c r="C27" i="26"/>
  <c r="O19" i="26"/>
  <c r="M19" i="26"/>
  <c r="O18" i="26"/>
  <c r="M18" i="26"/>
  <c r="O17" i="26"/>
  <c r="M17" i="26"/>
  <c r="O16" i="26"/>
  <c r="M16" i="26"/>
  <c r="O15" i="26"/>
  <c r="M15" i="26"/>
  <c r="M14" i="26"/>
  <c r="O13" i="26"/>
  <c r="M13" i="26"/>
  <c r="O12" i="26"/>
  <c r="P12" i="26" s="1"/>
  <c r="Q11" i="26" s="1"/>
  <c r="R11" i="26" s="1"/>
  <c r="R4" i="26" s="1"/>
  <c r="M12" i="26"/>
  <c r="O11" i="26"/>
  <c r="M11" i="26"/>
  <c r="O10" i="26"/>
  <c r="M10" i="26"/>
  <c r="O8" i="26"/>
  <c r="M8" i="26"/>
  <c r="M7" i="26"/>
  <c r="M6" i="26"/>
  <c r="M5" i="26"/>
  <c r="D4" i="26"/>
  <c r="E4" i="26" s="1"/>
  <c r="F4" i="26" s="1"/>
  <c r="G4" i="26" s="1"/>
  <c r="H4" i="26" s="1"/>
  <c r="I4" i="26" s="1"/>
  <c r="J4" i="26" s="1"/>
  <c r="K4" i="26" s="1"/>
  <c r="L4" i="26" s="1"/>
  <c r="M4" i="26" s="1"/>
  <c r="D3" i="26"/>
  <c r="E3" i="26" s="1"/>
  <c r="F3" i="26" s="1"/>
  <c r="G3" i="26" s="1"/>
  <c r="H3" i="26" s="1"/>
  <c r="I3" i="26" s="1"/>
  <c r="J3" i="26" s="1"/>
  <c r="K3" i="26" s="1"/>
  <c r="L3" i="26" s="1"/>
  <c r="M3" i="26" s="1"/>
  <c r="O33" i="26"/>
  <c r="O34" i="26" s="1"/>
  <c r="O35" i="26" s="1"/>
  <c r="O36" i="26" s="1"/>
  <c r="O37" i="26" s="1"/>
  <c r="O38" i="26" s="1"/>
  <c r="O39" i="26" s="1"/>
  <c r="O40" i="26" s="1"/>
  <c r="O41" i="26" s="1"/>
  <c r="O42" i="26" s="1"/>
  <c r="O43" i="26" s="1"/>
  <c r="E2" i="26"/>
  <c r="F2" i="26" s="1"/>
  <c r="G2" i="26" s="1"/>
  <c r="H2" i="26" s="1"/>
  <c r="I2" i="26" s="1"/>
  <c r="J2" i="26" s="1"/>
  <c r="K2" i="26" s="1"/>
  <c r="L2" i="26" s="1"/>
  <c r="M2" i="26" s="1"/>
  <c r="D2" i="26"/>
  <c r="D43" i="25"/>
  <c r="O33" i="25"/>
  <c r="O34" i="25" s="1"/>
  <c r="O35" i="25" s="1"/>
  <c r="O36" i="25" s="1"/>
  <c r="O37" i="25" s="1"/>
  <c r="O38" i="25" s="1"/>
  <c r="O39" i="25" s="1"/>
  <c r="O40" i="25" s="1"/>
  <c r="O41" i="25" s="1"/>
  <c r="O42" i="25" s="1"/>
  <c r="O43" i="25" s="1"/>
  <c r="J43" i="25"/>
  <c r="H43" i="25"/>
  <c r="F43" i="25"/>
  <c r="N33" i="25"/>
  <c r="Z33" i="25" s="1"/>
  <c r="Z34" i="25" s="1"/>
  <c r="Z35" i="25" s="1"/>
  <c r="Z36" i="25" s="1"/>
  <c r="Z37" i="25" s="1"/>
  <c r="Z38" i="25" s="1"/>
  <c r="Z39" i="25" s="1"/>
  <c r="Z40" i="25" s="1"/>
  <c r="Z41" i="25" s="1"/>
  <c r="Z42" i="25" s="1"/>
  <c r="Z43" i="25" s="1"/>
  <c r="C27" i="25"/>
  <c r="H44" i="25" s="1"/>
  <c r="O19" i="25"/>
  <c r="M19" i="25"/>
  <c r="O18" i="25"/>
  <c r="M18" i="25"/>
  <c r="O17" i="25"/>
  <c r="M17" i="25"/>
  <c r="O16" i="25"/>
  <c r="M16" i="25"/>
  <c r="O15" i="25"/>
  <c r="M15" i="25"/>
  <c r="M14" i="25"/>
  <c r="O13" i="25"/>
  <c r="M13" i="25"/>
  <c r="O12" i="25"/>
  <c r="P12" i="25" s="1"/>
  <c r="M12" i="25"/>
  <c r="O11" i="25"/>
  <c r="M11" i="25"/>
  <c r="O10" i="25"/>
  <c r="M10" i="25"/>
  <c r="O8" i="25"/>
  <c r="M8" i="25"/>
  <c r="M7" i="25"/>
  <c r="O6" i="25"/>
  <c r="M6" i="25"/>
  <c r="O5" i="25"/>
  <c r="M5" i="25"/>
  <c r="D4" i="25"/>
  <c r="E4" i="25" s="1"/>
  <c r="F4" i="25" s="1"/>
  <c r="G4" i="25" s="1"/>
  <c r="H4" i="25" s="1"/>
  <c r="I4" i="25" s="1"/>
  <c r="J4" i="25" s="1"/>
  <c r="K4" i="25" s="1"/>
  <c r="L4" i="25" s="1"/>
  <c r="M4" i="25" s="1"/>
  <c r="D3" i="25"/>
  <c r="E3" i="25" s="1"/>
  <c r="F3" i="25" s="1"/>
  <c r="G3" i="25" s="1"/>
  <c r="H3" i="25" s="1"/>
  <c r="I3" i="25" s="1"/>
  <c r="J3" i="25" s="1"/>
  <c r="K3" i="25" s="1"/>
  <c r="L3" i="25" s="1"/>
  <c r="M3" i="25" s="1"/>
  <c r="D2" i="25"/>
  <c r="E2" i="25" s="1"/>
  <c r="F2" i="25" s="1"/>
  <c r="G2" i="25" s="1"/>
  <c r="H2" i="25" s="1"/>
  <c r="I2" i="25" s="1"/>
  <c r="J2" i="25" s="1"/>
  <c r="K2" i="25" s="1"/>
  <c r="L2" i="25" s="1"/>
  <c r="M2" i="25" s="1"/>
  <c r="R2" i="24"/>
  <c r="R4" i="24"/>
  <c r="J43" i="24"/>
  <c r="H43" i="24"/>
  <c r="F43" i="24"/>
  <c r="B43" i="24"/>
  <c r="D43" i="24" s="1"/>
  <c r="N33" i="24"/>
  <c r="Z33" i="24" s="1"/>
  <c r="Z34" i="24" s="1"/>
  <c r="Z35" i="24" s="1"/>
  <c r="Z36" i="24" s="1"/>
  <c r="Z37" i="24" s="1"/>
  <c r="Z38" i="24" s="1"/>
  <c r="Z39" i="24" s="1"/>
  <c r="Z40" i="24" s="1"/>
  <c r="Z41" i="24" s="1"/>
  <c r="Z42" i="24" s="1"/>
  <c r="Z43" i="24" s="1"/>
  <c r="C27" i="24"/>
  <c r="F44" i="24" s="1"/>
  <c r="O19" i="24"/>
  <c r="R6" i="24" s="1"/>
  <c r="M19" i="24"/>
  <c r="O18" i="24"/>
  <c r="M18" i="24"/>
  <c r="O17" i="24"/>
  <c r="M17" i="24"/>
  <c r="O16" i="24"/>
  <c r="M16" i="24"/>
  <c r="O15" i="24"/>
  <c r="M15" i="24"/>
  <c r="M14" i="24"/>
  <c r="O13" i="24"/>
  <c r="M13" i="24"/>
  <c r="O12" i="24"/>
  <c r="P12" i="24" s="1"/>
  <c r="Q11" i="24" s="1"/>
  <c r="R11" i="24" s="1"/>
  <c r="M12" i="24"/>
  <c r="O11" i="24"/>
  <c r="M11" i="24"/>
  <c r="O10" i="24"/>
  <c r="M10" i="24"/>
  <c r="O8" i="24"/>
  <c r="M8" i="24"/>
  <c r="M7" i="24"/>
  <c r="O6" i="24"/>
  <c r="M6" i="24"/>
  <c r="O5" i="24"/>
  <c r="M5" i="24"/>
  <c r="O4" i="24"/>
  <c r="D4" i="24"/>
  <c r="E4" i="24" s="1"/>
  <c r="F4" i="24" s="1"/>
  <c r="G4" i="24" s="1"/>
  <c r="H4" i="24" s="1"/>
  <c r="I4" i="24" s="1"/>
  <c r="J4" i="24" s="1"/>
  <c r="K4" i="24" s="1"/>
  <c r="L4" i="24" s="1"/>
  <c r="M4" i="24" s="1"/>
  <c r="D3" i="24"/>
  <c r="E3" i="24" s="1"/>
  <c r="F3" i="24" s="1"/>
  <c r="G3" i="24" s="1"/>
  <c r="H3" i="24" s="1"/>
  <c r="I3" i="24" s="1"/>
  <c r="J3" i="24" s="1"/>
  <c r="K3" i="24" s="1"/>
  <c r="L3" i="24" s="1"/>
  <c r="M3" i="24" s="1"/>
  <c r="B28" i="24"/>
  <c r="D2" i="24"/>
  <c r="E2" i="24" s="1"/>
  <c r="F2" i="24" s="1"/>
  <c r="G2" i="24" s="1"/>
  <c r="H2" i="24" s="1"/>
  <c r="I2" i="24" s="1"/>
  <c r="J2" i="24" s="1"/>
  <c r="K2" i="24" s="1"/>
  <c r="L2" i="24" s="1"/>
  <c r="M2" i="24" s="1"/>
  <c r="R2" i="23"/>
  <c r="B28" i="23" s="1"/>
  <c r="J43" i="23"/>
  <c r="H43" i="23"/>
  <c r="F43" i="23"/>
  <c r="B43" i="23"/>
  <c r="D43" i="23" s="1"/>
  <c r="N33" i="23"/>
  <c r="Z33" i="23" s="1"/>
  <c r="Z34" i="23" s="1"/>
  <c r="Z35" i="23" s="1"/>
  <c r="Z36" i="23" s="1"/>
  <c r="Z37" i="23" s="1"/>
  <c r="Z38" i="23" s="1"/>
  <c r="Z39" i="23" s="1"/>
  <c r="Z40" i="23" s="1"/>
  <c r="Z41" i="23" s="1"/>
  <c r="Z42" i="23" s="1"/>
  <c r="Z43" i="23" s="1"/>
  <c r="C27" i="23"/>
  <c r="H44" i="23" s="1"/>
  <c r="O19" i="23"/>
  <c r="M19" i="23"/>
  <c r="O18" i="23"/>
  <c r="R6" i="23" s="1"/>
  <c r="B32" i="23" s="1"/>
  <c r="M18" i="23"/>
  <c r="O17" i="23"/>
  <c r="M17" i="23"/>
  <c r="O16" i="23"/>
  <c r="M16" i="23"/>
  <c r="O15" i="23"/>
  <c r="M15" i="23"/>
  <c r="M14" i="23"/>
  <c r="O13" i="23"/>
  <c r="M13" i="23"/>
  <c r="O12" i="23"/>
  <c r="P12" i="23" s="1"/>
  <c r="M12" i="23"/>
  <c r="O11" i="23"/>
  <c r="M11" i="23"/>
  <c r="O10" i="23"/>
  <c r="M10" i="23"/>
  <c r="O8" i="23"/>
  <c r="M8" i="23"/>
  <c r="M7" i="23"/>
  <c r="O6" i="23"/>
  <c r="M6" i="23"/>
  <c r="O5" i="23"/>
  <c r="M5" i="23"/>
  <c r="O4" i="23"/>
  <c r="D4" i="23"/>
  <c r="E4" i="23" s="1"/>
  <c r="F4" i="23" s="1"/>
  <c r="G4" i="23" s="1"/>
  <c r="H4" i="23" s="1"/>
  <c r="I4" i="23" s="1"/>
  <c r="J4" i="23" s="1"/>
  <c r="K4" i="23" s="1"/>
  <c r="L4" i="23" s="1"/>
  <c r="M4" i="23" s="1"/>
  <c r="F3" i="23"/>
  <c r="G3" i="23" s="1"/>
  <c r="H3" i="23" s="1"/>
  <c r="I3" i="23" s="1"/>
  <c r="J3" i="23" s="1"/>
  <c r="K3" i="23" s="1"/>
  <c r="L3" i="23" s="1"/>
  <c r="M3" i="23" s="1"/>
  <c r="E3" i="23"/>
  <c r="D3" i="23"/>
  <c r="D2" i="23"/>
  <c r="E2" i="23" s="1"/>
  <c r="F2" i="23" s="1"/>
  <c r="G2" i="23" s="1"/>
  <c r="H2" i="23" s="1"/>
  <c r="I2" i="23" s="1"/>
  <c r="J2" i="23" s="1"/>
  <c r="K2" i="23" s="1"/>
  <c r="L2" i="23" s="1"/>
  <c r="M2" i="23" s="1"/>
  <c r="O15" i="22"/>
  <c r="O16" i="22"/>
  <c r="O17" i="22"/>
  <c r="O18" i="22"/>
  <c r="O19" i="22"/>
  <c r="R2" i="22"/>
  <c r="J43" i="22"/>
  <c r="H43" i="22"/>
  <c r="F43" i="22"/>
  <c r="B43" i="22"/>
  <c r="D43" i="22" s="1"/>
  <c r="N34" i="22"/>
  <c r="N35" i="22" s="1"/>
  <c r="N36" i="22" s="1"/>
  <c r="N37" i="22" s="1"/>
  <c r="N38" i="22" s="1"/>
  <c r="N39" i="22" s="1"/>
  <c r="N40" i="22" s="1"/>
  <c r="N41" i="22" s="1"/>
  <c r="N42" i="22" s="1"/>
  <c r="N43" i="22" s="1"/>
  <c r="Z33" i="22"/>
  <c r="Z34" i="22" s="1"/>
  <c r="Z35" i="22" s="1"/>
  <c r="Z36" i="22" s="1"/>
  <c r="Z37" i="22" s="1"/>
  <c r="Z38" i="22" s="1"/>
  <c r="Z39" i="22" s="1"/>
  <c r="Z40" i="22" s="1"/>
  <c r="Z41" i="22" s="1"/>
  <c r="Z42" i="22" s="1"/>
  <c r="Z43" i="22" s="1"/>
  <c r="W33" i="22"/>
  <c r="W34" i="22" s="1"/>
  <c r="W35" i="22" s="1"/>
  <c r="W36" i="22" s="1"/>
  <c r="W37" i="22" s="1"/>
  <c r="W38" i="22" s="1"/>
  <c r="W39" i="22" s="1"/>
  <c r="W40" i="22" s="1"/>
  <c r="W41" i="22" s="1"/>
  <c r="W42" i="22" s="1"/>
  <c r="W43" i="22" s="1"/>
  <c r="Q33" i="22"/>
  <c r="Q34" i="22" s="1"/>
  <c r="Q35" i="22" s="1"/>
  <c r="Q36" i="22" s="1"/>
  <c r="Q37" i="22" s="1"/>
  <c r="Q38" i="22" s="1"/>
  <c r="Q39" i="22" s="1"/>
  <c r="Q40" i="22" s="1"/>
  <c r="Q41" i="22" s="1"/>
  <c r="Q42" i="22" s="1"/>
  <c r="Q43" i="22" s="1"/>
  <c r="N33" i="22"/>
  <c r="T33" i="22" s="1"/>
  <c r="T34" i="22" s="1"/>
  <c r="T35" i="22" s="1"/>
  <c r="T36" i="22" s="1"/>
  <c r="T37" i="22" s="1"/>
  <c r="T38" i="22" s="1"/>
  <c r="T39" i="22" s="1"/>
  <c r="T40" i="22" s="1"/>
  <c r="T41" i="22" s="1"/>
  <c r="T42" i="22" s="1"/>
  <c r="T43" i="22" s="1"/>
  <c r="C27" i="22"/>
  <c r="B44" i="22" s="1"/>
  <c r="D44" i="22" s="1"/>
  <c r="M19" i="22"/>
  <c r="M18" i="22"/>
  <c r="M17" i="22"/>
  <c r="M16" i="22"/>
  <c r="M15" i="22"/>
  <c r="M14" i="22"/>
  <c r="O13" i="22"/>
  <c r="M13" i="22"/>
  <c r="O12" i="22"/>
  <c r="P12" i="22" s="1"/>
  <c r="M12" i="22"/>
  <c r="O11" i="22"/>
  <c r="M11" i="22"/>
  <c r="O10" i="22"/>
  <c r="M10" i="22"/>
  <c r="O8" i="22"/>
  <c r="M8" i="22"/>
  <c r="M7" i="22"/>
  <c r="O6" i="22"/>
  <c r="M6" i="22"/>
  <c r="O5" i="22"/>
  <c r="M5" i="22"/>
  <c r="O4" i="22"/>
  <c r="D4" i="22"/>
  <c r="E4" i="22" s="1"/>
  <c r="F4" i="22" s="1"/>
  <c r="G4" i="22" s="1"/>
  <c r="H4" i="22" s="1"/>
  <c r="I4" i="22" s="1"/>
  <c r="J4" i="22" s="1"/>
  <c r="K4" i="22" s="1"/>
  <c r="L4" i="22" s="1"/>
  <c r="M4" i="22" s="1"/>
  <c r="D3" i="22"/>
  <c r="E3" i="22" s="1"/>
  <c r="F3" i="22" s="1"/>
  <c r="G3" i="22" s="1"/>
  <c r="H3" i="22" s="1"/>
  <c r="I3" i="22" s="1"/>
  <c r="J3" i="22" s="1"/>
  <c r="K3" i="22" s="1"/>
  <c r="L3" i="22" s="1"/>
  <c r="M3" i="22" s="1"/>
  <c r="O33" i="22"/>
  <c r="O34" i="22" s="1"/>
  <c r="O35" i="22" s="1"/>
  <c r="O36" i="22" s="1"/>
  <c r="O37" i="22" s="1"/>
  <c r="O38" i="22" s="1"/>
  <c r="O39" i="22" s="1"/>
  <c r="O40" i="22" s="1"/>
  <c r="O41" i="22" s="1"/>
  <c r="O42" i="22" s="1"/>
  <c r="O43" i="22" s="1"/>
  <c r="E2" i="22"/>
  <c r="F2" i="22" s="1"/>
  <c r="G2" i="22" s="1"/>
  <c r="H2" i="22" s="1"/>
  <c r="I2" i="22" s="1"/>
  <c r="J2" i="22" s="1"/>
  <c r="K2" i="22" s="1"/>
  <c r="L2" i="22" s="1"/>
  <c r="M2" i="22" s="1"/>
  <c r="D2" i="22"/>
  <c r="M2" i="21"/>
  <c r="J14" i="21"/>
  <c r="B27" i="21"/>
  <c r="J4" i="21" s="1"/>
  <c r="F19" i="21"/>
  <c r="G19" i="21" s="1"/>
  <c r="H19" i="21" s="1"/>
  <c r="I19" i="21" s="1"/>
  <c r="F18" i="21"/>
  <c r="G18" i="21" s="1"/>
  <c r="H18" i="21" s="1"/>
  <c r="I18" i="21" s="1"/>
  <c r="J17" i="21"/>
  <c r="F17" i="21"/>
  <c r="G17" i="21" s="1"/>
  <c r="H17" i="21" s="1"/>
  <c r="I17" i="21" s="1"/>
  <c r="J16" i="21"/>
  <c r="F16" i="21"/>
  <c r="G16" i="21" s="1"/>
  <c r="H16" i="21" s="1"/>
  <c r="I16" i="21" s="1"/>
  <c r="J15" i="21"/>
  <c r="F15" i="21"/>
  <c r="G15" i="21" s="1"/>
  <c r="H15" i="21" s="1"/>
  <c r="I15" i="21" s="1"/>
  <c r="F14" i="21"/>
  <c r="G14" i="21" s="1"/>
  <c r="H14" i="21" s="1"/>
  <c r="I14" i="21" s="1"/>
  <c r="J13" i="21"/>
  <c r="F13" i="21"/>
  <c r="G13" i="21" s="1"/>
  <c r="H13" i="21" s="1"/>
  <c r="I13" i="21" s="1"/>
  <c r="J12" i="21"/>
  <c r="K12" i="21" s="1"/>
  <c r="F12" i="21"/>
  <c r="G12" i="21" s="1"/>
  <c r="H12" i="21" s="1"/>
  <c r="I12" i="21" s="1"/>
  <c r="J11" i="21"/>
  <c r="F11" i="21"/>
  <c r="G11" i="21" s="1"/>
  <c r="H11" i="21" s="1"/>
  <c r="I11" i="21" s="1"/>
  <c r="J10" i="21"/>
  <c r="F10" i="21"/>
  <c r="G10" i="21" s="1"/>
  <c r="H10" i="21" s="1"/>
  <c r="I10" i="21" s="1"/>
  <c r="J8" i="21"/>
  <c r="F8" i="21"/>
  <c r="G8" i="21" s="1"/>
  <c r="H8" i="21" s="1"/>
  <c r="I8" i="21" s="1"/>
  <c r="G7" i="21"/>
  <c r="H7" i="21" s="1"/>
  <c r="I7" i="21" s="1"/>
  <c r="F7" i="21"/>
  <c r="J6" i="21"/>
  <c r="F6" i="21"/>
  <c r="G6" i="21" s="1"/>
  <c r="H6" i="21" s="1"/>
  <c r="I6" i="21" s="1"/>
  <c r="J5" i="21"/>
  <c r="F5" i="21"/>
  <c r="G5" i="21" s="1"/>
  <c r="H5" i="21" s="1"/>
  <c r="I5" i="21" s="1"/>
  <c r="F4" i="21"/>
  <c r="G4" i="21" s="1"/>
  <c r="H4" i="21" s="1"/>
  <c r="I4" i="21" s="1"/>
  <c r="F3" i="21"/>
  <c r="G3" i="21" s="1"/>
  <c r="H3" i="21" s="1"/>
  <c r="I3" i="21" s="1"/>
  <c r="F2" i="21"/>
  <c r="G2" i="21" s="1"/>
  <c r="H2" i="21" s="1"/>
  <c r="I2" i="21" s="1"/>
  <c r="F14" i="11"/>
  <c r="F4" i="11"/>
  <c r="AB48" i="11"/>
  <c r="V48" i="11"/>
  <c r="P48" i="11"/>
  <c r="AB49" i="11"/>
  <c r="AB50" i="11" s="1"/>
  <c r="AB51" i="11" s="1"/>
  <c r="AB52" i="11" s="1"/>
  <c r="AB53" i="11" s="1"/>
  <c r="AB54" i="11" s="1"/>
  <c r="AB55" i="11" s="1"/>
  <c r="AB56" i="11" s="1"/>
  <c r="AB57" i="11" s="1"/>
  <c r="AB58" i="11" s="1"/>
  <c r="V49" i="11"/>
  <c r="V50" i="11" s="1"/>
  <c r="V51" i="11" s="1"/>
  <c r="V52" i="11" s="1"/>
  <c r="V53" i="11" s="1"/>
  <c r="V54" i="11" s="1"/>
  <c r="V55" i="11" s="1"/>
  <c r="V56" i="11" s="1"/>
  <c r="V57" i="11" s="1"/>
  <c r="V58" i="11" s="1"/>
  <c r="P49" i="11"/>
  <c r="P50" i="11" s="1"/>
  <c r="P51" i="11" s="1"/>
  <c r="P52" i="11" s="1"/>
  <c r="P53" i="11" s="1"/>
  <c r="P54" i="11" s="1"/>
  <c r="P55" i="11" s="1"/>
  <c r="P56" i="11" s="1"/>
  <c r="P57" i="11" s="1"/>
  <c r="P58" i="11" s="1"/>
  <c r="R2" i="20"/>
  <c r="J43" i="20"/>
  <c r="H43" i="20"/>
  <c r="F43" i="20"/>
  <c r="B43" i="20"/>
  <c r="D43" i="20" s="1"/>
  <c r="N34" i="20"/>
  <c r="N35" i="20" s="1"/>
  <c r="N36" i="20" s="1"/>
  <c r="N37" i="20" s="1"/>
  <c r="N38" i="20" s="1"/>
  <c r="N39" i="20" s="1"/>
  <c r="N40" i="20" s="1"/>
  <c r="N41" i="20" s="1"/>
  <c r="N42" i="20" s="1"/>
  <c r="N43" i="20" s="1"/>
  <c r="Z33" i="20"/>
  <c r="Z34" i="20" s="1"/>
  <c r="Z35" i="20" s="1"/>
  <c r="Z36" i="20" s="1"/>
  <c r="Z37" i="20" s="1"/>
  <c r="Z38" i="20" s="1"/>
  <c r="Z39" i="20" s="1"/>
  <c r="Z40" i="20" s="1"/>
  <c r="Z41" i="20" s="1"/>
  <c r="Z42" i="20" s="1"/>
  <c r="Z43" i="20" s="1"/>
  <c r="W33" i="20"/>
  <c r="W34" i="20" s="1"/>
  <c r="W35" i="20" s="1"/>
  <c r="W36" i="20" s="1"/>
  <c r="W37" i="20" s="1"/>
  <c r="W38" i="20" s="1"/>
  <c r="W39" i="20" s="1"/>
  <c r="W40" i="20" s="1"/>
  <c r="W41" i="20" s="1"/>
  <c r="W42" i="20" s="1"/>
  <c r="W43" i="20" s="1"/>
  <c r="T33" i="20"/>
  <c r="T34" i="20" s="1"/>
  <c r="T35" i="20" s="1"/>
  <c r="T36" i="20" s="1"/>
  <c r="T37" i="20" s="1"/>
  <c r="T38" i="20" s="1"/>
  <c r="T39" i="20" s="1"/>
  <c r="T40" i="20" s="1"/>
  <c r="T41" i="20" s="1"/>
  <c r="T42" i="20" s="1"/>
  <c r="T43" i="20" s="1"/>
  <c r="N33" i="20"/>
  <c r="Q33" i="20" s="1"/>
  <c r="Q34" i="20" s="1"/>
  <c r="Q35" i="20" s="1"/>
  <c r="Q36" i="20" s="1"/>
  <c r="Q37" i="20" s="1"/>
  <c r="Q38" i="20" s="1"/>
  <c r="Q39" i="20" s="1"/>
  <c r="Q40" i="20" s="1"/>
  <c r="Q41" i="20" s="1"/>
  <c r="Q42" i="20" s="1"/>
  <c r="Q43" i="20" s="1"/>
  <c r="C27" i="20"/>
  <c r="F44" i="20" s="1"/>
  <c r="O19" i="20"/>
  <c r="M19" i="20"/>
  <c r="O18" i="20"/>
  <c r="R6" i="20" s="1"/>
  <c r="M18" i="20"/>
  <c r="O17" i="20"/>
  <c r="M17" i="20"/>
  <c r="O16" i="20"/>
  <c r="M16" i="20"/>
  <c r="O15" i="20"/>
  <c r="M15" i="20"/>
  <c r="M14" i="20"/>
  <c r="O13" i="20"/>
  <c r="M13" i="20"/>
  <c r="O12" i="20"/>
  <c r="P12" i="20" s="1"/>
  <c r="M12" i="20"/>
  <c r="O11" i="20"/>
  <c r="M11" i="20"/>
  <c r="O10" i="20"/>
  <c r="M10" i="20"/>
  <c r="O8" i="20"/>
  <c r="M8" i="20"/>
  <c r="M7" i="20"/>
  <c r="O6" i="20"/>
  <c r="M6" i="20"/>
  <c r="O5" i="20"/>
  <c r="M5" i="20"/>
  <c r="O4" i="20"/>
  <c r="D4" i="20"/>
  <c r="E4" i="20" s="1"/>
  <c r="F4" i="20" s="1"/>
  <c r="G4" i="20" s="1"/>
  <c r="H4" i="20" s="1"/>
  <c r="I4" i="20" s="1"/>
  <c r="J4" i="20" s="1"/>
  <c r="K4" i="20" s="1"/>
  <c r="L4" i="20" s="1"/>
  <c r="M4" i="20" s="1"/>
  <c r="D3" i="20"/>
  <c r="E3" i="20" s="1"/>
  <c r="F3" i="20" s="1"/>
  <c r="G3" i="20" s="1"/>
  <c r="H3" i="20" s="1"/>
  <c r="I3" i="20" s="1"/>
  <c r="J3" i="20" s="1"/>
  <c r="K3" i="20" s="1"/>
  <c r="L3" i="20" s="1"/>
  <c r="M3" i="20" s="1"/>
  <c r="O33" i="20"/>
  <c r="O34" i="20" s="1"/>
  <c r="O35" i="20" s="1"/>
  <c r="O36" i="20" s="1"/>
  <c r="O37" i="20" s="1"/>
  <c r="O38" i="20" s="1"/>
  <c r="O39" i="20" s="1"/>
  <c r="O40" i="20" s="1"/>
  <c r="O41" i="20" s="1"/>
  <c r="O42" i="20" s="1"/>
  <c r="O43" i="20" s="1"/>
  <c r="D2" i="20"/>
  <c r="E2" i="20" s="1"/>
  <c r="F2" i="20" s="1"/>
  <c r="G2" i="20" s="1"/>
  <c r="H2" i="20" s="1"/>
  <c r="I2" i="20" s="1"/>
  <c r="J2" i="20" s="1"/>
  <c r="K2" i="20" s="1"/>
  <c r="L2" i="20" s="1"/>
  <c r="M2" i="20" s="1"/>
  <c r="F17" i="9"/>
  <c r="F16" i="9"/>
  <c r="F14" i="9"/>
  <c r="F17" i="8"/>
  <c r="F16" i="8"/>
  <c r="F15" i="8"/>
  <c r="F14" i="8"/>
  <c r="F17" i="7"/>
  <c r="F16" i="7"/>
  <c r="F14" i="7"/>
  <c r="F15" i="7"/>
  <c r="F6" i="7"/>
  <c r="H5" i="7"/>
  <c r="G5" i="7"/>
  <c r="F5" i="7"/>
  <c r="I4" i="7"/>
  <c r="H4" i="7"/>
  <c r="G4" i="7"/>
  <c r="F4" i="7"/>
  <c r="F3" i="7"/>
  <c r="J5" i="9"/>
  <c r="AC51" i="9"/>
  <c r="W51" i="9"/>
  <c r="Q51" i="9"/>
  <c r="P51" i="9"/>
  <c r="W52" i="9"/>
  <c r="W53" i="9" s="1"/>
  <c r="W54" i="9" s="1"/>
  <c r="W55" i="9" s="1"/>
  <c r="W56" i="9" s="1"/>
  <c r="W57" i="9" s="1"/>
  <c r="W58" i="9" s="1"/>
  <c r="W59" i="9" s="1"/>
  <c r="W60" i="9" s="1"/>
  <c r="W61" i="9" s="1"/>
  <c r="Q52" i="9"/>
  <c r="Q53" i="9" s="1"/>
  <c r="Q54" i="9" s="1"/>
  <c r="Q55" i="9" s="1"/>
  <c r="Q56" i="9" s="1"/>
  <c r="Q57" i="9" s="1"/>
  <c r="Q58" i="9" s="1"/>
  <c r="Q59" i="9" s="1"/>
  <c r="Q60" i="9" s="1"/>
  <c r="Q61" i="9" s="1"/>
  <c r="P52" i="9"/>
  <c r="P53" i="9" s="1"/>
  <c r="P54" i="9" s="1"/>
  <c r="P55" i="9" s="1"/>
  <c r="P56" i="9" s="1"/>
  <c r="P57" i="9" s="1"/>
  <c r="P58" i="9" s="1"/>
  <c r="P59" i="9" s="1"/>
  <c r="P60" i="9" s="1"/>
  <c r="P61" i="9" s="1"/>
  <c r="AC52" i="9"/>
  <c r="AC53" i="9" s="1"/>
  <c r="AC54" i="9" s="1"/>
  <c r="AC55" i="9" s="1"/>
  <c r="AC56" i="9" s="1"/>
  <c r="AC57" i="9" s="1"/>
  <c r="AC58" i="9" s="1"/>
  <c r="AC59" i="9" s="1"/>
  <c r="AC60" i="9" s="1"/>
  <c r="AC61" i="9" s="1"/>
  <c r="V51" i="9"/>
  <c r="V52" i="9" s="1"/>
  <c r="V53" i="9" s="1"/>
  <c r="V54" i="9" s="1"/>
  <c r="V55" i="9" s="1"/>
  <c r="V56" i="9" s="1"/>
  <c r="V57" i="9" s="1"/>
  <c r="V58" i="9" s="1"/>
  <c r="V59" i="9" s="1"/>
  <c r="V60" i="9" s="1"/>
  <c r="V61" i="9" s="1"/>
  <c r="J44" i="19"/>
  <c r="F44" i="19"/>
  <c r="J43" i="19"/>
  <c r="H43" i="19"/>
  <c r="F43" i="19"/>
  <c r="B43" i="19"/>
  <c r="D43" i="19" s="1"/>
  <c r="N34" i="19"/>
  <c r="N35" i="19" s="1"/>
  <c r="N36" i="19" s="1"/>
  <c r="N37" i="19" s="1"/>
  <c r="N38" i="19" s="1"/>
  <c r="N39" i="19" s="1"/>
  <c r="N40" i="19" s="1"/>
  <c r="N41" i="19" s="1"/>
  <c r="N42" i="19" s="1"/>
  <c r="N43" i="19" s="1"/>
  <c r="Z33" i="19"/>
  <c r="Z34" i="19" s="1"/>
  <c r="Z35" i="19" s="1"/>
  <c r="Z36" i="19" s="1"/>
  <c r="Z37" i="19" s="1"/>
  <c r="Z38" i="19" s="1"/>
  <c r="Z39" i="19" s="1"/>
  <c r="Z40" i="19" s="1"/>
  <c r="Z41" i="19" s="1"/>
  <c r="Z42" i="19" s="1"/>
  <c r="Z43" i="19" s="1"/>
  <c r="W33" i="19"/>
  <c r="W34" i="19" s="1"/>
  <c r="W35" i="19" s="1"/>
  <c r="W36" i="19" s="1"/>
  <c r="W37" i="19" s="1"/>
  <c r="W38" i="19" s="1"/>
  <c r="W39" i="19" s="1"/>
  <c r="W40" i="19" s="1"/>
  <c r="W41" i="19" s="1"/>
  <c r="W42" i="19" s="1"/>
  <c r="W43" i="19" s="1"/>
  <c r="N33" i="19"/>
  <c r="T33" i="19" s="1"/>
  <c r="T34" i="19" s="1"/>
  <c r="T35" i="19" s="1"/>
  <c r="T36" i="19" s="1"/>
  <c r="T37" i="19" s="1"/>
  <c r="T38" i="19" s="1"/>
  <c r="T39" i="19" s="1"/>
  <c r="T40" i="19" s="1"/>
  <c r="T41" i="19" s="1"/>
  <c r="T42" i="19" s="1"/>
  <c r="T43" i="19" s="1"/>
  <c r="C27" i="19"/>
  <c r="B44" i="19" s="1"/>
  <c r="D44" i="19" s="1"/>
  <c r="O19" i="19"/>
  <c r="M19" i="19"/>
  <c r="O18" i="19"/>
  <c r="M18" i="19"/>
  <c r="O17" i="19"/>
  <c r="M17" i="19"/>
  <c r="O16" i="19"/>
  <c r="M16" i="19"/>
  <c r="O15" i="19"/>
  <c r="M15" i="19"/>
  <c r="M14" i="19"/>
  <c r="O13" i="19"/>
  <c r="M13" i="19"/>
  <c r="O12" i="19"/>
  <c r="P12" i="19" s="1"/>
  <c r="M12" i="19"/>
  <c r="O11" i="19"/>
  <c r="M11" i="19"/>
  <c r="O10" i="19"/>
  <c r="M10" i="19"/>
  <c r="O8" i="19"/>
  <c r="M8" i="19"/>
  <c r="M7" i="19"/>
  <c r="O6" i="19"/>
  <c r="M6" i="19"/>
  <c r="O5" i="19"/>
  <c r="M5" i="19"/>
  <c r="O4" i="19"/>
  <c r="D4" i="19"/>
  <c r="E4" i="19" s="1"/>
  <c r="F4" i="19" s="1"/>
  <c r="G4" i="19" s="1"/>
  <c r="H4" i="19" s="1"/>
  <c r="I4" i="19" s="1"/>
  <c r="J4" i="19" s="1"/>
  <c r="K4" i="19" s="1"/>
  <c r="L4" i="19" s="1"/>
  <c r="M4" i="19" s="1"/>
  <c r="D3" i="19"/>
  <c r="E3" i="19" s="1"/>
  <c r="F3" i="19" s="1"/>
  <c r="G3" i="19" s="1"/>
  <c r="H3" i="19" s="1"/>
  <c r="I3" i="19" s="1"/>
  <c r="J3" i="19" s="1"/>
  <c r="K3" i="19" s="1"/>
  <c r="L3" i="19" s="1"/>
  <c r="M3" i="19" s="1"/>
  <c r="D2" i="19"/>
  <c r="E2" i="19" s="1"/>
  <c r="F2" i="19" s="1"/>
  <c r="G2" i="19" s="1"/>
  <c r="H2" i="19" s="1"/>
  <c r="I2" i="19" s="1"/>
  <c r="J2" i="19" s="1"/>
  <c r="K2" i="19" s="1"/>
  <c r="L2" i="19" s="1"/>
  <c r="M2" i="19" s="1"/>
  <c r="J6" i="8"/>
  <c r="J5" i="8"/>
  <c r="J4" i="8"/>
  <c r="N44" i="8"/>
  <c r="N41" i="8"/>
  <c r="N42" i="8"/>
  <c r="N43" i="8" s="1"/>
  <c r="N39" i="8"/>
  <c r="N40" i="8"/>
  <c r="N38" i="8"/>
  <c r="N37" i="8"/>
  <c r="M2" i="8"/>
  <c r="Z36" i="8"/>
  <c r="Z37" i="8" s="1"/>
  <c r="Z38" i="8" s="1"/>
  <c r="Z39" i="8" s="1"/>
  <c r="Z40" i="8" s="1"/>
  <c r="Z41" i="8" s="1"/>
  <c r="Z42" i="8" s="1"/>
  <c r="Z43" i="8" s="1"/>
  <c r="Z44" i="8" s="1"/>
  <c r="Z45" i="8" s="1"/>
  <c r="Z46" i="8" s="1"/>
  <c r="T36" i="8"/>
  <c r="N36" i="8"/>
  <c r="T37" i="8"/>
  <c r="T38" i="8" s="1"/>
  <c r="T39" i="8" s="1"/>
  <c r="T40" i="8" s="1"/>
  <c r="T41" i="8" s="1"/>
  <c r="T42" i="8" s="1"/>
  <c r="T43" i="8" s="1"/>
  <c r="T44" i="8" s="1"/>
  <c r="T45" i="8" s="1"/>
  <c r="T46" i="8" s="1"/>
  <c r="O17" i="18"/>
  <c r="O16" i="18"/>
  <c r="O15" i="18"/>
  <c r="O14" i="18"/>
  <c r="O6" i="18"/>
  <c r="O5" i="18"/>
  <c r="O4" i="18"/>
  <c r="R2" i="18"/>
  <c r="B43" i="18"/>
  <c r="O18" i="18"/>
  <c r="J43" i="18"/>
  <c r="H43" i="18"/>
  <c r="F43" i="18"/>
  <c r="D43" i="18"/>
  <c r="N33" i="18"/>
  <c r="C28" i="18"/>
  <c r="C44" i="18" s="1"/>
  <c r="C27" i="18"/>
  <c r="J44" i="18" s="1"/>
  <c r="O19" i="18"/>
  <c r="R6" i="18" s="1"/>
  <c r="M19" i="18"/>
  <c r="M18" i="18"/>
  <c r="M17" i="18"/>
  <c r="M16" i="18"/>
  <c r="M15" i="18"/>
  <c r="M14" i="18"/>
  <c r="O13" i="18"/>
  <c r="M13" i="18"/>
  <c r="O12" i="18"/>
  <c r="P12" i="18" s="1"/>
  <c r="M12" i="18"/>
  <c r="O11" i="18"/>
  <c r="M11" i="18"/>
  <c r="O10" i="18"/>
  <c r="M10" i="18"/>
  <c r="O8" i="18"/>
  <c r="M8" i="18"/>
  <c r="M7" i="18"/>
  <c r="M6" i="18"/>
  <c r="M5" i="18"/>
  <c r="D4" i="18"/>
  <c r="E4" i="18" s="1"/>
  <c r="F4" i="18" s="1"/>
  <c r="G4" i="18" s="1"/>
  <c r="H4" i="18" s="1"/>
  <c r="I4" i="18" s="1"/>
  <c r="J4" i="18" s="1"/>
  <c r="K4" i="18" s="1"/>
  <c r="L4" i="18" s="1"/>
  <c r="M4" i="18" s="1"/>
  <c r="F3" i="18"/>
  <c r="G3" i="18" s="1"/>
  <c r="H3" i="18" s="1"/>
  <c r="I3" i="18" s="1"/>
  <c r="J3" i="18" s="1"/>
  <c r="K3" i="18" s="1"/>
  <c r="L3" i="18" s="1"/>
  <c r="M3" i="18" s="1"/>
  <c r="E3" i="18"/>
  <c r="D3" i="18"/>
  <c r="B28" i="18"/>
  <c r="C43" i="18" s="1"/>
  <c r="D2" i="18"/>
  <c r="E2" i="18" s="1"/>
  <c r="F2" i="18" s="1"/>
  <c r="G2" i="18" s="1"/>
  <c r="H2" i="18" s="1"/>
  <c r="I2" i="18" s="1"/>
  <c r="J2" i="18" s="1"/>
  <c r="K2" i="18" s="1"/>
  <c r="L2" i="18" s="1"/>
  <c r="M2" i="18" s="1"/>
  <c r="O28" i="7"/>
  <c r="O29" i="7"/>
  <c r="O30" i="7" s="1"/>
  <c r="O31" i="7" s="1"/>
  <c r="O32" i="7" s="1"/>
  <c r="O33" i="7" s="1"/>
  <c r="B27" i="7"/>
  <c r="Z33" i="17"/>
  <c r="W33" i="17"/>
  <c r="T33" i="17"/>
  <c r="Q33" i="17"/>
  <c r="N33" i="17"/>
  <c r="N27" i="7"/>
  <c r="Z27" i="7" s="1"/>
  <c r="Z28" i="7" s="1"/>
  <c r="Z29" i="7" s="1"/>
  <c r="Z30" i="7" s="1"/>
  <c r="Z31" i="7" s="1"/>
  <c r="Z32" i="7" s="1"/>
  <c r="Z33" i="7" s="1"/>
  <c r="Z34" i="7" s="1"/>
  <c r="Z35" i="7" s="1"/>
  <c r="Z36" i="7" s="1"/>
  <c r="Z37" i="7" s="1"/>
  <c r="T27" i="7"/>
  <c r="T28" i="7" s="1"/>
  <c r="T29" i="7" s="1"/>
  <c r="T30" i="7" s="1"/>
  <c r="T31" i="7" s="1"/>
  <c r="T32" i="7" s="1"/>
  <c r="T33" i="7" s="1"/>
  <c r="T34" i="7" s="1"/>
  <c r="T35" i="7" s="1"/>
  <c r="T36" i="7" s="1"/>
  <c r="T37" i="7" s="1"/>
  <c r="O27" i="7"/>
  <c r="M2" i="12"/>
  <c r="M2" i="9"/>
  <c r="M2" i="7"/>
  <c r="R2" i="17"/>
  <c r="B28" i="17" s="1"/>
  <c r="J14" i="12"/>
  <c r="J14" i="11"/>
  <c r="J14" i="9"/>
  <c r="J15" i="8"/>
  <c r="J14" i="8"/>
  <c r="J14" i="7"/>
  <c r="J43" i="17"/>
  <c r="H43" i="17"/>
  <c r="F43" i="17"/>
  <c r="B43" i="17"/>
  <c r="D43" i="17" s="1"/>
  <c r="Q35" i="17"/>
  <c r="Q36" i="17" s="1"/>
  <c r="Q37" i="17" s="1"/>
  <c r="Q38" i="17" s="1"/>
  <c r="Q39" i="17" s="1"/>
  <c r="Q40" i="17" s="1"/>
  <c r="Q41" i="17" s="1"/>
  <c r="Q42" i="17" s="1"/>
  <c r="Q43" i="17" s="1"/>
  <c r="Z34" i="17"/>
  <c r="Z35" i="17" s="1"/>
  <c r="Z36" i="17" s="1"/>
  <c r="Z37" i="17" s="1"/>
  <c r="Z38" i="17" s="1"/>
  <c r="Z39" i="17" s="1"/>
  <c r="Z40" i="17" s="1"/>
  <c r="Z41" i="17" s="1"/>
  <c r="Z42" i="17" s="1"/>
  <c r="Z43" i="17" s="1"/>
  <c r="W34" i="17"/>
  <c r="W35" i="17" s="1"/>
  <c r="W36" i="17" s="1"/>
  <c r="W37" i="17" s="1"/>
  <c r="W38" i="17" s="1"/>
  <c r="W39" i="17" s="1"/>
  <c r="W40" i="17" s="1"/>
  <c r="W41" i="17" s="1"/>
  <c r="W42" i="17" s="1"/>
  <c r="W43" i="17" s="1"/>
  <c r="T34" i="17"/>
  <c r="T35" i="17" s="1"/>
  <c r="T36" i="17" s="1"/>
  <c r="T37" i="17" s="1"/>
  <c r="T38" i="17" s="1"/>
  <c r="T39" i="17" s="1"/>
  <c r="T40" i="17" s="1"/>
  <c r="T41" i="17" s="1"/>
  <c r="T42" i="17" s="1"/>
  <c r="T43" i="17" s="1"/>
  <c r="Q34" i="17"/>
  <c r="N34" i="17"/>
  <c r="N35" i="17" s="1"/>
  <c r="N36" i="17" s="1"/>
  <c r="N37" i="17" s="1"/>
  <c r="N38" i="17" s="1"/>
  <c r="N39" i="17" s="1"/>
  <c r="N40" i="17" s="1"/>
  <c r="N41" i="17" s="1"/>
  <c r="N42" i="17" s="1"/>
  <c r="N43" i="17" s="1"/>
  <c r="C27" i="17"/>
  <c r="B44" i="17" s="1"/>
  <c r="D44" i="17" s="1"/>
  <c r="O19" i="17"/>
  <c r="M19" i="17"/>
  <c r="O18" i="17"/>
  <c r="R6" i="17" s="1"/>
  <c r="M18" i="17"/>
  <c r="O17" i="17"/>
  <c r="M17" i="17"/>
  <c r="O16" i="17"/>
  <c r="M16" i="17"/>
  <c r="O15" i="17"/>
  <c r="M15" i="17"/>
  <c r="M14" i="17"/>
  <c r="O13" i="17"/>
  <c r="M13" i="17"/>
  <c r="O12" i="17"/>
  <c r="P12" i="17" s="1"/>
  <c r="M12" i="17"/>
  <c r="O11" i="17"/>
  <c r="M11" i="17"/>
  <c r="O10" i="17"/>
  <c r="M10" i="17"/>
  <c r="O8" i="17"/>
  <c r="M8" i="17"/>
  <c r="M7" i="17"/>
  <c r="O6" i="17"/>
  <c r="M6" i="17"/>
  <c r="O5" i="17"/>
  <c r="M5" i="17"/>
  <c r="O4" i="17"/>
  <c r="D4" i="17"/>
  <c r="E4" i="17" s="1"/>
  <c r="F4" i="17" s="1"/>
  <c r="G4" i="17" s="1"/>
  <c r="H4" i="17" s="1"/>
  <c r="I4" i="17" s="1"/>
  <c r="J4" i="17" s="1"/>
  <c r="K4" i="17" s="1"/>
  <c r="L4" i="17" s="1"/>
  <c r="M4" i="17" s="1"/>
  <c r="E3" i="17"/>
  <c r="F3" i="17" s="1"/>
  <c r="G3" i="17" s="1"/>
  <c r="H3" i="17" s="1"/>
  <c r="I3" i="17" s="1"/>
  <c r="J3" i="17" s="1"/>
  <c r="K3" i="17" s="1"/>
  <c r="L3" i="17" s="1"/>
  <c r="M3" i="17" s="1"/>
  <c r="D3" i="17"/>
  <c r="D2" i="17"/>
  <c r="E2" i="17" s="1"/>
  <c r="F2" i="17" s="1"/>
  <c r="G2" i="17" s="1"/>
  <c r="H2" i="17" s="1"/>
  <c r="I2" i="17" s="1"/>
  <c r="J2" i="17" s="1"/>
  <c r="K2" i="17" s="1"/>
  <c r="L2" i="17" s="1"/>
  <c r="M2" i="17" s="1"/>
  <c r="M4" i="12"/>
  <c r="J17" i="12"/>
  <c r="J4" i="9"/>
  <c r="J6" i="9"/>
  <c r="J8" i="9"/>
  <c r="J10" i="9"/>
  <c r="J17" i="9"/>
  <c r="J6" i="11"/>
  <c r="J18" i="7"/>
  <c r="J18" i="9"/>
  <c r="J18" i="12"/>
  <c r="J19" i="12"/>
  <c r="J19" i="7"/>
  <c r="J19" i="9"/>
  <c r="M6" i="9" s="1"/>
  <c r="K3" i="48" l="1"/>
  <c r="L3" i="48" s="1"/>
  <c r="M3" i="48" s="1"/>
  <c r="I2" i="48"/>
  <c r="J2" i="48" s="1"/>
  <c r="K2" i="48" s="1"/>
  <c r="L2" i="48" s="1"/>
  <c r="M2" i="48" s="1"/>
  <c r="M4" i="48"/>
  <c r="Q11" i="48"/>
  <c r="R11" i="48" s="1"/>
  <c r="R4" i="48" s="1"/>
  <c r="U33" i="48" s="1"/>
  <c r="W33" i="48"/>
  <c r="W34" i="48" s="1"/>
  <c r="W35" i="48" s="1"/>
  <c r="W36" i="48" s="1"/>
  <c r="W37" i="48" s="1"/>
  <c r="W38" i="48" s="1"/>
  <c r="W39" i="48" s="1"/>
  <c r="W40" i="48" s="1"/>
  <c r="W41" i="48" s="1"/>
  <c r="W42" i="48" s="1"/>
  <c r="W43" i="48" s="1"/>
  <c r="R6" i="48"/>
  <c r="B32" i="48" s="1"/>
  <c r="Z33" i="48"/>
  <c r="Z34" i="48" s="1"/>
  <c r="Z35" i="48" s="1"/>
  <c r="Z36" i="48" s="1"/>
  <c r="Z37" i="48" s="1"/>
  <c r="Z38" i="48" s="1"/>
  <c r="Z39" i="48" s="1"/>
  <c r="Z40" i="48" s="1"/>
  <c r="Z41" i="48" s="1"/>
  <c r="Z42" i="48" s="1"/>
  <c r="Z43" i="48" s="1"/>
  <c r="H44" i="48"/>
  <c r="N34" i="48"/>
  <c r="N35" i="48" s="1"/>
  <c r="N36" i="48" s="1"/>
  <c r="N37" i="48" s="1"/>
  <c r="N38" i="48" s="1"/>
  <c r="N39" i="48" s="1"/>
  <c r="N40" i="48" s="1"/>
  <c r="N41" i="48" s="1"/>
  <c r="N42" i="48" s="1"/>
  <c r="N43" i="48" s="1"/>
  <c r="J44" i="48"/>
  <c r="R3" i="48"/>
  <c r="R33" i="48" s="1"/>
  <c r="R5" i="48"/>
  <c r="B31" i="48" s="1"/>
  <c r="I43" i="48" s="1"/>
  <c r="D27" i="48"/>
  <c r="C28" i="48"/>
  <c r="F44" i="48"/>
  <c r="O33" i="48"/>
  <c r="Q33" i="48"/>
  <c r="Q34" i="48" s="1"/>
  <c r="Q35" i="48" s="1"/>
  <c r="Q36" i="48" s="1"/>
  <c r="Q37" i="48" s="1"/>
  <c r="Q38" i="48" s="1"/>
  <c r="Q39" i="48" s="1"/>
  <c r="Q40" i="48" s="1"/>
  <c r="Q41" i="48" s="1"/>
  <c r="Q42" i="48" s="1"/>
  <c r="Q43" i="48" s="1"/>
  <c r="R3" i="41"/>
  <c r="B29" i="41" s="1"/>
  <c r="T33" i="41"/>
  <c r="T34" i="41" s="1"/>
  <c r="T35" i="41" s="1"/>
  <c r="T36" i="41" s="1"/>
  <c r="T37" i="41" s="1"/>
  <c r="T38" i="41" s="1"/>
  <c r="T39" i="41" s="1"/>
  <c r="T40" i="41" s="1"/>
  <c r="T41" i="41" s="1"/>
  <c r="T42" i="41" s="1"/>
  <c r="T43" i="41" s="1"/>
  <c r="R5" i="41"/>
  <c r="B31" i="41" s="1"/>
  <c r="B32" i="41"/>
  <c r="AA33" i="41"/>
  <c r="AA34" i="41" s="1"/>
  <c r="AA35" i="41" s="1"/>
  <c r="AA36" i="41" s="1"/>
  <c r="AA37" i="41" s="1"/>
  <c r="AA38" i="41" s="1"/>
  <c r="AA39" i="41" s="1"/>
  <c r="AA40" i="41" s="1"/>
  <c r="AA41" i="41" s="1"/>
  <c r="AA42" i="41" s="1"/>
  <c r="AA43" i="41" s="1"/>
  <c r="B44" i="41"/>
  <c r="D44" i="41" s="1"/>
  <c r="J44" i="41"/>
  <c r="F44" i="41"/>
  <c r="H44" i="41"/>
  <c r="D27" i="41"/>
  <c r="B28" i="41"/>
  <c r="Q11" i="41"/>
  <c r="R11" i="41" s="1"/>
  <c r="R4" i="41" s="1"/>
  <c r="Q11" i="40"/>
  <c r="R11" i="40" s="1"/>
  <c r="R4" i="40" s="1"/>
  <c r="B30" i="40" s="1"/>
  <c r="R6" i="40"/>
  <c r="F44" i="40"/>
  <c r="Z33" i="40"/>
  <c r="Z34" i="40" s="1"/>
  <c r="Z35" i="40" s="1"/>
  <c r="Z36" i="40" s="1"/>
  <c r="Z37" i="40" s="1"/>
  <c r="Z38" i="40" s="1"/>
  <c r="Z39" i="40" s="1"/>
  <c r="Z40" i="40" s="1"/>
  <c r="Z41" i="40" s="1"/>
  <c r="Z42" i="40" s="1"/>
  <c r="Z43" i="40" s="1"/>
  <c r="R3" i="40"/>
  <c r="B29" i="40" s="1"/>
  <c r="R5" i="40"/>
  <c r="AA33" i="40"/>
  <c r="AA34" i="40" s="1"/>
  <c r="AA35" i="40" s="1"/>
  <c r="AA36" i="40" s="1"/>
  <c r="AA37" i="40" s="1"/>
  <c r="AA38" i="40" s="1"/>
  <c r="AA39" i="40" s="1"/>
  <c r="AA40" i="40" s="1"/>
  <c r="AA41" i="40" s="1"/>
  <c r="AA42" i="40" s="1"/>
  <c r="AA43" i="40" s="1"/>
  <c r="B32" i="40"/>
  <c r="C28" i="40"/>
  <c r="C30" i="40"/>
  <c r="G43" i="40"/>
  <c r="B44" i="40"/>
  <c r="D44" i="40" s="1"/>
  <c r="J44" i="40"/>
  <c r="D27" i="40"/>
  <c r="O33" i="40"/>
  <c r="O34" i="40" s="1"/>
  <c r="O35" i="40" s="1"/>
  <c r="O36" i="40" s="1"/>
  <c r="O37" i="40" s="1"/>
  <c r="O38" i="40" s="1"/>
  <c r="O39" i="40" s="1"/>
  <c r="O40" i="40" s="1"/>
  <c r="O41" i="40" s="1"/>
  <c r="O42" i="40" s="1"/>
  <c r="O43" i="40" s="1"/>
  <c r="Q33" i="40"/>
  <c r="Q34" i="40" s="1"/>
  <c r="Q35" i="40" s="1"/>
  <c r="Q36" i="40" s="1"/>
  <c r="Q37" i="40" s="1"/>
  <c r="Q38" i="40" s="1"/>
  <c r="Q39" i="40" s="1"/>
  <c r="Q40" i="40" s="1"/>
  <c r="Q41" i="40" s="1"/>
  <c r="Q42" i="40" s="1"/>
  <c r="Q43" i="40" s="1"/>
  <c r="W33" i="39"/>
  <c r="W34" i="39" s="1"/>
  <c r="W35" i="39" s="1"/>
  <c r="W36" i="39" s="1"/>
  <c r="W37" i="39" s="1"/>
  <c r="W38" i="39" s="1"/>
  <c r="W39" i="39" s="1"/>
  <c r="W40" i="39" s="1"/>
  <c r="W41" i="39" s="1"/>
  <c r="W42" i="39" s="1"/>
  <c r="W43" i="39" s="1"/>
  <c r="R6" i="39"/>
  <c r="F44" i="39"/>
  <c r="R5" i="39"/>
  <c r="X33" i="39" s="1"/>
  <c r="X34" i="39" s="1"/>
  <c r="X35" i="39" s="1"/>
  <c r="X36" i="39" s="1"/>
  <c r="X37" i="39" s="1"/>
  <c r="X38" i="39" s="1"/>
  <c r="X39" i="39" s="1"/>
  <c r="X40" i="39" s="1"/>
  <c r="X41" i="39" s="1"/>
  <c r="X42" i="39" s="1"/>
  <c r="X43" i="39" s="1"/>
  <c r="R5" i="38"/>
  <c r="B31" i="38" s="1"/>
  <c r="I43" i="38" s="1"/>
  <c r="R3" i="39"/>
  <c r="Q11" i="39"/>
  <c r="R11" i="39" s="1"/>
  <c r="R4" i="39" s="1"/>
  <c r="C28" i="39"/>
  <c r="C43" i="39"/>
  <c r="AA33" i="39"/>
  <c r="AA34" i="39" s="1"/>
  <c r="AA35" i="39" s="1"/>
  <c r="AA36" i="39" s="1"/>
  <c r="AA37" i="39" s="1"/>
  <c r="AA38" i="39" s="1"/>
  <c r="AA39" i="39" s="1"/>
  <c r="AA40" i="39" s="1"/>
  <c r="AA41" i="39" s="1"/>
  <c r="AA42" i="39" s="1"/>
  <c r="AA43" i="39" s="1"/>
  <c r="B32" i="39"/>
  <c r="H44" i="39"/>
  <c r="D27" i="39"/>
  <c r="Z33" i="39"/>
  <c r="Z34" i="39" s="1"/>
  <c r="Z35" i="39" s="1"/>
  <c r="Z36" i="39" s="1"/>
  <c r="Z37" i="39" s="1"/>
  <c r="Z38" i="39" s="1"/>
  <c r="Z39" i="39" s="1"/>
  <c r="Z40" i="39" s="1"/>
  <c r="Z41" i="39" s="1"/>
  <c r="Z42" i="39" s="1"/>
  <c r="Z43" i="39" s="1"/>
  <c r="J44" i="39"/>
  <c r="N34" i="39"/>
  <c r="N35" i="39" s="1"/>
  <c r="N36" i="39" s="1"/>
  <c r="N37" i="39" s="1"/>
  <c r="N38" i="39" s="1"/>
  <c r="N39" i="39" s="1"/>
  <c r="N40" i="39" s="1"/>
  <c r="N41" i="39" s="1"/>
  <c r="N42" i="39" s="1"/>
  <c r="N43" i="39" s="1"/>
  <c r="R3" i="38"/>
  <c r="B29" i="38" s="1"/>
  <c r="Q33" i="39"/>
  <c r="Q34" i="39" s="1"/>
  <c r="Q35" i="39" s="1"/>
  <c r="Q36" i="39" s="1"/>
  <c r="Q37" i="39" s="1"/>
  <c r="Q38" i="39" s="1"/>
  <c r="Q39" i="39" s="1"/>
  <c r="Q40" i="39" s="1"/>
  <c r="Q41" i="39" s="1"/>
  <c r="Q42" i="39" s="1"/>
  <c r="Q43" i="39" s="1"/>
  <c r="W33" i="38"/>
  <c r="W34" i="38" s="1"/>
  <c r="W35" i="38" s="1"/>
  <c r="W36" i="38" s="1"/>
  <c r="W37" i="38" s="1"/>
  <c r="W38" i="38" s="1"/>
  <c r="W39" i="38" s="1"/>
  <c r="W40" i="38" s="1"/>
  <c r="W41" i="38" s="1"/>
  <c r="W42" i="38" s="1"/>
  <c r="W43" i="38" s="1"/>
  <c r="J44" i="38"/>
  <c r="K43" i="38"/>
  <c r="C32" i="38"/>
  <c r="C28" i="38"/>
  <c r="Q11" i="38"/>
  <c r="R11" i="38" s="1"/>
  <c r="R4" i="38" s="1"/>
  <c r="AA33" i="38"/>
  <c r="AA34" i="38" s="1"/>
  <c r="AA35" i="38" s="1"/>
  <c r="AA36" i="38" s="1"/>
  <c r="AA37" i="38" s="1"/>
  <c r="AA38" i="38" s="1"/>
  <c r="AA39" i="38" s="1"/>
  <c r="AA40" i="38" s="1"/>
  <c r="AA41" i="38" s="1"/>
  <c r="AA42" i="38" s="1"/>
  <c r="AA43" i="38" s="1"/>
  <c r="F44" i="38"/>
  <c r="D27" i="38"/>
  <c r="H44" i="38"/>
  <c r="O33" i="38"/>
  <c r="O34" i="38" s="1"/>
  <c r="O35" i="38" s="1"/>
  <c r="O36" i="38" s="1"/>
  <c r="O37" i="38" s="1"/>
  <c r="O38" i="38" s="1"/>
  <c r="O39" i="38" s="1"/>
  <c r="O40" i="38" s="1"/>
  <c r="O41" i="38" s="1"/>
  <c r="O42" i="38" s="1"/>
  <c r="O43" i="38" s="1"/>
  <c r="Q33" i="38"/>
  <c r="Q34" i="38" s="1"/>
  <c r="Q35" i="38" s="1"/>
  <c r="Q36" i="38" s="1"/>
  <c r="Q37" i="38" s="1"/>
  <c r="Q38" i="38" s="1"/>
  <c r="Q39" i="38" s="1"/>
  <c r="Q40" i="38" s="1"/>
  <c r="Q41" i="38" s="1"/>
  <c r="Q42" i="38" s="1"/>
  <c r="Q43" i="38" s="1"/>
  <c r="R3" i="37"/>
  <c r="B29" i="37" s="1"/>
  <c r="R6" i="37"/>
  <c r="Z33" i="37"/>
  <c r="Z34" i="37" s="1"/>
  <c r="Z35" i="37" s="1"/>
  <c r="Z36" i="37" s="1"/>
  <c r="Z37" i="37" s="1"/>
  <c r="Z38" i="37" s="1"/>
  <c r="Z39" i="37" s="1"/>
  <c r="Z40" i="37" s="1"/>
  <c r="Z41" i="37" s="1"/>
  <c r="Z42" i="37" s="1"/>
  <c r="Z43" i="37" s="1"/>
  <c r="N34" i="37"/>
  <c r="N35" i="37" s="1"/>
  <c r="N36" i="37" s="1"/>
  <c r="N37" i="37" s="1"/>
  <c r="N38" i="37" s="1"/>
  <c r="N39" i="37" s="1"/>
  <c r="N40" i="37" s="1"/>
  <c r="N41" i="37" s="1"/>
  <c r="N42" i="37" s="1"/>
  <c r="N43" i="37" s="1"/>
  <c r="R5" i="37"/>
  <c r="B31" i="37" s="1"/>
  <c r="I43" i="37" s="1"/>
  <c r="D27" i="37"/>
  <c r="B44" i="37"/>
  <c r="D44" i="37" s="1"/>
  <c r="J44" i="37"/>
  <c r="G43" i="37"/>
  <c r="C30" i="37"/>
  <c r="F44" i="37"/>
  <c r="C28" i="37"/>
  <c r="H44" i="37"/>
  <c r="O33" i="37"/>
  <c r="O34" i="37" s="1"/>
  <c r="O35" i="37" s="1"/>
  <c r="O36" i="37" s="1"/>
  <c r="O37" i="37" s="1"/>
  <c r="O38" i="37" s="1"/>
  <c r="O39" i="37" s="1"/>
  <c r="O40" i="37" s="1"/>
  <c r="O41" i="37" s="1"/>
  <c r="O42" i="37" s="1"/>
  <c r="O43" i="37" s="1"/>
  <c r="Q33" i="37"/>
  <c r="Q34" i="37" s="1"/>
  <c r="Q35" i="37" s="1"/>
  <c r="Q36" i="37" s="1"/>
  <c r="Q37" i="37" s="1"/>
  <c r="Q38" i="37" s="1"/>
  <c r="Q39" i="37" s="1"/>
  <c r="Q40" i="37" s="1"/>
  <c r="Q41" i="37" s="1"/>
  <c r="Q42" i="37" s="1"/>
  <c r="Q43" i="37" s="1"/>
  <c r="Q11" i="23"/>
  <c r="R11" i="23" s="1"/>
  <c r="R4" i="23" s="1"/>
  <c r="B30" i="23" s="1"/>
  <c r="Q11" i="36"/>
  <c r="R11" i="36" s="1"/>
  <c r="R4" i="36" s="1"/>
  <c r="B30" i="36" s="1"/>
  <c r="G43" i="36" s="1"/>
  <c r="W33" i="36"/>
  <c r="W34" i="36" s="1"/>
  <c r="W35" i="36" s="1"/>
  <c r="W36" i="36" s="1"/>
  <c r="W37" i="36" s="1"/>
  <c r="W38" i="36" s="1"/>
  <c r="W39" i="36" s="1"/>
  <c r="W40" i="36" s="1"/>
  <c r="W41" i="36" s="1"/>
  <c r="W42" i="36" s="1"/>
  <c r="W43" i="36" s="1"/>
  <c r="R5" i="36"/>
  <c r="B31" i="36" s="1"/>
  <c r="Z33" i="36"/>
  <c r="Z34" i="36" s="1"/>
  <c r="Z35" i="36" s="1"/>
  <c r="Z36" i="36" s="1"/>
  <c r="Z37" i="36" s="1"/>
  <c r="Z38" i="36" s="1"/>
  <c r="Z39" i="36" s="1"/>
  <c r="Z40" i="36" s="1"/>
  <c r="Z41" i="36" s="1"/>
  <c r="Z42" i="36" s="1"/>
  <c r="Z43" i="36" s="1"/>
  <c r="F44" i="36"/>
  <c r="H44" i="36"/>
  <c r="R3" i="36"/>
  <c r="R33" i="36" s="1"/>
  <c r="R34" i="36" s="1"/>
  <c r="R35" i="36" s="1"/>
  <c r="R36" i="36" s="1"/>
  <c r="R37" i="36" s="1"/>
  <c r="R38" i="36" s="1"/>
  <c r="R39" i="36" s="1"/>
  <c r="R40" i="36" s="1"/>
  <c r="R41" i="36" s="1"/>
  <c r="R42" i="36" s="1"/>
  <c r="R43" i="36" s="1"/>
  <c r="AA33" i="36"/>
  <c r="AA34" i="36" s="1"/>
  <c r="AA35" i="36" s="1"/>
  <c r="AA36" i="36" s="1"/>
  <c r="AA37" i="36" s="1"/>
  <c r="AA38" i="36" s="1"/>
  <c r="AA39" i="36" s="1"/>
  <c r="AA40" i="36" s="1"/>
  <c r="AA41" i="36" s="1"/>
  <c r="AA42" i="36" s="1"/>
  <c r="AA43" i="36" s="1"/>
  <c r="B32" i="36"/>
  <c r="F45" i="36"/>
  <c r="E27" i="36"/>
  <c r="D45" i="36"/>
  <c r="J45" i="36"/>
  <c r="B45" i="36"/>
  <c r="H45" i="36"/>
  <c r="N34" i="36"/>
  <c r="N35" i="36" s="1"/>
  <c r="N36" i="36" s="1"/>
  <c r="N37" i="36" s="1"/>
  <c r="N38" i="36" s="1"/>
  <c r="N39" i="36" s="1"/>
  <c r="N40" i="36" s="1"/>
  <c r="N41" i="36" s="1"/>
  <c r="N42" i="36" s="1"/>
  <c r="N43" i="36" s="1"/>
  <c r="B28" i="36"/>
  <c r="J44" i="36"/>
  <c r="B44" i="36"/>
  <c r="D44" i="36" s="1"/>
  <c r="Q33" i="36"/>
  <c r="Q34" i="36" s="1"/>
  <c r="Q35" i="36" s="1"/>
  <c r="Q36" i="36" s="1"/>
  <c r="Q37" i="36" s="1"/>
  <c r="Q38" i="36" s="1"/>
  <c r="Q39" i="36" s="1"/>
  <c r="Q40" i="36" s="1"/>
  <c r="Q41" i="36" s="1"/>
  <c r="Q42" i="36" s="1"/>
  <c r="Q43" i="36" s="1"/>
  <c r="R3" i="35"/>
  <c r="B29" i="35" s="1"/>
  <c r="R6" i="35"/>
  <c r="F44" i="35"/>
  <c r="Z33" i="35"/>
  <c r="Z34" i="35" s="1"/>
  <c r="Z35" i="35" s="1"/>
  <c r="Z36" i="35" s="1"/>
  <c r="Z37" i="35" s="1"/>
  <c r="Z38" i="35" s="1"/>
  <c r="Z39" i="35" s="1"/>
  <c r="Z40" i="35" s="1"/>
  <c r="Z41" i="35" s="1"/>
  <c r="Z42" i="35" s="1"/>
  <c r="Z43" i="35" s="1"/>
  <c r="R5" i="35"/>
  <c r="B31" i="35" s="1"/>
  <c r="C31" i="35" s="1"/>
  <c r="Q11" i="35"/>
  <c r="R11" i="35" s="1"/>
  <c r="R4" i="35" s="1"/>
  <c r="B44" i="35"/>
  <c r="D44" i="35" s="1"/>
  <c r="J44" i="35"/>
  <c r="D27" i="35"/>
  <c r="B28" i="35"/>
  <c r="Q33" i="35"/>
  <c r="Q34" i="35" s="1"/>
  <c r="Q35" i="35" s="1"/>
  <c r="Q36" i="35" s="1"/>
  <c r="Q37" i="35" s="1"/>
  <c r="Q38" i="35" s="1"/>
  <c r="Q39" i="35" s="1"/>
  <c r="Q40" i="35" s="1"/>
  <c r="Q41" i="35" s="1"/>
  <c r="Q42" i="35" s="1"/>
  <c r="Q43" i="35" s="1"/>
  <c r="Q11" i="34"/>
  <c r="R11" i="34" s="1"/>
  <c r="R4" i="34" s="1"/>
  <c r="B30" i="34" s="1"/>
  <c r="C30" i="34" s="1"/>
  <c r="R6" i="34"/>
  <c r="B32" i="34" s="1"/>
  <c r="Z33" i="34"/>
  <c r="Z34" i="34" s="1"/>
  <c r="Z35" i="34" s="1"/>
  <c r="Z36" i="34" s="1"/>
  <c r="Z37" i="34" s="1"/>
  <c r="Z38" i="34" s="1"/>
  <c r="Z39" i="34" s="1"/>
  <c r="Z40" i="34" s="1"/>
  <c r="Z41" i="34" s="1"/>
  <c r="Z42" i="34" s="1"/>
  <c r="Z43" i="34" s="1"/>
  <c r="F44" i="34"/>
  <c r="R3" i="34"/>
  <c r="B29" i="34" s="1"/>
  <c r="R5" i="34"/>
  <c r="X33" i="34" s="1"/>
  <c r="X34" i="34" s="1"/>
  <c r="X35" i="34" s="1"/>
  <c r="X36" i="34" s="1"/>
  <c r="X37" i="34" s="1"/>
  <c r="X38" i="34" s="1"/>
  <c r="X39" i="34" s="1"/>
  <c r="X40" i="34" s="1"/>
  <c r="X41" i="34" s="1"/>
  <c r="X42" i="34" s="1"/>
  <c r="X43" i="34" s="1"/>
  <c r="AA33" i="34"/>
  <c r="AA34" i="34" s="1"/>
  <c r="AA35" i="34" s="1"/>
  <c r="AA36" i="34" s="1"/>
  <c r="AA37" i="34" s="1"/>
  <c r="AA38" i="34" s="1"/>
  <c r="AA39" i="34" s="1"/>
  <c r="AA40" i="34" s="1"/>
  <c r="AA41" i="34" s="1"/>
  <c r="AA42" i="34" s="1"/>
  <c r="AA43" i="34" s="1"/>
  <c r="F45" i="34"/>
  <c r="J45" i="34"/>
  <c r="D45" i="34"/>
  <c r="E27" i="34"/>
  <c r="B45" i="34"/>
  <c r="G43" i="34"/>
  <c r="H45" i="34"/>
  <c r="H44" i="34"/>
  <c r="J44" i="34"/>
  <c r="B28" i="34"/>
  <c r="B44" i="34"/>
  <c r="D44" i="34" s="1"/>
  <c r="Q33" i="33"/>
  <c r="Q34" i="33" s="1"/>
  <c r="Q35" i="33" s="1"/>
  <c r="Q36" i="33" s="1"/>
  <c r="Q37" i="33" s="1"/>
  <c r="Q38" i="33" s="1"/>
  <c r="Q39" i="33" s="1"/>
  <c r="Q40" i="33" s="1"/>
  <c r="Q41" i="33" s="1"/>
  <c r="Q42" i="33" s="1"/>
  <c r="Q43" i="33" s="1"/>
  <c r="T33" i="33"/>
  <c r="T34" i="33" s="1"/>
  <c r="T35" i="33" s="1"/>
  <c r="T36" i="33" s="1"/>
  <c r="T37" i="33" s="1"/>
  <c r="T38" i="33" s="1"/>
  <c r="T39" i="33" s="1"/>
  <c r="T40" i="33" s="1"/>
  <c r="T41" i="33" s="1"/>
  <c r="T42" i="33" s="1"/>
  <c r="T43" i="33" s="1"/>
  <c r="W33" i="33"/>
  <c r="W34" i="33" s="1"/>
  <c r="W35" i="33" s="1"/>
  <c r="W36" i="33" s="1"/>
  <c r="W37" i="33" s="1"/>
  <c r="W38" i="33" s="1"/>
  <c r="W39" i="33" s="1"/>
  <c r="W40" i="33" s="1"/>
  <c r="W41" i="33" s="1"/>
  <c r="W42" i="33" s="1"/>
  <c r="W43" i="33" s="1"/>
  <c r="Z33" i="33"/>
  <c r="Z34" i="33" s="1"/>
  <c r="Z35" i="33" s="1"/>
  <c r="Z36" i="33" s="1"/>
  <c r="Z37" i="33" s="1"/>
  <c r="Z38" i="33" s="1"/>
  <c r="Z39" i="33" s="1"/>
  <c r="Z40" i="33" s="1"/>
  <c r="Z41" i="33" s="1"/>
  <c r="Z42" i="33" s="1"/>
  <c r="Z43" i="33" s="1"/>
  <c r="R6" i="33"/>
  <c r="Q11" i="33"/>
  <c r="R11" i="33" s="1"/>
  <c r="R4" i="33" s="1"/>
  <c r="B30" i="33" s="1"/>
  <c r="C30" i="33" s="1"/>
  <c r="D30" i="33" s="1"/>
  <c r="E30" i="33" s="1"/>
  <c r="F30" i="33" s="1"/>
  <c r="R3" i="33"/>
  <c r="B29" i="33" s="1"/>
  <c r="C29" i="33" s="1"/>
  <c r="D29" i="33" s="1"/>
  <c r="E29" i="33" s="1"/>
  <c r="F29" i="33" s="1"/>
  <c r="B32" i="33"/>
  <c r="C32" i="33" s="1"/>
  <c r="D32" i="33" s="1"/>
  <c r="E32" i="33" s="1"/>
  <c r="F32" i="33" s="1"/>
  <c r="AA33" i="33"/>
  <c r="AA34" i="33" s="1"/>
  <c r="AA35" i="33" s="1"/>
  <c r="AA36" i="33" s="1"/>
  <c r="AA37" i="33" s="1"/>
  <c r="AA38" i="33" s="1"/>
  <c r="AA39" i="33" s="1"/>
  <c r="AA40" i="33" s="1"/>
  <c r="AA41" i="33" s="1"/>
  <c r="AA42" i="33" s="1"/>
  <c r="AA43" i="33" s="1"/>
  <c r="R5" i="33"/>
  <c r="B28" i="33"/>
  <c r="C28" i="33" s="1"/>
  <c r="D28" i="33" s="1"/>
  <c r="E28" i="33" s="1"/>
  <c r="F28" i="33" s="1"/>
  <c r="W33" i="32"/>
  <c r="W34" i="32" s="1"/>
  <c r="W35" i="32" s="1"/>
  <c r="W36" i="32" s="1"/>
  <c r="W37" i="32" s="1"/>
  <c r="W38" i="32" s="1"/>
  <c r="W39" i="32" s="1"/>
  <c r="W40" i="32" s="1"/>
  <c r="W41" i="32" s="1"/>
  <c r="W42" i="32" s="1"/>
  <c r="W43" i="32" s="1"/>
  <c r="R6" i="32"/>
  <c r="R3" i="32"/>
  <c r="B29" i="32" s="1"/>
  <c r="R5" i="32"/>
  <c r="AA33" i="32"/>
  <c r="AA34" i="32" s="1"/>
  <c r="AA35" i="32" s="1"/>
  <c r="AA36" i="32" s="1"/>
  <c r="AA37" i="32" s="1"/>
  <c r="AA38" i="32" s="1"/>
  <c r="AA39" i="32" s="1"/>
  <c r="AA40" i="32" s="1"/>
  <c r="AA41" i="32" s="1"/>
  <c r="AA42" i="32" s="1"/>
  <c r="AA43" i="32" s="1"/>
  <c r="B32" i="32"/>
  <c r="J44" i="32"/>
  <c r="D27" i="32"/>
  <c r="H44" i="32"/>
  <c r="B44" i="32"/>
  <c r="D44" i="32" s="1"/>
  <c r="C28" i="32"/>
  <c r="G43" i="32"/>
  <c r="C30" i="32"/>
  <c r="O33" i="32"/>
  <c r="O34" i="32" s="1"/>
  <c r="O35" i="32" s="1"/>
  <c r="O36" i="32" s="1"/>
  <c r="O37" i="32" s="1"/>
  <c r="O38" i="32" s="1"/>
  <c r="O39" i="32" s="1"/>
  <c r="O40" i="32" s="1"/>
  <c r="O41" i="32" s="1"/>
  <c r="O42" i="32" s="1"/>
  <c r="O43" i="32" s="1"/>
  <c r="Q33" i="32"/>
  <c r="Q34" i="32" s="1"/>
  <c r="Q35" i="32" s="1"/>
  <c r="Q36" i="32" s="1"/>
  <c r="Q37" i="32" s="1"/>
  <c r="Q38" i="32" s="1"/>
  <c r="Q39" i="32" s="1"/>
  <c r="Q40" i="32" s="1"/>
  <c r="Q41" i="32" s="1"/>
  <c r="Q42" i="32" s="1"/>
  <c r="Q43" i="32" s="1"/>
  <c r="Q11" i="31"/>
  <c r="R11" i="31" s="1"/>
  <c r="R4" i="31" s="1"/>
  <c r="B30" i="31" s="1"/>
  <c r="C30" i="31" s="1"/>
  <c r="D30" i="31" s="1"/>
  <c r="E30" i="31" s="1"/>
  <c r="F30" i="31" s="1"/>
  <c r="R3" i="31"/>
  <c r="R5" i="31"/>
  <c r="X33" i="31" s="1"/>
  <c r="X34" i="31" s="1"/>
  <c r="X35" i="31" s="1"/>
  <c r="X36" i="31" s="1"/>
  <c r="X37" i="31" s="1"/>
  <c r="X38" i="31" s="1"/>
  <c r="X39" i="31" s="1"/>
  <c r="X40" i="31" s="1"/>
  <c r="X41" i="31" s="1"/>
  <c r="X42" i="31" s="1"/>
  <c r="X43" i="31" s="1"/>
  <c r="AA33" i="31"/>
  <c r="AA34" i="31" s="1"/>
  <c r="AA35" i="31" s="1"/>
  <c r="AA36" i="31" s="1"/>
  <c r="AA37" i="31" s="1"/>
  <c r="AA38" i="31" s="1"/>
  <c r="AA39" i="31" s="1"/>
  <c r="AA40" i="31" s="1"/>
  <c r="AA41" i="31" s="1"/>
  <c r="AA42" i="31" s="1"/>
  <c r="AA43" i="31" s="1"/>
  <c r="B32" i="31"/>
  <c r="C32" i="31" s="1"/>
  <c r="D32" i="31" s="1"/>
  <c r="E32" i="31" s="1"/>
  <c r="F32" i="31" s="1"/>
  <c r="B28" i="31"/>
  <c r="C28" i="31" s="1"/>
  <c r="D28" i="31" s="1"/>
  <c r="E28" i="31" s="1"/>
  <c r="F28" i="31" s="1"/>
  <c r="W33" i="30"/>
  <c r="W34" i="30" s="1"/>
  <c r="W35" i="30" s="1"/>
  <c r="W36" i="30" s="1"/>
  <c r="W37" i="30" s="1"/>
  <c r="W38" i="30" s="1"/>
  <c r="W39" i="30" s="1"/>
  <c r="W40" i="30" s="1"/>
  <c r="W41" i="30" s="1"/>
  <c r="W42" i="30" s="1"/>
  <c r="W43" i="30" s="1"/>
  <c r="R3" i="30"/>
  <c r="R33" i="30" s="1"/>
  <c r="R34" i="30" s="1"/>
  <c r="R35" i="30" s="1"/>
  <c r="R36" i="30" s="1"/>
  <c r="R37" i="30" s="1"/>
  <c r="R38" i="30" s="1"/>
  <c r="R39" i="30" s="1"/>
  <c r="R40" i="30" s="1"/>
  <c r="R41" i="30" s="1"/>
  <c r="R42" i="30" s="1"/>
  <c r="R43" i="30" s="1"/>
  <c r="R6" i="30"/>
  <c r="AA33" i="30" s="1"/>
  <c r="AA34" i="30" s="1"/>
  <c r="AA35" i="30" s="1"/>
  <c r="AA36" i="30" s="1"/>
  <c r="AA37" i="30" s="1"/>
  <c r="AA38" i="30" s="1"/>
  <c r="AA39" i="30" s="1"/>
  <c r="AA40" i="30" s="1"/>
  <c r="AA41" i="30" s="1"/>
  <c r="AA42" i="30" s="1"/>
  <c r="AA43" i="30" s="1"/>
  <c r="R5" i="30"/>
  <c r="B31" i="30" s="1"/>
  <c r="C31" i="30" s="1"/>
  <c r="C28" i="30"/>
  <c r="J44" i="30"/>
  <c r="B44" i="30"/>
  <c r="D44" i="30" s="1"/>
  <c r="D27" i="30"/>
  <c r="H44" i="30"/>
  <c r="Q11" i="30"/>
  <c r="R11" i="30" s="1"/>
  <c r="R4" i="30" s="1"/>
  <c r="C43" i="30"/>
  <c r="O33" i="30"/>
  <c r="O34" i="30" s="1"/>
  <c r="O35" i="30" s="1"/>
  <c r="O36" i="30" s="1"/>
  <c r="O37" i="30" s="1"/>
  <c r="O38" i="30" s="1"/>
  <c r="O39" i="30" s="1"/>
  <c r="O40" i="30" s="1"/>
  <c r="O41" i="30" s="1"/>
  <c r="O42" i="30" s="1"/>
  <c r="O43" i="30" s="1"/>
  <c r="Q33" i="30"/>
  <c r="Q34" i="30" s="1"/>
  <c r="Q35" i="30" s="1"/>
  <c r="Q36" i="30" s="1"/>
  <c r="Q37" i="30" s="1"/>
  <c r="Q38" i="30" s="1"/>
  <c r="Q39" i="30" s="1"/>
  <c r="Q40" i="30" s="1"/>
  <c r="Q41" i="30" s="1"/>
  <c r="Q42" i="30" s="1"/>
  <c r="Q43" i="30" s="1"/>
  <c r="R3" i="29"/>
  <c r="R33" i="29" s="1"/>
  <c r="R34" i="29" s="1"/>
  <c r="R35" i="29" s="1"/>
  <c r="R36" i="29" s="1"/>
  <c r="R37" i="29" s="1"/>
  <c r="R38" i="29" s="1"/>
  <c r="R39" i="29" s="1"/>
  <c r="R40" i="29" s="1"/>
  <c r="R41" i="29" s="1"/>
  <c r="R42" i="29" s="1"/>
  <c r="R43" i="29" s="1"/>
  <c r="W33" i="29"/>
  <c r="W34" i="29" s="1"/>
  <c r="W35" i="29" s="1"/>
  <c r="W36" i="29" s="1"/>
  <c r="W37" i="29" s="1"/>
  <c r="W38" i="29" s="1"/>
  <c r="W39" i="29" s="1"/>
  <c r="W40" i="29" s="1"/>
  <c r="W41" i="29" s="1"/>
  <c r="W42" i="29" s="1"/>
  <c r="W43" i="29" s="1"/>
  <c r="R6" i="29"/>
  <c r="Z33" i="29"/>
  <c r="Z34" i="29" s="1"/>
  <c r="Z35" i="29" s="1"/>
  <c r="Z36" i="29" s="1"/>
  <c r="Z37" i="29" s="1"/>
  <c r="Z38" i="29" s="1"/>
  <c r="Z39" i="29" s="1"/>
  <c r="Z40" i="29" s="1"/>
  <c r="Z41" i="29" s="1"/>
  <c r="Z42" i="29" s="1"/>
  <c r="Z43" i="29" s="1"/>
  <c r="N34" i="29"/>
  <c r="N35" i="29" s="1"/>
  <c r="N36" i="29" s="1"/>
  <c r="N37" i="29" s="1"/>
  <c r="N38" i="29" s="1"/>
  <c r="N39" i="29" s="1"/>
  <c r="N40" i="29" s="1"/>
  <c r="N41" i="29" s="1"/>
  <c r="N42" i="29" s="1"/>
  <c r="N43" i="29" s="1"/>
  <c r="F44" i="29"/>
  <c r="R5" i="29"/>
  <c r="B31" i="29" s="1"/>
  <c r="C31" i="29" s="1"/>
  <c r="Q11" i="29"/>
  <c r="R11" i="29" s="1"/>
  <c r="R4" i="29" s="1"/>
  <c r="B44" i="29"/>
  <c r="D44" i="29" s="1"/>
  <c r="J44" i="29"/>
  <c r="D27" i="29"/>
  <c r="B28" i="29"/>
  <c r="O33" i="29"/>
  <c r="O34" i="29" s="1"/>
  <c r="O35" i="29" s="1"/>
  <c r="O36" i="29" s="1"/>
  <c r="O37" i="29" s="1"/>
  <c r="O38" i="29" s="1"/>
  <c r="O39" i="29" s="1"/>
  <c r="O40" i="29" s="1"/>
  <c r="O41" i="29" s="1"/>
  <c r="O42" i="29" s="1"/>
  <c r="O43" i="29" s="1"/>
  <c r="Q33" i="29"/>
  <c r="Q34" i="29" s="1"/>
  <c r="Q35" i="29" s="1"/>
  <c r="Q36" i="29" s="1"/>
  <c r="Q37" i="29" s="1"/>
  <c r="Q38" i="29" s="1"/>
  <c r="Q39" i="29" s="1"/>
  <c r="Q40" i="29" s="1"/>
  <c r="Q41" i="29" s="1"/>
  <c r="Q42" i="29" s="1"/>
  <c r="Q43" i="29" s="1"/>
  <c r="Q33" i="28"/>
  <c r="Q34" i="28" s="1"/>
  <c r="Q35" i="28" s="1"/>
  <c r="Q36" i="28" s="1"/>
  <c r="Q37" i="28" s="1"/>
  <c r="Q38" i="28" s="1"/>
  <c r="Q39" i="28" s="1"/>
  <c r="Q40" i="28" s="1"/>
  <c r="Q41" i="28" s="1"/>
  <c r="Q42" i="28" s="1"/>
  <c r="Q43" i="28" s="1"/>
  <c r="T33" i="28"/>
  <c r="T34" i="28" s="1"/>
  <c r="T35" i="28" s="1"/>
  <c r="T36" i="28" s="1"/>
  <c r="T37" i="28" s="1"/>
  <c r="T38" i="28" s="1"/>
  <c r="T39" i="28" s="1"/>
  <c r="T40" i="28" s="1"/>
  <c r="T41" i="28" s="1"/>
  <c r="T42" i="28" s="1"/>
  <c r="T43" i="28" s="1"/>
  <c r="R6" i="28"/>
  <c r="W33" i="28"/>
  <c r="W34" i="28" s="1"/>
  <c r="W35" i="28" s="1"/>
  <c r="W36" i="28" s="1"/>
  <c r="W37" i="28" s="1"/>
  <c r="W38" i="28" s="1"/>
  <c r="W39" i="28" s="1"/>
  <c r="W40" i="28" s="1"/>
  <c r="W41" i="28" s="1"/>
  <c r="W42" i="28" s="1"/>
  <c r="W43" i="28" s="1"/>
  <c r="Z33" i="28"/>
  <c r="Z34" i="28" s="1"/>
  <c r="Z35" i="28" s="1"/>
  <c r="Z36" i="28" s="1"/>
  <c r="Z37" i="28" s="1"/>
  <c r="Z38" i="28" s="1"/>
  <c r="Z39" i="28" s="1"/>
  <c r="Z40" i="28" s="1"/>
  <c r="Z41" i="28" s="1"/>
  <c r="Z42" i="28" s="1"/>
  <c r="Z43" i="28" s="1"/>
  <c r="R5" i="28"/>
  <c r="B31" i="28" s="1"/>
  <c r="C31" i="28" s="1"/>
  <c r="R3" i="28"/>
  <c r="R33" i="28" s="1"/>
  <c r="R34" i="28" s="1"/>
  <c r="R35" i="28" s="1"/>
  <c r="R36" i="28" s="1"/>
  <c r="R37" i="28" s="1"/>
  <c r="R38" i="28" s="1"/>
  <c r="R39" i="28" s="1"/>
  <c r="R40" i="28" s="1"/>
  <c r="R41" i="28" s="1"/>
  <c r="R42" i="28" s="1"/>
  <c r="R43" i="28" s="1"/>
  <c r="C30" i="28"/>
  <c r="G43" i="28"/>
  <c r="J44" i="28"/>
  <c r="B44" i="28"/>
  <c r="D44" i="28" s="1"/>
  <c r="D27" i="28"/>
  <c r="H44" i="28"/>
  <c r="B28" i="28"/>
  <c r="O33" i="28"/>
  <c r="O34" i="28" s="1"/>
  <c r="O35" i="28" s="1"/>
  <c r="O36" i="28" s="1"/>
  <c r="O37" i="28" s="1"/>
  <c r="O38" i="28" s="1"/>
  <c r="O39" i="28" s="1"/>
  <c r="O40" i="28" s="1"/>
  <c r="O41" i="28" s="1"/>
  <c r="O42" i="28" s="1"/>
  <c r="O43" i="28" s="1"/>
  <c r="W33" i="27"/>
  <c r="W34" i="27" s="1"/>
  <c r="W35" i="27" s="1"/>
  <c r="W36" i="27" s="1"/>
  <c r="W37" i="27" s="1"/>
  <c r="W38" i="27" s="1"/>
  <c r="W39" i="27" s="1"/>
  <c r="W40" i="27" s="1"/>
  <c r="W41" i="27" s="1"/>
  <c r="W42" i="27" s="1"/>
  <c r="W43" i="27" s="1"/>
  <c r="O33" i="27"/>
  <c r="O34" i="27" s="1"/>
  <c r="O35" i="27" s="1"/>
  <c r="O36" i="27" s="1"/>
  <c r="O37" i="27" s="1"/>
  <c r="O38" i="27" s="1"/>
  <c r="O39" i="27" s="1"/>
  <c r="O40" i="27" s="1"/>
  <c r="O41" i="27" s="1"/>
  <c r="O42" i="27" s="1"/>
  <c r="O43" i="27" s="1"/>
  <c r="R3" i="27"/>
  <c r="R33" i="27" s="1"/>
  <c r="R34" i="27" s="1"/>
  <c r="R35" i="27" s="1"/>
  <c r="R36" i="27" s="1"/>
  <c r="R37" i="27" s="1"/>
  <c r="R38" i="27" s="1"/>
  <c r="R39" i="27" s="1"/>
  <c r="R40" i="27" s="1"/>
  <c r="R41" i="27" s="1"/>
  <c r="R42" i="27" s="1"/>
  <c r="R43" i="27" s="1"/>
  <c r="R5" i="27"/>
  <c r="Q11" i="27"/>
  <c r="R11" i="27" s="1"/>
  <c r="R4" i="27" s="1"/>
  <c r="Z33" i="27"/>
  <c r="Z34" i="27" s="1"/>
  <c r="Z35" i="27" s="1"/>
  <c r="Z36" i="27" s="1"/>
  <c r="Z37" i="27" s="1"/>
  <c r="Z38" i="27" s="1"/>
  <c r="Z39" i="27" s="1"/>
  <c r="Z40" i="27" s="1"/>
  <c r="Z41" i="27" s="1"/>
  <c r="Z42" i="27" s="1"/>
  <c r="Z43" i="27" s="1"/>
  <c r="AA33" i="27"/>
  <c r="AA34" i="27" s="1"/>
  <c r="AA35" i="27" s="1"/>
  <c r="AA36" i="27" s="1"/>
  <c r="AA37" i="27" s="1"/>
  <c r="AA38" i="27" s="1"/>
  <c r="AA39" i="27" s="1"/>
  <c r="AA40" i="27" s="1"/>
  <c r="AA41" i="27" s="1"/>
  <c r="AA42" i="27" s="1"/>
  <c r="AA43" i="27" s="1"/>
  <c r="Q33" i="27"/>
  <c r="Q34" i="27" s="1"/>
  <c r="Q35" i="27" s="1"/>
  <c r="Q36" i="27" s="1"/>
  <c r="Q37" i="27" s="1"/>
  <c r="Q38" i="27" s="1"/>
  <c r="Q39" i="27" s="1"/>
  <c r="Q40" i="27" s="1"/>
  <c r="Q41" i="27" s="1"/>
  <c r="Q42" i="27" s="1"/>
  <c r="Q43" i="27" s="1"/>
  <c r="N34" i="27"/>
  <c r="N35" i="27" s="1"/>
  <c r="N36" i="27" s="1"/>
  <c r="N37" i="27" s="1"/>
  <c r="N38" i="27" s="1"/>
  <c r="N39" i="27" s="1"/>
  <c r="N40" i="27" s="1"/>
  <c r="N41" i="27" s="1"/>
  <c r="N42" i="27" s="1"/>
  <c r="N43" i="27" s="1"/>
  <c r="R6" i="25"/>
  <c r="B32" i="25" s="1"/>
  <c r="Q11" i="25"/>
  <c r="R11" i="25" s="1"/>
  <c r="R4" i="25" s="1"/>
  <c r="R6" i="26"/>
  <c r="Q33" i="26"/>
  <c r="Q34" i="26" s="1"/>
  <c r="Q35" i="26" s="1"/>
  <c r="Q36" i="26" s="1"/>
  <c r="Q37" i="26" s="1"/>
  <c r="Q38" i="26" s="1"/>
  <c r="Q39" i="26" s="1"/>
  <c r="Q40" i="26" s="1"/>
  <c r="Q41" i="26" s="1"/>
  <c r="Q42" i="26" s="1"/>
  <c r="Q43" i="26" s="1"/>
  <c r="R5" i="26"/>
  <c r="X33" i="26" s="1"/>
  <c r="X34" i="26" s="1"/>
  <c r="X35" i="26" s="1"/>
  <c r="X36" i="26" s="1"/>
  <c r="X37" i="26" s="1"/>
  <c r="X38" i="26" s="1"/>
  <c r="X39" i="26" s="1"/>
  <c r="X40" i="26" s="1"/>
  <c r="X41" i="26" s="1"/>
  <c r="X42" i="26" s="1"/>
  <c r="X43" i="26" s="1"/>
  <c r="AA33" i="26"/>
  <c r="AA34" i="26" s="1"/>
  <c r="AA35" i="26" s="1"/>
  <c r="AA36" i="26" s="1"/>
  <c r="AA37" i="26" s="1"/>
  <c r="AA38" i="26" s="1"/>
  <c r="AA39" i="26" s="1"/>
  <c r="AA40" i="26" s="1"/>
  <c r="AA41" i="26" s="1"/>
  <c r="AA42" i="26" s="1"/>
  <c r="AA43" i="26" s="1"/>
  <c r="B32" i="26"/>
  <c r="B30" i="26"/>
  <c r="D27" i="26"/>
  <c r="W33" i="26"/>
  <c r="W34" i="26" s="1"/>
  <c r="W35" i="26" s="1"/>
  <c r="W36" i="26" s="1"/>
  <c r="W37" i="26" s="1"/>
  <c r="W38" i="26" s="1"/>
  <c r="W39" i="26" s="1"/>
  <c r="W40" i="26" s="1"/>
  <c r="W41" i="26" s="1"/>
  <c r="W42" i="26" s="1"/>
  <c r="W43" i="26" s="1"/>
  <c r="B28" i="26"/>
  <c r="B44" i="25"/>
  <c r="D44" i="25" s="1"/>
  <c r="W33" i="25"/>
  <c r="W34" i="25" s="1"/>
  <c r="W35" i="25" s="1"/>
  <c r="W36" i="25" s="1"/>
  <c r="W37" i="25" s="1"/>
  <c r="W38" i="25" s="1"/>
  <c r="W39" i="25" s="1"/>
  <c r="W40" i="25" s="1"/>
  <c r="W41" i="25" s="1"/>
  <c r="W42" i="25" s="1"/>
  <c r="W43" i="25" s="1"/>
  <c r="J44" i="25"/>
  <c r="T33" i="25"/>
  <c r="T34" i="25" s="1"/>
  <c r="T35" i="25" s="1"/>
  <c r="T36" i="25" s="1"/>
  <c r="T37" i="25" s="1"/>
  <c r="T38" i="25" s="1"/>
  <c r="T39" i="25" s="1"/>
  <c r="T40" i="25" s="1"/>
  <c r="T41" i="25" s="1"/>
  <c r="T42" i="25" s="1"/>
  <c r="T43" i="25" s="1"/>
  <c r="N34" i="25"/>
  <c r="N35" i="25" s="1"/>
  <c r="N36" i="25" s="1"/>
  <c r="N37" i="25" s="1"/>
  <c r="N38" i="25" s="1"/>
  <c r="N39" i="25" s="1"/>
  <c r="N40" i="25" s="1"/>
  <c r="N41" i="25" s="1"/>
  <c r="N42" i="25" s="1"/>
  <c r="N43" i="25" s="1"/>
  <c r="Q33" i="25"/>
  <c r="Q34" i="25" s="1"/>
  <c r="Q35" i="25" s="1"/>
  <c r="Q36" i="25" s="1"/>
  <c r="Q37" i="25" s="1"/>
  <c r="Q38" i="25" s="1"/>
  <c r="Q39" i="25" s="1"/>
  <c r="Q40" i="25" s="1"/>
  <c r="Q41" i="25" s="1"/>
  <c r="Q42" i="25" s="1"/>
  <c r="Q43" i="25" s="1"/>
  <c r="R3" i="25"/>
  <c r="B29" i="25" s="1"/>
  <c r="R5" i="25"/>
  <c r="X33" i="25" s="1"/>
  <c r="X34" i="25" s="1"/>
  <c r="X35" i="25" s="1"/>
  <c r="X36" i="25" s="1"/>
  <c r="X37" i="25" s="1"/>
  <c r="X38" i="25" s="1"/>
  <c r="X39" i="25" s="1"/>
  <c r="X40" i="25" s="1"/>
  <c r="X41" i="25" s="1"/>
  <c r="X42" i="25" s="1"/>
  <c r="X43" i="25" s="1"/>
  <c r="D27" i="25"/>
  <c r="F44" i="25"/>
  <c r="B28" i="25"/>
  <c r="R3" i="24"/>
  <c r="B29" i="24" s="1"/>
  <c r="R5" i="24"/>
  <c r="B44" i="24"/>
  <c r="D44" i="24" s="1"/>
  <c r="Q33" i="24"/>
  <c r="Q34" i="24" s="1"/>
  <c r="Q35" i="24" s="1"/>
  <c r="Q36" i="24" s="1"/>
  <c r="Q37" i="24" s="1"/>
  <c r="Q38" i="24" s="1"/>
  <c r="Q39" i="24" s="1"/>
  <c r="Q40" i="24" s="1"/>
  <c r="Q41" i="24" s="1"/>
  <c r="Q42" i="24" s="1"/>
  <c r="Q43" i="24" s="1"/>
  <c r="J44" i="24"/>
  <c r="H44" i="24"/>
  <c r="N34" i="24"/>
  <c r="N35" i="24" s="1"/>
  <c r="N36" i="24" s="1"/>
  <c r="N37" i="24" s="1"/>
  <c r="N38" i="24" s="1"/>
  <c r="N39" i="24" s="1"/>
  <c r="N40" i="24" s="1"/>
  <c r="N41" i="24" s="1"/>
  <c r="N42" i="24" s="1"/>
  <c r="N43" i="24" s="1"/>
  <c r="C28" i="24"/>
  <c r="C43" i="24"/>
  <c r="B30" i="24"/>
  <c r="O33" i="24"/>
  <c r="O34" i="24" s="1"/>
  <c r="O35" i="24" s="1"/>
  <c r="O36" i="24" s="1"/>
  <c r="O37" i="24" s="1"/>
  <c r="O38" i="24" s="1"/>
  <c r="O39" i="24" s="1"/>
  <c r="O40" i="24" s="1"/>
  <c r="O41" i="24" s="1"/>
  <c r="O42" i="24" s="1"/>
  <c r="O43" i="24" s="1"/>
  <c r="D27" i="24"/>
  <c r="T33" i="24"/>
  <c r="T34" i="24" s="1"/>
  <c r="T35" i="24" s="1"/>
  <c r="T36" i="24" s="1"/>
  <c r="T37" i="24" s="1"/>
  <c r="T38" i="24" s="1"/>
  <c r="T39" i="24" s="1"/>
  <c r="T40" i="24" s="1"/>
  <c r="T41" i="24" s="1"/>
  <c r="T42" i="24" s="1"/>
  <c r="T43" i="24" s="1"/>
  <c r="W33" i="24"/>
  <c r="W34" i="24" s="1"/>
  <c r="W35" i="24" s="1"/>
  <c r="W36" i="24" s="1"/>
  <c r="W37" i="24" s="1"/>
  <c r="W38" i="24" s="1"/>
  <c r="W39" i="24" s="1"/>
  <c r="W40" i="24" s="1"/>
  <c r="W41" i="24" s="1"/>
  <c r="W42" i="24" s="1"/>
  <c r="W43" i="24" s="1"/>
  <c r="J44" i="23"/>
  <c r="W33" i="23"/>
  <c r="W34" i="23" s="1"/>
  <c r="W35" i="23" s="1"/>
  <c r="W36" i="23" s="1"/>
  <c r="W37" i="23" s="1"/>
  <c r="W38" i="23" s="1"/>
  <c r="W39" i="23" s="1"/>
  <c r="W40" i="23" s="1"/>
  <c r="W41" i="23" s="1"/>
  <c r="W42" i="23" s="1"/>
  <c r="W43" i="23" s="1"/>
  <c r="N34" i="23"/>
  <c r="N35" i="23" s="1"/>
  <c r="N36" i="23" s="1"/>
  <c r="N37" i="23" s="1"/>
  <c r="N38" i="23" s="1"/>
  <c r="N39" i="23" s="1"/>
  <c r="N40" i="23" s="1"/>
  <c r="N41" i="23" s="1"/>
  <c r="N42" i="23" s="1"/>
  <c r="N43" i="23" s="1"/>
  <c r="Q33" i="23"/>
  <c r="Q34" i="23" s="1"/>
  <c r="Q35" i="23" s="1"/>
  <c r="Q36" i="23" s="1"/>
  <c r="Q37" i="23" s="1"/>
  <c r="Q38" i="23" s="1"/>
  <c r="Q39" i="23" s="1"/>
  <c r="Q40" i="23" s="1"/>
  <c r="Q41" i="23" s="1"/>
  <c r="Q42" i="23" s="1"/>
  <c r="Q43" i="23" s="1"/>
  <c r="T33" i="23"/>
  <c r="T34" i="23" s="1"/>
  <c r="T35" i="23" s="1"/>
  <c r="T36" i="23" s="1"/>
  <c r="T37" i="23" s="1"/>
  <c r="T38" i="23" s="1"/>
  <c r="T39" i="23" s="1"/>
  <c r="T40" i="23" s="1"/>
  <c r="T41" i="23" s="1"/>
  <c r="T42" i="23" s="1"/>
  <c r="T43" i="23" s="1"/>
  <c r="B44" i="23"/>
  <c r="D44" i="23" s="1"/>
  <c r="O33" i="23"/>
  <c r="O34" i="23" s="1"/>
  <c r="O35" i="23" s="1"/>
  <c r="O36" i="23" s="1"/>
  <c r="O37" i="23" s="1"/>
  <c r="O38" i="23" s="1"/>
  <c r="O39" i="23" s="1"/>
  <c r="O40" i="23" s="1"/>
  <c r="O41" i="23" s="1"/>
  <c r="O42" i="23" s="1"/>
  <c r="O43" i="23" s="1"/>
  <c r="R5" i="23"/>
  <c r="R3" i="23"/>
  <c r="C28" i="23"/>
  <c r="C43" i="23"/>
  <c r="K43" i="23"/>
  <c r="C32" i="23"/>
  <c r="AA33" i="23"/>
  <c r="AA34" i="23" s="1"/>
  <c r="AA35" i="23" s="1"/>
  <c r="AA36" i="23" s="1"/>
  <c r="AA37" i="23" s="1"/>
  <c r="AA38" i="23" s="1"/>
  <c r="AA39" i="23" s="1"/>
  <c r="AA40" i="23" s="1"/>
  <c r="AA41" i="23" s="1"/>
  <c r="AA42" i="23" s="1"/>
  <c r="AA43" i="23" s="1"/>
  <c r="D27" i="23"/>
  <c r="F44" i="23"/>
  <c r="Q11" i="22"/>
  <c r="R11" i="22" s="1"/>
  <c r="R4" i="22" s="1"/>
  <c r="B30" i="22" s="1"/>
  <c r="G43" i="22" s="1"/>
  <c r="R6" i="22"/>
  <c r="B32" i="22" s="1"/>
  <c r="F44" i="22"/>
  <c r="R3" i="22"/>
  <c r="R5" i="22"/>
  <c r="X33" i="22" s="1"/>
  <c r="X34" i="22" s="1"/>
  <c r="X35" i="22" s="1"/>
  <c r="X36" i="22" s="1"/>
  <c r="X37" i="22" s="1"/>
  <c r="X38" i="22" s="1"/>
  <c r="X39" i="22" s="1"/>
  <c r="X40" i="22" s="1"/>
  <c r="X41" i="22" s="1"/>
  <c r="X42" i="22" s="1"/>
  <c r="X43" i="22" s="1"/>
  <c r="B28" i="22"/>
  <c r="D27" i="22"/>
  <c r="H44" i="22"/>
  <c r="J44" i="22"/>
  <c r="L11" i="21"/>
  <c r="M11" i="21" s="1"/>
  <c r="M4" i="21" s="1"/>
  <c r="M5" i="21"/>
  <c r="B31" i="21" s="1"/>
  <c r="J19" i="21"/>
  <c r="H43" i="21"/>
  <c r="M3" i="21"/>
  <c r="B29" i="21" s="1"/>
  <c r="C27" i="21"/>
  <c r="J43" i="21"/>
  <c r="B43" i="21"/>
  <c r="D43" i="21" s="1"/>
  <c r="J18" i="21"/>
  <c r="M36" i="21"/>
  <c r="F43" i="21"/>
  <c r="Q11" i="20"/>
  <c r="R11" i="20" s="1"/>
  <c r="R4" i="20" s="1"/>
  <c r="B30" i="20" s="1"/>
  <c r="R3" i="20"/>
  <c r="R33" i="20" s="1"/>
  <c r="R34" i="20" s="1"/>
  <c r="R35" i="20" s="1"/>
  <c r="R36" i="20" s="1"/>
  <c r="R37" i="20" s="1"/>
  <c r="R38" i="20" s="1"/>
  <c r="R39" i="20" s="1"/>
  <c r="R40" i="20" s="1"/>
  <c r="R41" i="20" s="1"/>
  <c r="R42" i="20" s="1"/>
  <c r="R43" i="20" s="1"/>
  <c r="AA33" i="20"/>
  <c r="AA34" i="20" s="1"/>
  <c r="AA35" i="20" s="1"/>
  <c r="AA36" i="20" s="1"/>
  <c r="AA37" i="20" s="1"/>
  <c r="AA38" i="20" s="1"/>
  <c r="AA39" i="20" s="1"/>
  <c r="AA40" i="20" s="1"/>
  <c r="AA41" i="20" s="1"/>
  <c r="AA42" i="20" s="1"/>
  <c r="AA43" i="20" s="1"/>
  <c r="B32" i="20"/>
  <c r="B44" i="20"/>
  <c r="D44" i="20" s="1"/>
  <c r="J44" i="20"/>
  <c r="H44" i="20"/>
  <c r="R5" i="20"/>
  <c r="D27" i="20"/>
  <c r="B28" i="20"/>
  <c r="M3" i="9"/>
  <c r="S51" i="9"/>
  <c r="S52" i="9" s="1"/>
  <c r="S53" i="9" s="1"/>
  <c r="S54" i="9" s="1"/>
  <c r="S55" i="9" s="1"/>
  <c r="S56" i="9" s="1"/>
  <c r="S57" i="9" s="1"/>
  <c r="S58" i="9" s="1"/>
  <c r="S59" i="9" s="1"/>
  <c r="S60" i="9" s="1"/>
  <c r="S61" i="9" s="1"/>
  <c r="Y51" i="9"/>
  <c r="Y52" i="9" s="1"/>
  <c r="Y53" i="9" s="1"/>
  <c r="Y54" i="9" s="1"/>
  <c r="Y55" i="9" s="1"/>
  <c r="Y56" i="9" s="1"/>
  <c r="Y57" i="9" s="1"/>
  <c r="Y58" i="9" s="1"/>
  <c r="Y59" i="9" s="1"/>
  <c r="Y60" i="9" s="1"/>
  <c r="Y61" i="9" s="1"/>
  <c r="AB51" i="9"/>
  <c r="AB52" i="9" s="1"/>
  <c r="AB53" i="9" s="1"/>
  <c r="AB54" i="9" s="1"/>
  <c r="AB55" i="9" s="1"/>
  <c r="AB56" i="9" s="1"/>
  <c r="AB57" i="9" s="1"/>
  <c r="AB58" i="9" s="1"/>
  <c r="AB59" i="9" s="1"/>
  <c r="AB60" i="9" s="1"/>
  <c r="AB61" i="9" s="1"/>
  <c r="R3" i="19"/>
  <c r="B29" i="19" s="1"/>
  <c r="R6" i="19"/>
  <c r="O33" i="19"/>
  <c r="O34" i="19" s="1"/>
  <c r="O35" i="19" s="1"/>
  <c r="O36" i="19" s="1"/>
  <c r="O37" i="19" s="1"/>
  <c r="O38" i="19" s="1"/>
  <c r="O39" i="19" s="1"/>
  <c r="O40" i="19" s="1"/>
  <c r="O41" i="19" s="1"/>
  <c r="O42" i="19" s="1"/>
  <c r="O43" i="19" s="1"/>
  <c r="B28" i="19"/>
  <c r="Q11" i="19"/>
  <c r="R11" i="19" s="1"/>
  <c r="R4" i="19" s="1"/>
  <c r="R5" i="19"/>
  <c r="D27" i="19"/>
  <c r="H44" i="19"/>
  <c r="Q33" i="19"/>
  <c r="Q34" i="19" s="1"/>
  <c r="Q35" i="19" s="1"/>
  <c r="Q36" i="19" s="1"/>
  <c r="Q37" i="19" s="1"/>
  <c r="Q38" i="19" s="1"/>
  <c r="Q39" i="19" s="1"/>
  <c r="Q40" i="19" s="1"/>
  <c r="Q41" i="19" s="1"/>
  <c r="Q42" i="19" s="1"/>
  <c r="Q43" i="19" s="1"/>
  <c r="N45" i="8"/>
  <c r="N46" i="8" s="1"/>
  <c r="Q11" i="18"/>
  <c r="R11" i="18" s="1"/>
  <c r="R4" i="18" s="1"/>
  <c r="B30" i="18" s="1"/>
  <c r="R3" i="18"/>
  <c r="R33" i="18" s="1"/>
  <c r="R34" i="18" s="1"/>
  <c r="R35" i="18" s="1"/>
  <c r="R36" i="18" s="1"/>
  <c r="R37" i="18" s="1"/>
  <c r="R38" i="18" s="1"/>
  <c r="R39" i="18" s="1"/>
  <c r="R40" i="18" s="1"/>
  <c r="R41" i="18" s="1"/>
  <c r="R42" i="18" s="1"/>
  <c r="R43" i="18" s="1"/>
  <c r="B44" i="18"/>
  <c r="D44" i="18" s="1"/>
  <c r="F44" i="18"/>
  <c r="O33" i="18"/>
  <c r="O34" i="18" s="1"/>
  <c r="O35" i="18" s="1"/>
  <c r="O36" i="18" s="1"/>
  <c r="O37" i="18" s="1"/>
  <c r="O38" i="18" s="1"/>
  <c r="O39" i="18" s="1"/>
  <c r="O40" i="18" s="1"/>
  <c r="O41" i="18" s="1"/>
  <c r="O42" i="18" s="1"/>
  <c r="O43" i="18" s="1"/>
  <c r="R5" i="18"/>
  <c r="X33" i="18" s="1"/>
  <c r="X34" i="18" s="1"/>
  <c r="X35" i="18" s="1"/>
  <c r="X36" i="18" s="1"/>
  <c r="X37" i="18" s="1"/>
  <c r="X38" i="18" s="1"/>
  <c r="X39" i="18" s="1"/>
  <c r="X40" i="18" s="1"/>
  <c r="X41" i="18" s="1"/>
  <c r="X42" i="18" s="1"/>
  <c r="X43" i="18" s="1"/>
  <c r="D28" i="18"/>
  <c r="N34" i="18"/>
  <c r="N35" i="18" s="1"/>
  <c r="N36" i="18" s="1"/>
  <c r="N37" i="18" s="1"/>
  <c r="N38" i="18" s="1"/>
  <c r="N39" i="18" s="1"/>
  <c r="N40" i="18" s="1"/>
  <c r="N41" i="18" s="1"/>
  <c r="N42" i="18" s="1"/>
  <c r="N43" i="18" s="1"/>
  <c r="Z33" i="18"/>
  <c r="Z34" i="18" s="1"/>
  <c r="Z35" i="18" s="1"/>
  <c r="Z36" i="18" s="1"/>
  <c r="Z37" i="18" s="1"/>
  <c r="Z38" i="18" s="1"/>
  <c r="Z39" i="18" s="1"/>
  <c r="Z40" i="18" s="1"/>
  <c r="Z41" i="18" s="1"/>
  <c r="Z42" i="18" s="1"/>
  <c r="Z43" i="18" s="1"/>
  <c r="Q33" i="18"/>
  <c r="Q34" i="18" s="1"/>
  <c r="Q35" i="18" s="1"/>
  <c r="Q36" i="18" s="1"/>
  <c r="Q37" i="18" s="1"/>
  <c r="Q38" i="18" s="1"/>
  <c r="Q39" i="18" s="1"/>
  <c r="Q40" i="18" s="1"/>
  <c r="Q41" i="18" s="1"/>
  <c r="Q42" i="18" s="1"/>
  <c r="Q43" i="18" s="1"/>
  <c r="T33" i="18"/>
  <c r="T34" i="18" s="1"/>
  <c r="T35" i="18" s="1"/>
  <c r="T36" i="18" s="1"/>
  <c r="T37" i="18" s="1"/>
  <c r="T38" i="18" s="1"/>
  <c r="T39" i="18" s="1"/>
  <c r="T40" i="18" s="1"/>
  <c r="T41" i="18" s="1"/>
  <c r="T42" i="18" s="1"/>
  <c r="T43" i="18" s="1"/>
  <c r="AA33" i="18"/>
  <c r="AA34" i="18" s="1"/>
  <c r="AA35" i="18" s="1"/>
  <c r="AA36" i="18" s="1"/>
  <c r="AA37" i="18" s="1"/>
  <c r="AA38" i="18" s="1"/>
  <c r="AA39" i="18" s="1"/>
  <c r="AA40" i="18" s="1"/>
  <c r="AA41" i="18" s="1"/>
  <c r="AA42" i="18" s="1"/>
  <c r="AA43" i="18" s="1"/>
  <c r="B32" i="18"/>
  <c r="W33" i="18"/>
  <c r="W34" i="18" s="1"/>
  <c r="W35" i="18" s="1"/>
  <c r="W36" i="18" s="1"/>
  <c r="W37" i="18" s="1"/>
  <c r="W38" i="18" s="1"/>
  <c r="W39" i="18" s="1"/>
  <c r="W40" i="18" s="1"/>
  <c r="W41" i="18" s="1"/>
  <c r="W42" i="18" s="1"/>
  <c r="W43" i="18" s="1"/>
  <c r="H44" i="18"/>
  <c r="D27" i="18"/>
  <c r="O34" i="7"/>
  <c r="O35" i="7" s="1"/>
  <c r="O36" i="7" s="1"/>
  <c r="O37" i="7" s="1"/>
  <c r="Q27" i="7"/>
  <c r="Q28" i="7" s="1"/>
  <c r="Q29" i="7" s="1"/>
  <c r="Q30" i="7" s="1"/>
  <c r="Q31" i="7" s="1"/>
  <c r="Q32" i="7" s="1"/>
  <c r="Q33" i="7" s="1"/>
  <c r="Q34" i="7" s="1"/>
  <c r="Q35" i="7" s="1"/>
  <c r="Q36" i="7" s="1"/>
  <c r="Q37" i="7" s="1"/>
  <c r="N28" i="7"/>
  <c r="N29" i="7" s="1"/>
  <c r="N30" i="7" s="1"/>
  <c r="N31" i="7" s="1"/>
  <c r="N32" i="7" s="1"/>
  <c r="N33" i="7" s="1"/>
  <c r="N34" i="7" s="1"/>
  <c r="N35" i="7" s="1"/>
  <c r="N36" i="7" s="1"/>
  <c r="N37" i="7" s="1"/>
  <c r="W27" i="7"/>
  <c r="W28" i="7" s="1"/>
  <c r="W29" i="7" s="1"/>
  <c r="W30" i="7" s="1"/>
  <c r="W31" i="7" s="1"/>
  <c r="W32" i="7" s="1"/>
  <c r="W33" i="7" s="1"/>
  <c r="W34" i="7" s="1"/>
  <c r="W35" i="7" s="1"/>
  <c r="W36" i="7" s="1"/>
  <c r="W37" i="7" s="1"/>
  <c r="Q11" i="17"/>
  <c r="R11" i="17" s="1"/>
  <c r="C28" i="17"/>
  <c r="C44" i="17" s="1"/>
  <c r="C43" i="17"/>
  <c r="O33" i="17"/>
  <c r="O34" i="17" s="1"/>
  <c r="O35" i="17" s="1"/>
  <c r="O36" i="17" s="1"/>
  <c r="O37" i="17" s="1"/>
  <c r="O38" i="17" s="1"/>
  <c r="O39" i="17" s="1"/>
  <c r="O40" i="17" s="1"/>
  <c r="O41" i="17" s="1"/>
  <c r="O42" i="17" s="1"/>
  <c r="O43" i="17" s="1"/>
  <c r="R3" i="17"/>
  <c r="B32" i="17"/>
  <c r="C32" i="17" s="1"/>
  <c r="AA33" i="17"/>
  <c r="AA34" i="17" s="1"/>
  <c r="AA35" i="17" s="1"/>
  <c r="AA36" i="17" s="1"/>
  <c r="AA37" i="17" s="1"/>
  <c r="AA38" i="17" s="1"/>
  <c r="AA39" i="17" s="1"/>
  <c r="AA40" i="17" s="1"/>
  <c r="AA41" i="17" s="1"/>
  <c r="AA42" i="17" s="1"/>
  <c r="AA43" i="17" s="1"/>
  <c r="F44" i="17"/>
  <c r="H44" i="17"/>
  <c r="J44" i="17"/>
  <c r="R5" i="17"/>
  <c r="B31" i="17" s="1"/>
  <c r="K43" i="17"/>
  <c r="D27" i="17"/>
  <c r="O34" i="48" l="1"/>
  <c r="O35" i="48" s="1"/>
  <c r="O36" i="48" s="1"/>
  <c r="O37" i="48" s="1"/>
  <c r="O38" i="48" s="1"/>
  <c r="O39" i="48" s="1"/>
  <c r="O40" i="48" s="1"/>
  <c r="O41" i="48" s="1"/>
  <c r="O42" i="48" s="1"/>
  <c r="O43" i="48" s="1"/>
  <c r="P34" i="48"/>
  <c r="P35" i="48" s="1"/>
  <c r="P36" i="48" s="1"/>
  <c r="P37" i="48" s="1"/>
  <c r="P38" i="48" s="1"/>
  <c r="P39" i="48" s="1"/>
  <c r="P40" i="48" s="1"/>
  <c r="P41" i="48" s="1"/>
  <c r="P42" i="48" s="1"/>
  <c r="P43" i="48" s="1"/>
  <c r="P33" i="48"/>
  <c r="V34" i="48"/>
  <c r="V35" i="48" s="1"/>
  <c r="V36" i="48" s="1"/>
  <c r="V37" i="48" s="1"/>
  <c r="V38" i="48" s="1"/>
  <c r="V39" i="48" s="1"/>
  <c r="V40" i="48" s="1"/>
  <c r="V41" i="48" s="1"/>
  <c r="V42" i="48" s="1"/>
  <c r="V43" i="48" s="1"/>
  <c r="V33" i="48"/>
  <c r="U34" i="48"/>
  <c r="U35" i="48" s="1"/>
  <c r="U36" i="48" s="1"/>
  <c r="U37" i="48" s="1"/>
  <c r="U38" i="48" s="1"/>
  <c r="U39" i="48" s="1"/>
  <c r="U40" i="48" s="1"/>
  <c r="U41" i="48" s="1"/>
  <c r="U42" i="48" s="1"/>
  <c r="U43" i="48" s="1"/>
  <c r="AA33" i="48"/>
  <c r="S34" i="48"/>
  <c r="S33" i="48"/>
  <c r="R34" i="48"/>
  <c r="B30" i="48"/>
  <c r="C31" i="48"/>
  <c r="D31" i="48" s="1"/>
  <c r="B29" i="48"/>
  <c r="X33" i="48"/>
  <c r="Y34" i="48" s="1"/>
  <c r="Y35" i="48" s="1"/>
  <c r="Y36" i="48" s="1"/>
  <c r="Y37" i="48" s="1"/>
  <c r="Y38" i="48" s="1"/>
  <c r="Y39" i="48" s="1"/>
  <c r="Y40" i="48" s="1"/>
  <c r="Y41" i="48" s="1"/>
  <c r="Y42" i="48" s="1"/>
  <c r="Y43" i="48" s="1"/>
  <c r="T4" i="48"/>
  <c r="E56" i="48" s="1"/>
  <c r="C44" i="48"/>
  <c r="D28" i="48"/>
  <c r="F45" i="48"/>
  <c r="B45" i="48"/>
  <c r="D45" i="48"/>
  <c r="H45" i="48"/>
  <c r="E27" i="48"/>
  <c r="J45" i="48"/>
  <c r="K43" i="48"/>
  <c r="C32" i="48"/>
  <c r="X33" i="41"/>
  <c r="X34" i="41" s="1"/>
  <c r="X35" i="41" s="1"/>
  <c r="X36" i="41" s="1"/>
  <c r="X37" i="41" s="1"/>
  <c r="X38" i="41" s="1"/>
  <c r="X39" i="41" s="1"/>
  <c r="X40" i="41" s="1"/>
  <c r="X41" i="41" s="1"/>
  <c r="X42" i="41" s="1"/>
  <c r="X43" i="41" s="1"/>
  <c r="R33" i="41"/>
  <c r="R34" i="41" s="1"/>
  <c r="R35" i="41" s="1"/>
  <c r="R36" i="41" s="1"/>
  <c r="R37" i="41" s="1"/>
  <c r="R38" i="41" s="1"/>
  <c r="R39" i="41" s="1"/>
  <c r="R40" i="41" s="1"/>
  <c r="R41" i="41" s="1"/>
  <c r="R42" i="41" s="1"/>
  <c r="R43" i="41" s="1"/>
  <c r="C28" i="41"/>
  <c r="C43" i="41"/>
  <c r="C29" i="41"/>
  <c r="E43" i="41"/>
  <c r="F45" i="41"/>
  <c r="D45" i="41"/>
  <c r="B45" i="41"/>
  <c r="H45" i="41"/>
  <c r="E27" i="41"/>
  <c r="J45" i="41"/>
  <c r="C31" i="41"/>
  <c r="I43" i="41"/>
  <c r="B30" i="41"/>
  <c r="T4" i="41"/>
  <c r="K43" i="41"/>
  <c r="C32" i="41"/>
  <c r="R33" i="40"/>
  <c r="R34" i="40" s="1"/>
  <c r="R35" i="40" s="1"/>
  <c r="R36" i="40" s="1"/>
  <c r="R37" i="40" s="1"/>
  <c r="R38" i="40" s="1"/>
  <c r="R39" i="40" s="1"/>
  <c r="R40" i="40" s="1"/>
  <c r="R41" i="40" s="1"/>
  <c r="R42" i="40" s="1"/>
  <c r="R43" i="40" s="1"/>
  <c r="T4" i="40"/>
  <c r="B31" i="40"/>
  <c r="X33" i="40"/>
  <c r="X34" i="40" s="1"/>
  <c r="X35" i="40" s="1"/>
  <c r="X36" i="40" s="1"/>
  <c r="X37" i="40" s="1"/>
  <c r="X38" i="40" s="1"/>
  <c r="X39" i="40" s="1"/>
  <c r="X40" i="40" s="1"/>
  <c r="X41" i="40" s="1"/>
  <c r="X42" i="40" s="1"/>
  <c r="X43" i="40" s="1"/>
  <c r="F45" i="40"/>
  <c r="E27" i="40"/>
  <c r="D45" i="40"/>
  <c r="B45" i="40"/>
  <c r="H45" i="40"/>
  <c r="J45" i="40"/>
  <c r="D30" i="40"/>
  <c r="G44" i="40"/>
  <c r="C44" i="40"/>
  <c r="D28" i="40"/>
  <c r="K43" i="40"/>
  <c r="C32" i="40"/>
  <c r="E43" i="40"/>
  <c r="C29" i="40"/>
  <c r="C31" i="38"/>
  <c r="D31" i="38" s="1"/>
  <c r="R33" i="38"/>
  <c r="R34" i="38" s="1"/>
  <c r="R35" i="38" s="1"/>
  <c r="R36" i="38" s="1"/>
  <c r="R37" i="38" s="1"/>
  <c r="R38" i="38" s="1"/>
  <c r="R39" i="38" s="1"/>
  <c r="R40" i="38" s="1"/>
  <c r="R41" i="38" s="1"/>
  <c r="R42" i="38" s="1"/>
  <c r="R43" i="38" s="1"/>
  <c r="T4" i="39"/>
  <c r="B29" i="39"/>
  <c r="E43" i="39" s="1"/>
  <c r="X33" i="38"/>
  <c r="X34" i="38" s="1"/>
  <c r="X35" i="38" s="1"/>
  <c r="X36" i="38" s="1"/>
  <c r="X37" i="38" s="1"/>
  <c r="X38" i="38" s="1"/>
  <c r="X39" i="38" s="1"/>
  <c r="X40" i="38" s="1"/>
  <c r="X41" i="38" s="1"/>
  <c r="X42" i="38" s="1"/>
  <c r="X43" i="38" s="1"/>
  <c r="B31" i="39"/>
  <c r="I43" i="39" s="1"/>
  <c r="R33" i="39"/>
  <c r="R34" i="39" s="1"/>
  <c r="R35" i="39" s="1"/>
  <c r="R36" i="39" s="1"/>
  <c r="R37" i="39" s="1"/>
  <c r="R38" i="39" s="1"/>
  <c r="R39" i="39" s="1"/>
  <c r="R40" i="39" s="1"/>
  <c r="R41" i="39" s="1"/>
  <c r="R42" i="39" s="1"/>
  <c r="R43" i="39" s="1"/>
  <c r="K43" i="39"/>
  <c r="C32" i="39"/>
  <c r="C44" i="39"/>
  <c r="D28" i="39"/>
  <c r="F45" i="39"/>
  <c r="D45" i="39"/>
  <c r="E27" i="39"/>
  <c r="J45" i="39"/>
  <c r="B45" i="39"/>
  <c r="H45" i="39"/>
  <c r="B30" i="39"/>
  <c r="B30" i="38"/>
  <c r="T4" i="38"/>
  <c r="C44" i="38"/>
  <c r="D28" i="38"/>
  <c r="E43" i="38"/>
  <c r="C29" i="38"/>
  <c r="A37" i="38"/>
  <c r="D32" i="38"/>
  <c r="K44" i="38"/>
  <c r="F45" i="38"/>
  <c r="D45" i="38"/>
  <c r="B45" i="38"/>
  <c r="E27" i="38"/>
  <c r="J45" i="38"/>
  <c r="H45" i="38"/>
  <c r="R33" i="37"/>
  <c r="R34" i="37" s="1"/>
  <c r="R35" i="37" s="1"/>
  <c r="R36" i="37" s="1"/>
  <c r="R37" i="37" s="1"/>
  <c r="R38" i="37" s="1"/>
  <c r="R39" i="37" s="1"/>
  <c r="R40" i="37" s="1"/>
  <c r="R41" i="37" s="1"/>
  <c r="R42" i="37" s="1"/>
  <c r="R43" i="37" s="1"/>
  <c r="C31" i="37"/>
  <c r="I44" i="37" s="1"/>
  <c r="A37" i="37"/>
  <c r="X33" i="37"/>
  <c r="X34" i="37" s="1"/>
  <c r="X35" i="37" s="1"/>
  <c r="X36" i="37" s="1"/>
  <c r="X37" i="37" s="1"/>
  <c r="X38" i="37" s="1"/>
  <c r="X39" i="37" s="1"/>
  <c r="X40" i="37" s="1"/>
  <c r="X41" i="37" s="1"/>
  <c r="X42" i="37" s="1"/>
  <c r="X43" i="37" s="1"/>
  <c r="AA33" i="37"/>
  <c r="AA34" i="37" s="1"/>
  <c r="AA35" i="37" s="1"/>
  <c r="AA36" i="37" s="1"/>
  <c r="AA37" i="37" s="1"/>
  <c r="AA38" i="37" s="1"/>
  <c r="AA39" i="37" s="1"/>
  <c r="AA40" i="37" s="1"/>
  <c r="AA41" i="37" s="1"/>
  <c r="AA42" i="37" s="1"/>
  <c r="AA43" i="37" s="1"/>
  <c r="B32" i="37"/>
  <c r="T4" i="37"/>
  <c r="D30" i="37"/>
  <c r="G44" i="37"/>
  <c r="E43" i="37"/>
  <c r="C29" i="37"/>
  <c r="C44" i="37"/>
  <c r="D28" i="37"/>
  <c r="E27" i="37"/>
  <c r="F45" i="37"/>
  <c r="B45" i="37"/>
  <c r="D45" i="37"/>
  <c r="J45" i="37"/>
  <c r="H45" i="37"/>
  <c r="C30" i="36"/>
  <c r="D30" i="36" s="1"/>
  <c r="B29" i="36"/>
  <c r="A37" i="36" s="1"/>
  <c r="T4" i="36"/>
  <c r="X33" i="36"/>
  <c r="X34" i="36" s="1"/>
  <c r="X35" i="36" s="1"/>
  <c r="X36" i="36" s="1"/>
  <c r="X37" i="36" s="1"/>
  <c r="X38" i="36" s="1"/>
  <c r="X39" i="36" s="1"/>
  <c r="X40" i="36" s="1"/>
  <c r="X41" i="36" s="1"/>
  <c r="X42" i="36" s="1"/>
  <c r="X43" i="36" s="1"/>
  <c r="C43" i="36"/>
  <c r="C28" i="36"/>
  <c r="H46" i="36"/>
  <c r="F46" i="36"/>
  <c r="B46" i="36"/>
  <c r="D46" i="36"/>
  <c r="F27" i="36"/>
  <c r="J46" i="36"/>
  <c r="C31" i="36"/>
  <c r="I43" i="36"/>
  <c r="K43" i="36"/>
  <c r="C32" i="36"/>
  <c r="R33" i="35"/>
  <c r="R34" i="35" s="1"/>
  <c r="R35" i="35" s="1"/>
  <c r="R36" i="35" s="1"/>
  <c r="R37" i="35" s="1"/>
  <c r="R38" i="35" s="1"/>
  <c r="R39" i="35" s="1"/>
  <c r="R40" i="35" s="1"/>
  <c r="R41" i="35" s="1"/>
  <c r="R42" i="35" s="1"/>
  <c r="R43" i="35" s="1"/>
  <c r="T4" i="35"/>
  <c r="I43" i="35"/>
  <c r="B32" i="35"/>
  <c r="AA33" i="35"/>
  <c r="AA34" i="35" s="1"/>
  <c r="AA35" i="35" s="1"/>
  <c r="AA36" i="35" s="1"/>
  <c r="AA37" i="35" s="1"/>
  <c r="AA38" i="35" s="1"/>
  <c r="AA39" i="35" s="1"/>
  <c r="AA40" i="35" s="1"/>
  <c r="AA41" i="35" s="1"/>
  <c r="AA42" i="35" s="1"/>
  <c r="AA43" i="35" s="1"/>
  <c r="X33" i="35"/>
  <c r="X34" i="35" s="1"/>
  <c r="X35" i="35" s="1"/>
  <c r="X36" i="35" s="1"/>
  <c r="X37" i="35" s="1"/>
  <c r="X38" i="35" s="1"/>
  <c r="X39" i="35" s="1"/>
  <c r="X40" i="35" s="1"/>
  <c r="X41" i="35" s="1"/>
  <c r="X42" i="35" s="1"/>
  <c r="X43" i="35" s="1"/>
  <c r="C28" i="35"/>
  <c r="C43" i="35"/>
  <c r="B30" i="35"/>
  <c r="B45" i="35"/>
  <c r="F45" i="35"/>
  <c r="D45" i="35"/>
  <c r="J45" i="35"/>
  <c r="H45" i="35"/>
  <c r="E27" i="35"/>
  <c r="D31" i="35"/>
  <c r="I44" i="35"/>
  <c r="C29" i="35"/>
  <c r="E43" i="35"/>
  <c r="R33" i="34"/>
  <c r="R34" i="34" s="1"/>
  <c r="R35" i="34" s="1"/>
  <c r="R36" i="34" s="1"/>
  <c r="R37" i="34" s="1"/>
  <c r="R38" i="34" s="1"/>
  <c r="R39" i="34" s="1"/>
  <c r="R40" i="34" s="1"/>
  <c r="R41" i="34" s="1"/>
  <c r="R42" i="34" s="1"/>
  <c r="R43" i="34" s="1"/>
  <c r="B31" i="34"/>
  <c r="C31" i="34" s="1"/>
  <c r="T4" i="34"/>
  <c r="K43" i="34"/>
  <c r="C32" i="34"/>
  <c r="C43" i="34"/>
  <c r="C28" i="34"/>
  <c r="H46" i="34"/>
  <c r="F27" i="34"/>
  <c r="F46" i="34"/>
  <c r="B46" i="34"/>
  <c r="D46" i="34"/>
  <c r="J46" i="34"/>
  <c r="E43" i="34"/>
  <c r="C29" i="34"/>
  <c r="D30" i="34"/>
  <c r="G44" i="34"/>
  <c r="R33" i="33"/>
  <c r="R34" i="33" s="1"/>
  <c r="R35" i="33" s="1"/>
  <c r="R36" i="33" s="1"/>
  <c r="R37" i="33" s="1"/>
  <c r="R38" i="33" s="1"/>
  <c r="R39" i="33" s="1"/>
  <c r="R40" i="33" s="1"/>
  <c r="R41" i="33" s="1"/>
  <c r="R42" i="33" s="1"/>
  <c r="R43" i="33" s="1"/>
  <c r="T4" i="33"/>
  <c r="X33" i="33"/>
  <c r="X34" i="33" s="1"/>
  <c r="X35" i="33" s="1"/>
  <c r="X36" i="33" s="1"/>
  <c r="X37" i="33" s="1"/>
  <c r="X38" i="33" s="1"/>
  <c r="X39" i="33" s="1"/>
  <c r="X40" i="33" s="1"/>
  <c r="X41" i="33" s="1"/>
  <c r="X42" i="33" s="1"/>
  <c r="X43" i="33" s="1"/>
  <c r="B31" i="33"/>
  <c r="C31" i="33" s="1"/>
  <c r="D31" i="33" s="1"/>
  <c r="E31" i="33" s="1"/>
  <c r="F31" i="33" s="1"/>
  <c r="R33" i="32"/>
  <c r="R34" i="32" s="1"/>
  <c r="R35" i="32" s="1"/>
  <c r="R36" i="32" s="1"/>
  <c r="R37" i="32" s="1"/>
  <c r="R38" i="32" s="1"/>
  <c r="R39" i="32" s="1"/>
  <c r="R40" i="32" s="1"/>
  <c r="R41" i="32" s="1"/>
  <c r="R42" i="32" s="1"/>
  <c r="R43" i="32" s="1"/>
  <c r="T4" i="32"/>
  <c r="B31" i="32"/>
  <c r="A37" i="32" s="1"/>
  <c r="X33" i="32"/>
  <c r="X34" i="32" s="1"/>
  <c r="X35" i="32" s="1"/>
  <c r="X36" i="32" s="1"/>
  <c r="X37" i="32" s="1"/>
  <c r="X38" i="32" s="1"/>
  <c r="X39" i="32" s="1"/>
  <c r="X40" i="32" s="1"/>
  <c r="X41" i="32" s="1"/>
  <c r="X42" i="32" s="1"/>
  <c r="X43" i="32" s="1"/>
  <c r="E43" i="32"/>
  <c r="C29" i="32"/>
  <c r="C44" i="32"/>
  <c r="D28" i="32"/>
  <c r="J45" i="32"/>
  <c r="F45" i="32"/>
  <c r="B45" i="32"/>
  <c r="E27" i="32"/>
  <c r="D45" i="32"/>
  <c r="H45" i="32"/>
  <c r="D30" i="32"/>
  <c r="G44" i="32"/>
  <c r="C32" i="32"/>
  <c r="K43" i="32"/>
  <c r="T4" i="31"/>
  <c r="B31" i="31"/>
  <c r="C31" i="31" s="1"/>
  <c r="D31" i="31" s="1"/>
  <c r="E31" i="31" s="1"/>
  <c r="F31" i="31" s="1"/>
  <c r="B29" i="31"/>
  <c r="C29" i="31" s="1"/>
  <c r="D29" i="31" s="1"/>
  <c r="E29" i="31" s="1"/>
  <c r="F29" i="31" s="1"/>
  <c r="R33" i="31"/>
  <c r="R34" i="31" s="1"/>
  <c r="R35" i="31" s="1"/>
  <c r="R36" i="31" s="1"/>
  <c r="R37" i="31" s="1"/>
  <c r="R38" i="31" s="1"/>
  <c r="R39" i="31" s="1"/>
  <c r="R40" i="31" s="1"/>
  <c r="R41" i="31" s="1"/>
  <c r="R42" i="31" s="1"/>
  <c r="R43" i="31" s="1"/>
  <c r="B29" i="30"/>
  <c r="E43" i="30" s="1"/>
  <c r="B32" i="30"/>
  <c r="C32" i="30" s="1"/>
  <c r="T4" i="30"/>
  <c r="I43" i="30"/>
  <c r="X33" i="30"/>
  <c r="X34" i="30" s="1"/>
  <c r="X35" i="30" s="1"/>
  <c r="X36" i="30" s="1"/>
  <c r="X37" i="30" s="1"/>
  <c r="X38" i="30" s="1"/>
  <c r="X39" i="30" s="1"/>
  <c r="X40" i="30" s="1"/>
  <c r="X41" i="30" s="1"/>
  <c r="X42" i="30" s="1"/>
  <c r="X43" i="30" s="1"/>
  <c r="D31" i="30"/>
  <c r="I44" i="30"/>
  <c r="X33" i="28"/>
  <c r="X34" i="28" s="1"/>
  <c r="X35" i="28" s="1"/>
  <c r="X36" i="28" s="1"/>
  <c r="X37" i="28" s="1"/>
  <c r="X38" i="28" s="1"/>
  <c r="X39" i="28" s="1"/>
  <c r="X40" i="28" s="1"/>
  <c r="X41" i="28" s="1"/>
  <c r="X42" i="28" s="1"/>
  <c r="X43" i="28" s="1"/>
  <c r="B30" i="30"/>
  <c r="F45" i="30"/>
  <c r="B45" i="30"/>
  <c r="E27" i="30"/>
  <c r="D45" i="30"/>
  <c r="J45" i="30"/>
  <c r="H45" i="30"/>
  <c r="C44" i="30"/>
  <c r="D28" i="30"/>
  <c r="B29" i="29"/>
  <c r="E43" i="29" s="1"/>
  <c r="I43" i="29"/>
  <c r="T4" i="29"/>
  <c r="AA33" i="29"/>
  <c r="AA34" i="29" s="1"/>
  <c r="AA35" i="29" s="1"/>
  <c r="AA36" i="29" s="1"/>
  <c r="AA37" i="29" s="1"/>
  <c r="AA38" i="29" s="1"/>
  <c r="AA39" i="29" s="1"/>
  <c r="AA40" i="29" s="1"/>
  <c r="AA41" i="29" s="1"/>
  <c r="AA42" i="29" s="1"/>
  <c r="AA43" i="29" s="1"/>
  <c r="B32" i="29"/>
  <c r="X33" i="29"/>
  <c r="X34" i="29" s="1"/>
  <c r="X35" i="29" s="1"/>
  <c r="X36" i="29" s="1"/>
  <c r="X37" i="29" s="1"/>
  <c r="X38" i="29" s="1"/>
  <c r="X39" i="29" s="1"/>
  <c r="X40" i="29" s="1"/>
  <c r="X41" i="29" s="1"/>
  <c r="X42" i="29" s="1"/>
  <c r="X43" i="29" s="1"/>
  <c r="B29" i="28"/>
  <c r="C29" i="28" s="1"/>
  <c r="B30" i="29"/>
  <c r="F45" i="29"/>
  <c r="D45" i="29"/>
  <c r="B45" i="29"/>
  <c r="E27" i="29"/>
  <c r="H45" i="29"/>
  <c r="J45" i="29"/>
  <c r="B29" i="27"/>
  <c r="C29" i="27" s="1"/>
  <c r="D29" i="27" s="1"/>
  <c r="E29" i="27" s="1"/>
  <c r="F29" i="27" s="1"/>
  <c r="C28" i="29"/>
  <c r="C43" i="29"/>
  <c r="D31" i="29"/>
  <c r="I44" i="29"/>
  <c r="I43" i="28"/>
  <c r="T4" i="28"/>
  <c r="AA33" i="28"/>
  <c r="AA34" i="28" s="1"/>
  <c r="AA35" i="28" s="1"/>
  <c r="AA36" i="28" s="1"/>
  <c r="AA37" i="28" s="1"/>
  <c r="AA38" i="28" s="1"/>
  <c r="AA39" i="28" s="1"/>
  <c r="AA40" i="28" s="1"/>
  <c r="AA41" i="28" s="1"/>
  <c r="AA42" i="28" s="1"/>
  <c r="AA43" i="28" s="1"/>
  <c r="B32" i="28"/>
  <c r="D31" i="28"/>
  <c r="I44" i="28"/>
  <c r="J45" i="28"/>
  <c r="F45" i="28"/>
  <c r="D45" i="28"/>
  <c r="B45" i="28"/>
  <c r="E27" i="28"/>
  <c r="H45" i="28"/>
  <c r="C28" i="28"/>
  <c r="C43" i="28"/>
  <c r="D30" i="28"/>
  <c r="G44" i="28"/>
  <c r="B31" i="27"/>
  <c r="C31" i="27" s="1"/>
  <c r="D31" i="27" s="1"/>
  <c r="E31" i="27" s="1"/>
  <c r="F31" i="27" s="1"/>
  <c r="X33" i="27"/>
  <c r="X34" i="27" s="1"/>
  <c r="X35" i="27" s="1"/>
  <c r="X36" i="27" s="1"/>
  <c r="X37" i="27" s="1"/>
  <c r="X38" i="27" s="1"/>
  <c r="X39" i="27" s="1"/>
  <c r="X40" i="27" s="1"/>
  <c r="X41" i="27" s="1"/>
  <c r="X42" i="27" s="1"/>
  <c r="X43" i="27" s="1"/>
  <c r="B30" i="27"/>
  <c r="C30" i="27" s="1"/>
  <c r="D30" i="27" s="1"/>
  <c r="E30" i="27" s="1"/>
  <c r="F30" i="27" s="1"/>
  <c r="T4" i="27"/>
  <c r="AA33" i="25"/>
  <c r="AA34" i="25" s="1"/>
  <c r="AA35" i="25" s="1"/>
  <c r="AA36" i="25" s="1"/>
  <c r="AA37" i="25" s="1"/>
  <c r="AA38" i="25" s="1"/>
  <c r="AA39" i="25" s="1"/>
  <c r="AA40" i="25" s="1"/>
  <c r="AA41" i="25" s="1"/>
  <c r="AA42" i="25" s="1"/>
  <c r="AA43" i="25" s="1"/>
  <c r="B30" i="25"/>
  <c r="G43" i="25" s="1"/>
  <c r="B31" i="26"/>
  <c r="C30" i="26"/>
  <c r="E27" i="26"/>
  <c r="C32" i="26"/>
  <c r="C28" i="26"/>
  <c r="B31" i="25"/>
  <c r="C31" i="25" s="1"/>
  <c r="T4" i="25"/>
  <c r="R33" i="25"/>
  <c r="R34" i="25" s="1"/>
  <c r="R35" i="25" s="1"/>
  <c r="R36" i="25" s="1"/>
  <c r="R37" i="25" s="1"/>
  <c r="R38" i="25" s="1"/>
  <c r="R39" i="25" s="1"/>
  <c r="R40" i="25" s="1"/>
  <c r="R41" i="25" s="1"/>
  <c r="R42" i="25" s="1"/>
  <c r="R43" i="25" s="1"/>
  <c r="C28" i="25"/>
  <c r="C43" i="25"/>
  <c r="K43" i="25"/>
  <c r="C32" i="25"/>
  <c r="E43" i="25"/>
  <c r="C29" i="25"/>
  <c r="H45" i="25"/>
  <c r="F45" i="25"/>
  <c r="J45" i="25"/>
  <c r="D45" i="25"/>
  <c r="E27" i="25"/>
  <c r="B45" i="25"/>
  <c r="X33" i="24"/>
  <c r="X34" i="24" s="1"/>
  <c r="X35" i="24" s="1"/>
  <c r="X36" i="24" s="1"/>
  <c r="X37" i="24" s="1"/>
  <c r="X38" i="24" s="1"/>
  <c r="X39" i="24" s="1"/>
  <c r="X40" i="24" s="1"/>
  <c r="X41" i="24" s="1"/>
  <c r="X42" i="24" s="1"/>
  <c r="X43" i="24" s="1"/>
  <c r="B31" i="24"/>
  <c r="C31" i="24" s="1"/>
  <c r="R33" i="24"/>
  <c r="R34" i="24" s="1"/>
  <c r="R35" i="24" s="1"/>
  <c r="R36" i="24" s="1"/>
  <c r="R37" i="24" s="1"/>
  <c r="R38" i="24" s="1"/>
  <c r="R39" i="24" s="1"/>
  <c r="R40" i="24" s="1"/>
  <c r="R41" i="24" s="1"/>
  <c r="R42" i="24" s="1"/>
  <c r="R43" i="24" s="1"/>
  <c r="C44" i="24"/>
  <c r="D28" i="24"/>
  <c r="F45" i="24"/>
  <c r="D45" i="24"/>
  <c r="E27" i="24"/>
  <c r="J45" i="24"/>
  <c r="B45" i="24"/>
  <c r="H45" i="24"/>
  <c r="G43" i="24"/>
  <c r="C30" i="24"/>
  <c r="E43" i="24"/>
  <c r="C29" i="24"/>
  <c r="R33" i="23"/>
  <c r="R34" i="23" s="1"/>
  <c r="R35" i="23" s="1"/>
  <c r="R36" i="23" s="1"/>
  <c r="R37" i="23" s="1"/>
  <c r="R38" i="23" s="1"/>
  <c r="R39" i="23" s="1"/>
  <c r="R40" i="23" s="1"/>
  <c r="R41" i="23" s="1"/>
  <c r="R42" i="23" s="1"/>
  <c r="R43" i="23" s="1"/>
  <c r="B29" i="23"/>
  <c r="C29" i="23" s="1"/>
  <c r="X33" i="23"/>
  <c r="X34" i="23" s="1"/>
  <c r="X35" i="23" s="1"/>
  <c r="X36" i="23" s="1"/>
  <c r="X37" i="23" s="1"/>
  <c r="X38" i="23" s="1"/>
  <c r="X39" i="23" s="1"/>
  <c r="X40" i="23" s="1"/>
  <c r="X41" i="23" s="1"/>
  <c r="X42" i="23" s="1"/>
  <c r="X43" i="23" s="1"/>
  <c r="B31" i="23"/>
  <c r="C31" i="23" s="1"/>
  <c r="T4" i="23"/>
  <c r="D32" i="23"/>
  <c r="K44" i="23"/>
  <c r="F45" i="23"/>
  <c r="D45" i="23"/>
  <c r="E27" i="23"/>
  <c r="J45" i="23"/>
  <c r="B45" i="23"/>
  <c r="H45" i="23"/>
  <c r="C44" i="23"/>
  <c r="D28" i="23"/>
  <c r="G43" i="23"/>
  <c r="C30" i="23"/>
  <c r="C30" i="22"/>
  <c r="D30" i="22" s="1"/>
  <c r="AA33" i="22"/>
  <c r="AA34" i="22" s="1"/>
  <c r="AA35" i="22" s="1"/>
  <c r="AA36" i="22" s="1"/>
  <c r="AA37" i="22" s="1"/>
  <c r="AA38" i="22" s="1"/>
  <c r="AA39" i="22" s="1"/>
  <c r="AA40" i="22" s="1"/>
  <c r="AA41" i="22" s="1"/>
  <c r="AA42" i="22" s="1"/>
  <c r="AA43" i="22" s="1"/>
  <c r="T4" i="22"/>
  <c r="R33" i="22"/>
  <c r="R34" i="22" s="1"/>
  <c r="R35" i="22" s="1"/>
  <c r="R36" i="22" s="1"/>
  <c r="R37" i="22" s="1"/>
  <c r="R38" i="22" s="1"/>
  <c r="R39" i="22" s="1"/>
  <c r="R40" i="22" s="1"/>
  <c r="R41" i="22" s="1"/>
  <c r="R42" i="22" s="1"/>
  <c r="R43" i="22" s="1"/>
  <c r="B29" i="22"/>
  <c r="E43" i="22" s="1"/>
  <c r="B31" i="22"/>
  <c r="K43" i="22"/>
  <c r="C32" i="22"/>
  <c r="E27" i="22"/>
  <c r="H45" i="22"/>
  <c r="F45" i="22"/>
  <c r="D45" i="22"/>
  <c r="B45" i="22"/>
  <c r="J45" i="22"/>
  <c r="C28" i="22"/>
  <c r="C43" i="22"/>
  <c r="W36" i="21"/>
  <c r="W37" i="21" s="1"/>
  <c r="W38" i="21" s="1"/>
  <c r="W39" i="21" s="1"/>
  <c r="W40" i="21" s="1"/>
  <c r="W41" i="21" s="1"/>
  <c r="W42" i="21" s="1"/>
  <c r="W43" i="21" s="1"/>
  <c r="W44" i="21" s="1"/>
  <c r="W45" i="21" s="1"/>
  <c r="W46" i="21" s="1"/>
  <c r="M6" i="21"/>
  <c r="Q36" i="21"/>
  <c r="Q37" i="21" s="1"/>
  <c r="Q38" i="21" s="1"/>
  <c r="Q39" i="21" s="1"/>
  <c r="Q40" i="21" s="1"/>
  <c r="Q41" i="21" s="1"/>
  <c r="Q42" i="21" s="1"/>
  <c r="Q43" i="21" s="1"/>
  <c r="Q44" i="21" s="1"/>
  <c r="Q45" i="21" s="1"/>
  <c r="Q46" i="21" s="1"/>
  <c r="B30" i="21"/>
  <c r="T36" i="21"/>
  <c r="T37" i="21" s="1"/>
  <c r="T38" i="21" s="1"/>
  <c r="T39" i="21" s="1"/>
  <c r="T40" i="21" s="1"/>
  <c r="T41" i="21" s="1"/>
  <c r="T42" i="21" s="1"/>
  <c r="T43" i="21" s="1"/>
  <c r="T44" i="21" s="1"/>
  <c r="T45" i="21" s="1"/>
  <c r="T46" i="21" s="1"/>
  <c r="S36" i="21"/>
  <c r="S37" i="21" s="1"/>
  <c r="S38" i="21" s="1"/>
  <c r="S39" i="21" s="1"/>
  <c r="S40" i="21" s="1"/>
  <c r="S41" i="21" s="1"/>
  <c r="S42" i="21" s="1"/>
  <c r="S43" i="21" s="1"/>
  <c r="S44" i="21" s="1"/>
  <c r="S45" i="21" s="1"/>
  <c r="S46" i="21" s="1"/>
  <c r="Y36" i="21"/>
  <c r="Y37" i="21" s="1"/>
  <c r="Y38" i="21" s="1"/>
  <c r="Y39" i="21" s="1"/>
  <c r="Y40" i="21" s="1"/>
  <c r="Y41" i="21" s="1"/>
  <c r="Y42" i="21" s="1"/>
  <c r="Y43" i="21" s="1"/>
  <c r="Y44" i="21" s="1"/>
  <c r="Y45" i="21" s="1"/>
  <c r="Y46" i="21" s="1"/>
  <c r="V36" i="21"/>
  <c r="V37" i="21" s="1"/>
  <c r="V38" i="21" s="1"/>
  <c r="V39" i="21" s="1"/>
  <c r="V40" i="21" s="1"/>
  <c r="V41" i="21" s="1"/>
  <c r="V42" i="21" s="1"/>
  <c r="V43" i="21" s="1"/>
  <c r="V44" i="21" s="1"/>
  <c r="V45" i="21" s="1"/>
  <c r="V46" i="21" s="1"/>
  <c r="P36" i="21"/>
  <c r="P37" i="21" s="1"/>
  <c r="P38" i="21" s="1"/>
  <c r="P39" i="21" s="1"/>
  <c r="P40" i="21" s="1"/>
  <c r="P41" i="21" s="1"/>
  <c r="P42" i="21" s="1"/>
  <c r="P43" i="21" s="1"/>
  <c r="P44" i="21" s="1"/>
  <c r="P45" i="21" s="1"/>
  <c r="P46" i="21" s="1"/>
  <c r="M37" i="21"/>
  <c r="M38" i="21" s="1"/>
  <c r="M39" i="21" s="1"/>
  <c r="M40" i="21" s="1"/>
  <c r="M41" i="21" s="1"/>
  <c r="M42" i="21" s="1"/>
  <c r="M43" i="21" s="1"/>
  <c r="M44" i="21" s="1"/>
  <c r="M45" i="21" s="1"/>
  <c r="M46" i="21" s="1"/>
  <c r="Z36" i="21"/>
  <c r="Z37" i="21" s="1"/>
  <c r="Z38" i="21" s="1"/>
  <c r="Z39" i="21" s="1"/>
  <c r="Z40" i="21" s="1"/>
  <c r="Z41" i="21" s="1"/>
  <c r="Z42" i="21" s="1"/>
  <c r="Z43" i="21" s="1"/>
  <c r="Z44" i="21" s="1"/>
  <c r="Z45" i="21" s="1"/>
  <c r="Z46" i="21" s="1"/>
  <c r="B32" i="21"/>
  <c r="N36" i="21"/>
  <c r="N37" i="21" s="1"/>
  <c r="N38" i="21" s="1"/>
  <c r="N39" i="21" s="1"/>
  <c r="N40" i="21" s="1"/>
  <c r="N41" i="21" s="1"/>
  <c r="N42" i="21" s="1"/>
  <c r="N43" i="21" s="1"/>
  <c r="N44" i="21" s="1"/>
  <c r="N45" i="21" s="1"/>
  <c r="N46" i="21" s="1"/>
  <c r="B28" i="21"/>
  <c r="J44" i="21"/>
  <c r="H44" i="21"/>
  <c r="B44" i="21"/>
  <c r="D44" i="21" s="1"/>
  <c r="F44" i="21"/>
  <c r="D27" i="21"/>
  <c r="C31" i="21"/>
  <c r="I43" i="21"/>
  <c r="E43" i="21"/>
  <c r="C29" i="21"/>
  <c r="T4" i="20"/>
  <c r="B29" i="20"/>
  <c r="E43" i="20" s="1"/>
  <c r="C28" i="20"/>
  <c r="C43" i="20"/>
  <c r="D45" i="20"/>
  <c r="B45" i="20"/>
  <c r="E27" i="20"/>
  <c r="F45" i="20"/>
  <c r="J45" i="20"/>
  <c r="H45" i="20"/>
  <c r="X33" i="20"/>
  <c r="X34" i="20" s="1"/>
  <c r="X35" i="20" s="1"/>
  <c r="X36" i="20" s="1"/>
  <c r="X37" i="20" s="1"/>
  <c r="X38" i="20" s="1"/>
  <c r="X39" i="20" s="1"/>
  <c r="X40" i="20" s="1"/>
  <c r="X41" i="20" s="1"/>
  <c r="X42" i="20" s="1"/>
  <c r="X43" i="20" s="1"/>
  <c r="B31" i="20"/>
  <c r="C32" i="20"/>
  <c r="K43" i="20"/>
  <c r="G43" i="20"/>
  <c r="C30" i="20"/>
  <c r="R33" i="19"/>
  <c r="R34" i="19" s="1"/>
  <c r="R35" i="19" s="1"/>
  <c r="R36" i="19" s="1"/>
  <c r="R37" i="19" s="1"/>
  <c r="R38" i="19" s="1"/>
  <c r="R39" i="19" s="1"/>
  <c r="R40" i="19" s="1"/>
  <c r="R41" i="19" s="1"/>
  <c r="R42" i="19" s="1"/>
  <c r="R43" i="19" s="1"/>
  <c r="AA33" i="19"/>
  <c r="AA34" i="19" s="1"/>
  <c r="AA35" i="19" s="1"/>
  <c r="AA36" i="19" s="1"/>
  <c r="AA37" i="19" s="1"/>
  <c r="AA38" i="19" s="1"/>
  <c r="AA39" i="19" s="1"/>
  <c r="AA40" i="19" s="1"/>
  <c r="AA41" i="19" s="1"/>
  <c r="AA42" i="19" s="1"/>
  <c r="AA43" i="19" s="1"/>
  <c r="B32" i="19"/>
  <c r="E43" i="19"/>
  <c r="C29" i="19"/>
  <c r="D45" i="19"/>
  <c r="B45" i="19"/>
  <c r="E27" i="19"/>
  <c r="J45" i="19"/>
  <c r="H45" i="19"/>
  <c r="F45" i="19"/>
  <c r="B31" i="19"/>
  <c r="X33" i="19"/>
  <c r="X34" i="19" s="1"/>
  <c r="X35" i="19" s="1"/>
  <c r="X36" i="19" s="1"/>
  <c r="X37" i="19" s="1"/>
  <c r="X38" i="19" s="1"/>
  <c r="X39" i="19" s="1"/>
  <c r="X40" i="19" s="1"/>
  <c r="X41" i="19" s="1"/>
  <c r="X42" i="19" s="1"/>
  <c r="X43" i="19" s="1"/>
  <c r="B30" i="19"/>
  <c r="T4" i="19"/>
  <c r="C28" i="19"/>
  <c r="C43" i="19"/>
  <c r="B29" i="18"/>
  <c r="C29" i="18" s="1"/>
  <c r="T4" i="18"/>
  <c r="B31" i="18"/>
  <c r="C31" i="18" s="1"/>
  <c r="C45" i="18"/>
  <c r="E28" i="18"/>
  <c r="B45" i="18"/>
  <c r="E27" i="18"/>
  <c r="J45" i="18"/>
  <c r="D45" i="18"/>
  <c r="H45" i="18"/>
  <c r="F45" i="18"/>
  <c r="G43" i="18"/>
  <c r="C30" i="18"/>
  <c r="C32" i="18"/>
  <c r="K43" i="18"/>
  <c r="B29" i="17"/>
  <c r="C29" i="17" s="1"/>
  <c r="D29" i="17" s="1"/>
  <c r="R4" i="17"/>
  <c r="B30" i="17" s="1"/>
  <c r="D28" i="17"/>
  <c r="C45" i="17" s="1"/>
  <c r="R33" i="17"/>
  <c r="R34" i="17" s="1"/>
  <c r="R35" i="17" s="1"/>
  <c r="R36" i="17" s="1"/>
  <c r="R37" i="17" s="1"/>
  <c r="R38" i="17" s="1"/>
  <c r="R39" i="17" s="1"/>
  <c r="R40" i="17" s="1"/>
  <c r="R41" i="17" s="1"/>
  <c r="R42" i="17" s="1"/>
  <c r="R43" i="17" s="1"/>
  <c r="X33" i="17"/>
  <c r="X34" i="17" s="1"/>
  <c r="X35" i="17" s="1"/>
  <c r="X36" i="17" s="1"/>
  <c r="X37" i="17" s="1"/>
  <c r="X38" i="17" s="1"/>
  <c r="X39" i="17" s="1"/>
  <c r="X40" i="17" s="1"/>
  <c r="X41" i="17" s="1"/>
  <c r="X42" i="17" s="1"/>
  <c r="X43" i="17" s="1"/>
  <c r="F45" i="17"/>
  <c r="E27" i="17"/>
  <c r="D45" i="17"/>
  <c r="B45" i="17"/>
  <c r="J45" i="17"/>
  <c r="H45" i="17"/>
  <c r="D32" i="17"/>
  <c r="K44" i="17"/>
  <c r="I43" i="17"/>
  <c r="C31" i="17"/>
  <c r="B28" i="9"/>
  <c r="F43" i="12"/>
  <c r="B27" i="12"/>
  <c r="F19" i="12"/>
  <c r="G19" i="12" s="1"/>
  <c r="H19" i="12" s="1"/>
  <c r="I19" i="12" s="1"/>
  <c r="F18" i="12"/>
  <c r="G18" i="12" s="1"/>
  <c r="H18" i="12" s="1"/>
  <c r="I18" i="12" s="1"/>
  <c r="F17" i="12"/>
  <c r="G17" i="12" s="1"/>
  <c r="H17" i="12" s="1"/>
  <c r="I17" i="12" s="1"/>
  <c r="J16" i="12"/>
  <c r="F16" i="12"/>
  <c r="G16" i="12" s="1"/>
  <c r="H16" i="12" s="1"/>
  <c r="I16" i="12" s="1"/>
  <c r="J15" i="12"/>
  <c r="F15" i="12"/>
  <c r="G15" i="12" s="1"/>
  <c r="H15" i="12" s="1"/>
  <c r="I15" i="12" s="1"/>
  <c r="F14" i="12"/>
  <c r="G14" i="12" s="1"/>
  <c r="H14" i="12" s="1"/>
  <c r="I14" i="12" s="1"/>
  <c r="J13" i="12"/>
  <c r="F13" i="12"/>
  <c r="G13" i="12" s="1"/>
  <c r="H13" i="12" s="1"/>
  <c r="I13" i="12" s="1"/>
  <c r="J12" i="12"/>
  <c r="K12" i="12" s="1"/>
  <c r="F12" i="12"/>
  <c r="G12" i="12" s="1"/>
  <c r="H12" i="12" s="1"/>
  <c r="I12" i="12" s="1"/>
  <c r="J11" i="12"/>
  <c r="F11" i="12"/>
  <c r="G11" i="12" s="1"/>
  <c r="H11" i="12" s="1"/>
  <c r="I11" i="12" s="1"/>
  <c r="J10" i="12"/>
  <c r="F10" i="12"/>
  <c r="G10" i="12" s="1"/>
  <c r="H10" i="12" s="1"/>
  <c r="I10" i="12" s="1"/>
  <c r="J8" i="12"/>
  <c r="F8" i="12"/>
  <c r="G8" i="12" s="1"/>
  <c r="H8" i="12" s="1"/>
  <c r="I8" i="12" s="1"/>
  <c r="F7" i="12"/>
  <c r="G7" i="12" s="1"/>
  <c r="H7" i="12" s="1"/>
  <c r="I7" i="12" s="1"/>
  <c r="J6" i="12"/>
  <c r="F6" i="12"/>
  <c r="G6" i="12" s="1"/>
  <c r="H6" i="12" s="1"/>
  <c r="I6" i="12" s="1"/>
  <c r="J5" i="12"/>
  <c r="F5" i="12"/>
  <c r="G5" i="12" s="1"/>
  <c r="H5" i="12" s="1"/>
  <c r="I5" i="12" s="1"/>
  <c r="F4" i="12"/>
  <c r="G4" i="12" s="1"/>
  <c r="H4" i="12" s="1"/>
  <c r="I4" i="12" s="1"/>
  <c r="F3" i="12"/>
  <c r="G3" i="12" s="1"/>
  <c r="H3" i="12" s="1"/>
  <c r="I3" i="12" s="1"/>
  <c r="B28" i="12"/>
  <c r="F2" i="12"/>
  <c r="G2" i="12" s="1"/>
  <c r="H2" i="12" s="1"/>
  <c r="I2" i="12" s="1"/>
  <c r="B27" i="11"/>
  <c r="F19" i="11"/>
  <c r="G19" i="11" s="1"/>
  <c r="H19" i="11" s="1"/>
  <c r="I19" i="11" s="1"/>
  <c r="F18" i="11"/>
  <c r="G18" i="11" s="1"/>
  <c r="H18" i="11" s="1"/>
  <c r="I18" i="11" s="1"/>
  <c r="J17" i="11"/>
  <c r="F17" i="11"/>
  <c r="G17" i="11" s="1"/>
  <c r="H17" i="11" s="1"/>
  <c r="I17" i="11" s="1"/>
  <c r="J16" i="11"/>
  <c r="F16" i="11"/>
  <c r="G16" i="11" s="1"/>
  <c r="H16" i="11" s="1"/>
  <c r="I16" i="11" s="1"/>
  <c r="J15" i="11"/>
  <c r="F15" i="11"/>
  <c r="G15" i="11" s="1"/>
  <c r="H15" i="11" s="1"/>
  <c r="I15" i="11" s="1"/>
  <c r="G14" i="11"/>
  <c r="H14" i="11" s="1"/>
  <c r="I14" i="11" s="1"/>
  <c r="J13" i="11"/>
  <c r="F13" i="11"/>
  <c r="G13" i="11" s="1"/>
  <c r="H13" i="11" s="1"/>
  <c r="I13" i="11" s="1"/>
  <c r="J12" i="11"/>
  <c r="K12" i="11" s="1"/>
  <c r="F12" i="11"/>
  <c r="G12" i="11" s="1"/>
  <c r="H12" i="11" s="1"/>
  <c r="I12" i="11" s="1"/>
  <c r="J11" i="11"/>
  <c r="F11" i="11"/>
  <c r="G11" i="11" s="1"/>
  <c r="H11" i="11" s="1"/>
  <c r="I11" i="11" s="1"/>
  <c r="J10" i="11"/>
  <c r="F10" i="11"/>
  <c r="G10" i="11" s="1"/>
  <c r="H10" i="11" s="1"/>
  <c r="I10" i="11" s="1"/>
  <c r="J8" i="11"/>
  <c r="F8" i="11"/>
  <c r="G8" i="11" s="1"/>
  <c r="H8" i="11" s="1"/>
  <c r="I8" i="11" s="1"/>
  <c r="F7" i="11"/>
  <c r="G7" i="11" s="1"/>
  <c r="H7" i="11" s="1"/>
  <c r="I7" i="11" s="1"/>
  <c r="F6" i="11"/>
  <c r="G6" i="11" s="1"/>
  <c r="H6" i="11" s="1"/>
  <c r="I6" i="11" s="1"/>
  <c r="J5" i="11"/>
  <c r="F5" i="11"/>
  <c r="G5" i="11" s="1"/>
  <c r="H5" i="11" s="1"/>
  <c r="I5" i="11" s="1"/>
  <c r="G4" i="11"/>
  <c r="H4" i="11" s="1"/>
  <c r="I4" i="11" s="1"/>
  <c r="F3" i="11"/>
  <c r="G3" i="11" s="1"/>
  <c r="H3" i="11" s="1"/>
  <c r="I3" i="11" s="1"/>
  <c r="F2" i="11"/>
  <c r="G2" i="11" s="1"/>
  <c r="H2" i="11" s="1"/>
  <c r="I2" i="11" s="1"/>
  <c r="J16" i="8"/>
  <c r="B27" i="9"/>
  <c r="F43" i="9" s="1"/>
  <c r="F19" i="9"/>
  <c r="G19" i="9" s="1"/>
  <c r="H19" i="9" s="1"/>
  <c r="I19" i="9" s="1"/>
  <c r="F18" i="9"/>
  <c r="G18" i="9" s="1"/>
  <c r="H18" i="9" s="1"/>
  <c r="I18" i="9" s="1"/>
  <c r="G17" i="9"/>
  <c r="H17" i="9" s="1"/>
  <c r="I17" i="9" s="1"/>
  <c r="J16" i="9"/>
  <c r="G16" i="9"/>
  <c r="H16" i="9" s="1"/>
  <c r="I16" i="9" s="1"/>
  <c r="J15" i="9"/>
  <c r="F15" i="9"/>
  <c r="G15" i="9" s="1"/>
  <c r="H15" i="9" s="1"/>
  <c r="I15" i="9" s="1"/>
  <c r="G14" i="9"/>
  <c r="H14" i="9" s="1"/>
  <c r="I14" i="9" s="1"/>
  <c r="J13" i="9"/>
  <c r="F13" i="9"/>
  <c r="G13" i="9" s="1"/>
  <c r="H13" i="9" s="1"/>
  <c r="I13" i="9" s="1"/>
  <c r="J12" i="9"/>
  <c r="K12" i="9" s="1"/>
  <c r="L11" i="9" s="1"/>
  <c r="M11" i="9" s="1"/>
  <c r="G12" i="9"/>
  <c r="H12" i="9" s="1"/>
  <c r="I12" i="9" s="1"/>
  <c r="F12" i="9"/>
  <c r="J11" i="9"/>
  <c r="F11" i="9"/>
  <c r="G11" i="9" s="1"/>
  <c r="H11" i="9" s="1"/>
  <c r="I11" i="9" s="1"/>
  <c r="F10" i="9"/>
  <c r="G10" i="9" s="1"/>
  <c r="H10" i="9" s="1"/>
  <c r="I10" i="9" s="1"/>
  <c r="F8" i="9"/>
  <c r="G8" i="9" s="1"/>
  <c r="H8" i="9" s="1"/>
  <c r="I8" i="9" s="1"/>
  <c r="F7" i="9"/>
  <c r="G7" i="9" s="1"/>
  <c r="H7" i="9" s="1"/>
  <c r="I7" i="9" s="1"/>
  <c r="F6" i="9"/>
  <c r="G6" i="9" s="1"/>
  <c r="H6" i="9" s="1"/>
  <c r="I6" i="9" s="1"/>
  <c r="F5" i="9"/>
  <c r="G5" i="9" s="1"/>
  <c r="H5" i="9" s="1"/>
  <c r="I5" i="9" s="1"/>
  <c r="F4" i="9"/>
  <c r="G4" i="9" s="1"/>
  <c r="H4" i="9" s="1"/>
  <c r="I4" i="9" s="1"/>
  <c r="F3" i="9"/>
  <c r="G3" i="9" s="1"/>
  <c r="H3" i="9" s="1"/>
  <c r="I3" i="9" s="1"/>
  <c r="F2" i="9"/>
  <c r="G2" i="9" s="1"/>
  <c r="H2" i="9" s="1"/>
  <c r="I2" i="9" s="1"/>
  <c r="B27" i="8"/>
  <c r="F19" i="8"/>
  <c r="G19" i="8" s="1"/>
  <c r="H19" i="8" s="1"/>
  <c r="I19" i="8" s="1"/>
  <c r="F18" i="8"/>
  <c r="G18" i="8" s="1"/>
  <c r="H18" i="8" s="1"/>
  <c r="I18" i="8" s="1"/>
  <c r="J17" i="8"/>
  <c r="G17" i="8"/>
  <c r="H17" i="8" s="1"/>
  <c r="I17" i="8" s="1"/>
  <c r="G16" i="8"/>
  <c r="H16" i="8" s="1"/>
  <c r="I16" i="8" s="1"/>
  <c r="G15" i="8"/>
  <c r="H15" i="8" s="1"/>
  <c r="I15" i="8" s="1"/>
  <c r="G14" i="8"/>
  <c r="H14" i="8" s="1"/>
  <c r="I14" i="8" s="1"/>
  <c r="J13" i="8"/>
  <c r="F13" i="8"/>
  <c r="G13" i="8" s="1"/>
  <c r="H13" i="8" s="1"/>
  <c r="I13" i="8" s="1"/>
  <c r="J12" i="8"/>
  <c r="K12" i="8" s="1"/>
  <c r="F12" i="8"/>
  <c r="G12" i="8" s="1"/>
  <c r="H12" i="8" s="1"/>
  <c r="I12" i="8" s="1"/>
  <c r="J11" i="8"/>
  <c r="F11" i="8"/>
  <c r="G11" i="8" s="1"/>
  <c r="H11" i="8" s="1"/>
  <c r="I11" i="8" s="1"/>
  <c r="J10" i="8"/>
  <c r="F10" i="8"/>
  <c r="G10" i="8" s="1"/>
  <c r="H10" i="8" s="1"/>
  <c r="I10" i="8" s="1"/>
  <c r="J8" i="8"/>
  <c r="F8" i="8"/>
  <c r="G8" i="8" s="1"/>
  <c r="H8" i="8" s="1"/>
  <c r="I8" i="8" s="1"/>
  <c r="F7" i="8"/>
  <c r="G7" i="8" s="1"/>
  <c r="H7" i="8" s="1"/>
  <c r="I7" i="8" s="1"/>
  <c r="F6" i="8"/>
  <c r="G6" i="8" s="1"/>
  <c r="H6" i="8" s="1"/>
  <c r="I6" i="8" s="1"/>
  <c r="F5" i="8"/>
  <c r="G5" i="8" s="1"/>
  <c r="H5" i="8" s="1"/>
  <c r="I5" i="8" s="1"/>
  <c r="F4" i="8"/>
  <c r="G4" i="8" s="1"/>
  <c r="H4" i="8" s="1"/>
  <c r="I4" i="8" s="1"/>
  <c r="F3" i="8"/>
  <c r="G3" i="8" s="1"/>
  <c r="H3" i="8" s="1"/>
  <c r="I3" i="8" s="1"/>
  <c r="F2" i="8"/>
  <c r="G2" i="8" s="1"/>
  <c r="H2" i="8" s="1"/>
  <c r="I2" i="8" s="1"/>
  <c r="J4" i="7"/>
  <c r="H43" i="7"/>
  <c r="J43" i="7"/>
  <c r="F19" i="7"/>
  <c r="G19" i="7" s="1"/>
  <c r="H19" i="7" s="1"/>
  <c r="I19" i="7" s="1"/>
  <c r="F18" i="7"/>
  <c r="G18" i="7" s="1"/>
  <c r="H18" i="7" s="1"/>
  <c r="I18" i="7" s="1"/>
  <c r="J17" i="7"/>
  <c r="G17" i="7"/>
  <c r="H17" i="7" s="1"/>
  <c r="I17" i="7" s="1"/>
  <c r="J16" i="7"/>
  <c r="G16" i="7"/>
  <c r="H16" i="7" s="1"/>
  <c r="I16" i="7" s="1"/>
  <c r="J15" i="7"/>
  <c r="G15" i="7"/>
  <c r="H15" i="7" s="1"/>
  <c r="I15" i="7" s="1"/>
  <c r="G14" i="7"/>
  <c r="H14" i="7" s="1"/>
  <c r="I14" i="7" s="1"/>
  <c r="J13" i="7"/>
  <c r="F13" i="7"/>
  <c r="G13" i="7" s="1"/>
  <c r="H13" i="7" s="1"/>
  <c r="I13" i="7" s="1"/>
  <c r="J12" i="7"/>
  <c r="K12" i="7" s="1"/>
  <c r="F12" i="7"/>
  <c r="G12" i="7" s="1"/>
  <c r="H12" i="7" s="1"/>
  <c r="I12" i="7" s="1"/>
  <c r="J11" i="7"/>
  <c r="F11" i="7"/>
  <c r="G11" i="7" s="1"/>
  <c r="H11" i="7" s="1"/>
  <c r="I11" i="7" s="1"/>
  <c r="J10" i="7"/>
  <c r="F10" i="7"/>
  <c r="G10" i="7" s="1"/>
  <c r="H10" i="7" s="1"/>
  <c r="I10" i="7" s="1"/>
  <c r="J8" i="7"/>
  <c r="F8" i="7"/>
  <c r="G8" i="7" s="1"/>
  <c r="H8" i="7" s="1"/>
  <c r="I8" i="7" s="1"/>
  <c r="F7" i="7"/>
  <c r="G7" i="7" s="1"/>
  <c r="H7" i="7" s="1"/>
  <c r="I7" i="7" s="1"/>
  <c r="J6" i="7"/>
  <c r="G6" i="7"/>
  <c r="H6" i="7" s="1"/>
  <c r="I6" i="7" s="1"/>
  <c r="J5" i="7"/>
  <c r="I5" i="7"/>
  <c r="G3" i="7"/>
  <c r="H3" i="7" s="1"/>
  <c r="I3" i="7" s="1"/>
  <c r="B28" i="7"/>
  <c r="F2" i="7"/>
  <c r="G2" i="7" s="1"/>
  <c r="H2" i="7" s="1"/>
  <c r="I2" i="7" s="1"/>
  <c r="AA34" i="48" l="1"/>
  <c r="AA35" i="48" s="1"/>
  <c r="AA36" i="48" s="1"/>
  <c r="AA37" i="48" s="1"/>
  <c r="AA38" i="48" s="1"/>
  <c r="AA39" i="48" s="1"/>
  <c r="AA40" i="48" s="1"/>
  <c r="AA41" i="48" s="1"/>
  <c r="AA42" i="48" s="1"/>
  <c r="AA43" i="48" s="1"/>
  <c r="AB34" i="48"/>
  <c r="AB35" i="48" s="1"/>
  <c r="AB36" i="48" s="1"/>
  <c r="AB37" i="48" s="1"/>
  <c r="AB38" i="48" s="1"/>
  <c r="AB39" i="48" s="1"/>
  <c r="AB40" i="48" s="1"/>
  <c r="AB41" i="48" s="1"/>
  <c r="AB42" i="48" s="1"/>
  <c r="AB43" i="48" s="1"/>
  <c r="AB33" i="48"/>
  <c r="A37" i="48"/>
  <c r="E55" i="48"/>
  <c r="S35" i="48"/>
  <c r="Y33" i="48"/>
  <c r="X34" i="48"/>
  <c r="R35" i="48"/>
  <c r="C30" i="48"/>
  <c r="G43" i="48"/>
  <c r="E43" i="48"/>
  <c r="I44" i="48"/>
  <c r="C29" i="48"/>
  <c r="D29" i="48" s="1"/>
  <c r="C45" i="48"/>
  <c r="E28" i="48"/>
  <c r="K44" i="48"/>
  <c r="D32" i="48"/>
  <c r="H46" i="48"/>
  <c r="F46" i="48"/>
  <c r="D46" i="48"/>
  <c r="F27" i="48"/>
  <c r="J46" i="48"/>
  <c r="B46" i="48"/>
  <c r="I45" i="48"/>
  <c r="E31" i="48"/>
  <c r="D31" i="41"/>
  <c r="I44" i="41"/>
  <c r="D32" i="41"/>
  <c r="K44" i="41"/>
  <c r="D29" i="41"/>
  <c r="E44" i="41"/>
  <c r="H46" i="41"/>
  <c r="F46" i="41"/>
  <c r="D46" i="41"/>
  <c r="J46" i="41"/>
  <c r="F27" i="41"/>
  <c r="B46" i="41"/>
  <c r="G43" i="41"/>
  <c r="C30" i="41"/>
  <c r="A37" i="41"/>
  <c r="C44" i="41"/>
  <c r="D28" i="41"/>
  <c r="C31" i="40"/>
  <c r="I43" i="40"/>
  <c r="A37" i="40"/>
  <c r="G45" i="40"/>
  <c r="E30" i="40"/>
  <c r="E44" i="40"/>
  <c r="D29" i="40"/>
  <c r="D46" i="40"/>
  <c r="B46" i="40"/>
  <c r="H46" i="40"/>
  <c r="F27" i="40"/>
  <c r="F46" i="40"/>
  <c r="J46" i="40"/>
  <c r="C29" i="39"/>
  <c r="E44" i="39" s="1"/>
  <c r="E28" i="40"/>
  <c r="C45" i="40"/>
  <c r="D32" i="40"/>
  <c r="K44" i="40"/>
  <c r="I44" i="38"/>
  <c r="A37" i="39"/>
  <c r="C31" i="39"/>
  <c r="D31" i="39" s="1"/>
  <c r="E28" i="39"/>
  <c r="C45" i="39"/>
  <c r="G43" i="39"/>
  <c r="C30" i="39"/>
  <c r="K44" i="39"/>
  <c r="D32" i="39"/>
  <c r="H46" i="39"/>
  <c r="F46" i="39"/>
  <c r="F27" i="39"/>
  <c r="B46" i="39"/>
  <c r="J46" i="39"/>
  <c r="D46" i="39"/>
  <c r="D31" i="37"/>
  <c r="I45" i="37" s="1"/>
  <c r="E32" i="38"/>
  <c r="K45" i="38"/>
  <c r="C45" i="38"/>
  <c r="E28" i="38"/>
  <c r="E31" i="38"/>
  <c r="I45" i="38"/>
  <c r="E44" i="38"/>
  <c r="D29" i="38"/>
  <c r="D46" i="38"/>
  <c r="H46" i="38"/>
  <c r="F46" i="38"/>
  <c r="J46" i="38"/>
  <c r="B46" i="38"/>
  <c r="F27" i="38"/>
  <c r="G43" i="38"/>
  <c r="C30" i="38"/>
  <c r="C32" i="37"/>
  <c r="K43" i="37"/>
  <c r="E44" i="37"/>
  <c r="D29" i="37"/>
  <c r="D46" i="37"/>
  <c r="F27" i="37"/>
  <c r="H46" i="37"/>
  <c r="B46" i="37"/>
  <c r="F46" i="37"/>
  <c r="J46" i="37"/>
  <c r="C45" i="37"/>
  <c r="E28" i="37"/>
  <c r="G45" i="37"/>
  <c r="E30" i="37"/>
  <c r="G44" i="36"/>
  <c r="E43" i="36"/>
  <c r="C29" i="36"/>
  <c r="D29" i="36" s="1"/>
  <c r="D31" i="36"/>
  <c r="I44" i="36"/>
  <c r="J47" i="36"/>
  <c r="D47" i="36"/>
  <c r="B47" i="36"/>
  <c r="H47" i="36"/>
  <c r="F47" i="36"/>
  <c r="D32" i="36"/>
  <c r="K44" i="36"/>
  <c r="C44" i="36"/>
  <c r="D28" i="36"/>
  <c r="G45" i="36"/>
  <c r="E30" i="36"/>
  <c r="K43" i="35"/>
  <c r="C32" i="35"/>
  <c r="G43" i="35"/>
  <c r="C30" i="35"/>
  <c r="E44" i="35"/>
  <c r="D29" i="35"/>
  <c r="I45" i="35"/>
  <c r="E31" i="35"/>
  <c r="C44" i="35"/>
  <c r="D28" i="35"/>
  <c r="H46" i="35"/>
  <c r="D46" i="35"/>
  <c r="F46" i="35"/>
  <c r="F27" i="35"/>
  <c r="B46" i="35"/>
  <c r="J46" i="35"/>
  <c r="A37" i="35"/>
  <c r="I43" i="34"/>
  <c r="A37" i="34"/>
  <c r="C44" i="34"/>
  <c r="D28" i="34"/>
  <c r="B47" i="34"/>
  <c r="J47" i="34"/>
  <c r="D47" i="34"/>
  <c r="H47" i="34"/>
  <c r="F47" i="34"/>
  <c r="G45" i="34"/>
  <c r="E30" i="34"/>
  <c r="D31" i="34"/>
  <c r="I44" i="34"/>
  <c r="D32" i="34"/>
  <c r="K44" i="34"/>
  <c r="E44" i="34"/>
  <c r="D29" i="34"/>
  <c r="I43" i="32"/>
  <c r="C31" i="32"/>
  <c r="H46" i="32"/>
  <c r="F27" i="32"/>
  <c r="D46" i="32"/>
  <c r="F46" i="32"/>
  <c r="B46" i="32"/>
  <c r="J46" i="32"/>
  <c r="E28" i="32"/>
  <c r="C45" i="32"/>
  <c r="E44" i="32"/>
  <c r="D29" i="32"/>
  <c r="K44" i="32"/>
  <c r="D32" i="32"/>
  <c r="G45" i="32"/>
  <c r="E30" i="32"/>
  <c r="C29" i="30"/>
  <c r="E44" i="30" s="1"/>
  <c r="K43" i="30"/>
  <c r="C30" i="30"/>
  <c r="G43" i="30"/>
  <c r="A37" i="30"/>
  <c r="E28" i="30"/>
  <c r="C45" i="30"/>
  <c r="K44" i="30"/>
  <c r="D32" i="30"/>
  <c r="B46" i="30"/>
  <c r="H46" i="30"/>
  <c r="D46" i="30"/>
  <c r="F27" i="30"/>
  <c r="F46" i="30"/>
  <c r="J46" i="30"/>
  <c r="E31" i="30"/>
  <c r="I45" i="30"/>
  <c r="C29" i="29"/>
  <c r="E44" i="29" s="1"/>
  <c r="A37" i="29"/>
  <c r="A37" i="28"/>
  <c r="E43" i="28"/>
  <c r="K43" i="29"/>
  <c r="C32" i="29"/>
  <c r="H46" i="29"/>
  <c r="B46" i="29"/>
  <c r="F46" i="29"/>
  <c r="D46" i="29"/>
  <c r="F27" i="29"/>
  <c r="J46" i="29"/>
  <c r="I45" i="29"/>
  <c r="E31" i="29"/>
  <c r="C44" i="29"/>
  <c r="D28" i="29"/>
  <c r="G43" i="29"/>
  <c r="C30" i="29"/>
  <c r="C32" i="28"/>
  <c r="K43" i="28"/>
  <c r="G45" i="28"/>
  <c r="E30" i="28"/>
  <c r="H46" i="28"/>
  <c r="F46" i="28"/>
  <c r="F27" i="28"/>
  <c r="B46" i="28"/>
  <c r="D46" i="28"/>
  <c r="J46" i="28"/>
  <c r="E44" i="28"/>
  <c r="D29" i="28"/>
  <c r="C44" i="28"/>
  <c r="D28" i="28"/>
  <c r="E31" i="28"/>
  <c r="I45" i="28"/>
  <c r="C30" i="25"/>
  <c r="D30" i="25" s="1"/>
  <c r="C31" i="26"/>
  <c r="D31" i="26" s="1"/>
  <c r="D28" i="26"/>
  <c r="D32" i="26"/>
  <c r="D30" i="26"/>
  <c r="F27" i="26"/>
  <c r="A37" i="25"/>
  <c r="I43" i="25"/>
  <c r="G44" i="25"/>
  <c r="F27" i="25"/>
  <c r="D46" i="25"/>
  <c r="F46" i="25"/>
  <c r="J46" i="25"/>
  <c r="B46" i="25"/>
  <c r="H46" i="25"/>
  <c r="C44" i="25"/>
  <c r="D28" i="25"/>
  <c r="I44" i="25"/>
  <c r="D31" i="25"/>
  <c r="K44" i="25"/>
  <c r="D32" i="25"/>
  <c r="D29" i="25"/>
  <c r="E44" i="25"/>
  <c r="I43" i="24"/>
  <c r="A37" i="23"/>
  <c r="D29" i="24"/>
  <c r="E44" i="24"/>
  <c r="I44" i="24"/>
  <c r="D31" i="24"/>
  <c r="D46" i="24"/>
  <c r="F27" i="24"/>
  <c r="J46" i="24"/>
  <c r="B46" i="24"/>
  <c r="H46" i="24"/>
  <c r="F46" i="24"/>
  <c r="G44" i="24"/>
  <c r="D30" i="24"/>
  <c r="C45" i="24"/>
  <c r="E28" i="24"/>
  <c r="E43" i="23"/>
  <c r="I43" i="23"/>
  <c r="G44" i="23"/>
  <c r="D30" i="23"/>
  <c r="C45" i="23"/>
  <c r="E28" i="23"/>
  <c r="D46" i="23"/>
  <c r="F27" i="23"/>
  <c r="J46" i="23"/>
  <c r="B46" i="23"/>
  <c r="H46" i="23"/>
  <c r="F46" i="23"/>
  <c r="D29" i="23"/>
  <c r="E44" i="23"/>
  <c r="I44" i="23"/>
  <c r="D31" i="23"/>
  <c r="E32" i="23"/>
  <c r="K45" i="23"/>
  <c r="G44" i="22"/>
  <c r="C29" i="22"/>
  <c r="D29" i="22" s="1"/>
  <c r="A37" i="22"/>
  <c r="I43" i="22"/>
  <c r="C31" i="22"/>
  <c r="D31" i="22" s="1"/>
  <c r="G45" i="22"/>
  <c r="E30" i="22"/>
  <c r="F46" i="22"/>
  <c r="H46" i="22"/>
  <c r="F27" i="22"/>
  <c r="J46" i="22"/>
  <c r="D46" i="22"/>
  <c r="B46" i="22"/>
  <c r="D32" i="22"/>
  <c r="K44" i="22"/>
  <c r="C44" i="22"/>
  <c r="D28" i="22"/>
  <c r="B45" i="21"/>
  <c r="H45" i="21"/>
  <c r="F45" i="21"/>
  <c r="J45" i="21"/>
  <c r="E27" i="21"/>
  <c r="D45" i="21"/>
  <c r="A37" i="21"/>
  <c r="O4" i="21" s="1"/>
  <c r="C43" i="21"/>
  <c r="C28" i="21"/>
  <c r="K43" i="21"/>
  <c r="C32" i="21"/>
  <c r="E44" i="21"/>
  <c r="D29" i="21"/>
  <c r="D31" i="21"/>
  <c r="I44" i="21"/>
  <c r="G43" i="21"/>
  <c r="C30" i="21"/>
  <c r="O48" i="11"/>
  <c r="J18" i="11"/>
  <c r="J19" i="11"/>
  <c r="M2" i="11"/>
  <c r="B28" i="11" s="1"/>
  <c r="C43" i="11" s="1"/>
  <c r="A37" i="20"/>
  <c r="C29" i="20"/>
  <c r="D29" i="20" s="1"/>
  <c r="F46" i="20"/>
  <c r="D46" i="20"/>
  <c r="F27" i="20"/>
  <c r="B46" i="20"/>
  <c r="J46" i="20"/>
  <c r="H46" i="20"/>
  <c r="D30" i="20"/>
  <c r="G44" i="20"/>
  <c r="D28" i="20"/>
  <c r="C44" i="20"/>
  <c r="K44" i="20"/>
  <c r="D32" i="20"/>
  <c r="I43" i="20"/>
  <c r="C31" i="20"/>
  <c r="K43" i="19"/>
  <c r="C32" i="19"/>
  <c r="I43" i="19"/>
  <c r="C31" i="19"/>
  <c r="F46" i="19"/>
  <c r="D46" i="19"/>
  <c r="F27" i="19"/>
  <c r="J46" i="19"/>
  <c r="H46" i="19"/>
  <c r="B46" i="19"/>
  <c r="C44" i="19"/>
  <c r="D28" i="19"/>
  <c r="A37" i="19"/>
  <c r="E44" i="19"/>
  <c r="D29" i="19"/>
  <c r="G43" i="19"/>
  <c r="C30" i="19"/>
  <c r="M36" i="8"/>
  <c r="J19" i="8"/>
  <c r="B28" i="8"/>
  <c r="J18" i="8"/>
  <c r="M6" i="8" s="1"/>
  <c r="B32" i="8" s="1"/>
  <c r="T4" i="17"/>
  <c r="E43" i="18"/>
  <c r="I43" i="18"/>
  <c r="A37" i="18"/>
  <c r="E44" i="18"/>
  <c r="D29" i="18"/>
  <c r="I44" i="18"/>
  <c r="D31" i="18"/>
  <c r="C46" i="18"/>
  <c r="F28" i="18"/>
  <c r="C47" i="18" s="1"/>
  <c r="K44" i="18"/>
  <c r="D32" i="18"/>
  <c r="D30" i="18"/>
  <c r="G44" i="18"/>
  <c r="D46" i="18"/>
  <c r="F27" i="18"/>
  <c r="B46" i="18"/>
  <c r="J46" i="18"/>
  <c r="H46" i="18"/>
  <c r="F46" i="18"/>
  <c r="E43" i="17"/>
  <c r="G43" i="17"/>
  <c r="A37" i="17"/>
  <c r="C30" i="17"/>
  <c r="D30" i="17" s="1"/>
  <c r="E28" i="17"/>
  <c r="E44" i="17"/>
  <c r="C46" i="17"/>
  <c r="F28" i="17"/>
  <c r="C47" i="17" s="1"/>
  <c r="E32" i="17"/>
  <c r="K45" i="17"/>
  <c r="D31" i="17"/>
  <c r="I44" i="17"/>
  <c r="E45" i="17"/>
  <c r="E29" i="17"/>
  <c r="H46" i="17"/>
  <c r="F27" i="17"/>
  <c r="F46" i="17"/>
  <c r="D46" i="17"/>
  <c r="J46" i="17"/>
  <c r="B46" i="17"/>
  <c r="M3" i="8"/>
  <c r="L11" i="12"/>
  <c r="M11" i="12" s="1"/>
  <c r="B30" i="12" s="1"/>
  <c r="M5" i="12"/>
  <c r="B31" i="12" s="1"/>
  <c r="I43" i="12" s="1"/>
  <c r="C43" i="12"/>
  <c r="C28" i="12"/>
  <c r="C27" i="12"/>
  <c r="H43" i="12"/>
  <c r="J43" i="12"/>
  <c r="M6" i="12"/>
  <c r="B32" i="12" s="1"/>
  <c r="J4" i="12"/>
  <c r="M3" i="12" s="1"/>
  <c r="B29" i="12" s="1"/>
  <c r="B43" i="12"/>
  <c r="D43" i="12" s="1"/>
  <c r="L11" i="11"/>
  <c r="M11" i="11" s="1"/>
  <c r="M4" i="11" s="1"/>
  <c r="B30" i="11" s="1"/>
  <c r="F43" i="11"/>
  <c r="M5" i="11"/>
  <c r="J43" i="11"/>
  <c r="C27" i="11"/>
  <c r="H43" i="11"/>
  <c r="J4" i="11"/>
  <c r="M3" i="11" s="1"/>
  <c r="B43" i="11"/>
  <c r="D43" i="11" s="1"/>
  <c r="M5" i="9"/>
  <c r="B31" i="9" s="1"/>
  <c r="Z51" i="9" s="1"/>
  <c r="Z52" i="9" s="1"/>
  <c r="Z53" i="9" s="1"/>
  <c r="Z54" i="9" s="1"/>
  <c r="Z55" i="9" s="1"/>
  <c r="Z56" i="9" s="1"/>
  <c r="Z57" i="9" s="1"/>
  <c r="Z58" i="9" s="1"/>
  <c r="Z59" i="9" s="1"/>
  <c r="Z60" i="9" s="1"/>
  <c r="Z61" i="9" s="1"/>
  <c r="C43" i="9"/>
  <c r="C28" i="9"/>
  <c r="M4" i="9"/>
  <c r="B30" i="9" s="1"/>
  <c r="C27" i="9"/>
  <c r="H43" i="9"/>
  <c r="J43" i="9"/>
  <c r="B32" i="9"/>
  <c r="B29" i="9"/>
  <c r="T51" i="9" s="1"/>
  <c r="T52" i="9" s="1"/>
  <c r="T53" i="9" s="1"/>
  <c r="T54" i="9" s="1"/>
  <c r="T55" i="9" s="1"/>
  <c r="T56" i="9" s="1"/>
  <c r="T57" i="9" s="1"/>
  <c r="T58" i="9" s="1"/>
  <c r="T59" i="9" s="1"/>
  <c r="T60" i="9" s="1"/>
  <c r="T61" i="9" s="1"/>
  <c r="B43" i="9"/>
  <c r="D43" i="9" s="1"/>
  <c r="L11" i="8"/>
  <c r="M11" i="8" s="1"/>
  <c r="M4" i="8"/>
  <c r="B30" i="8" s="1"/>
  <c r="C30" i="8" s="1"/>
  <c r="M5" i="8"/>
  <c r="F43" i="8"/>
  <c r="C43" i="8"/>
  <c r="C28" i="8"/>
  <c r="C27" i="8"/>
  <c r="H43" i="8"/>
  <c r="J43" i="8"/>
  <c r="B43" i="8"/>
  <c r="D43" i="8" s="1"/>
  <c r="L11" i="7"/>
  <c r="M11" i="7" s="1"/>
  <c r="M4" i="7" s="1"/>
  <c r="M3" i="7"/>
  <c r="C27" i="7"/>
  <c r="D27" i="7" s="1"/>
  <c r="H45" i="7" s="1"/>
  <c r="B43" i="7"/>
  <c r="D43" i="7" s="1"/>
  <c r="F43" i="7"/>
  <c r="M5" i="7"/>
  <c r="F44" i="7"/>
  <c r="H44" i="7"/>
  <c r="C43" i="7"/>
  <c r="C28" i="7"/>
  <c r="J44" i="7"/>
  <c r="B44" i="7"/>
  <c r="D44" i="7" s="1"/>
  <c r="S36" i="48" l="1"/>
  <c r="S37" i="48" s="1"/>
  <c r="X35" i="48"/>
  <c r="R36" i="48"/>
  <c r="D30" i="48"/>
  <c r="G44" i="48"/>
  <c r="E44" i="48"/>
  <c r="I46" i="48"/>
  <c r="F31" i="48"/>
  <c r="E32" i="48"/>
  <c r="K45" i="48"/>
  <c r="F47" i="48"/>
  <c r="J47" i="48"/>
  <c r="H47" i="48"/>
  <c r="D47" i="48"/>
  <c r="B47" i="48"/>
  <c r="E45" i="48"/>
  <c r="E29" i="48"/>
  <c r="C46" i="48"/>
  <c r="F28" i="48"/>
  <c r="C47" i="48" s="1"/>
  <c r="I45" i="41"/>
  <c r="E31" i="41"/>
  <c r="J47" i="41"/>
  <c r="H47" i="41"/>
  <c r="F47" i="41"/>
  <c r="D47" i="41"/>
  <c r="B47" i="41"/>
  <c r="E28" i="41"/>
  <c r="C45" i="41"/>
  <c r="E45" i="41"/>
  <c r="E29" i="41"/>
  <c r="E32" i="41"/>
  <c r="K45" i="41"/>
  <c r="G44" i="41"/>
  <c r="D30" i="41"/>
  <c r="D31" i="40"/>
  <c r="I44" i="40"/>
  <c r="C46" i="40"/>
  <c r="F28" i="40"/>
  <c r="C47" i="40" s="1"/>
  <c r="J47" i="40"/>
  <c r="F47" i="40"/>
  <c r="D47" i="40"/>
  <c r="H47" i="40"/>
  <c r="B47" i="40"/>
  <c r="E45" i="40"/>
  <c r="E29" i="40"/>
  <c r="D29" i="39"/>
  <c r="E45" i="39" s="1"/>
  <c r="E32" i="40"/>
  <c r="K45" i="40"/>
  <c r="G46" i="40"/>
  <c r="F30" i="40"/>
  <c r="I44" i="39"/>
  <c r="E32" i="39"/>
  <c r="K45" i="39"/>
  <c r="G44" i="39"/>
  <c r="D30" i="39"/>
  <c r="E31" i="37"/>
  <c r="F31" i="37" s="1"/>
  <c r="F28" i="39"/>
  <c r="C47" i="39" s="1"/>
  <c r="C46" i="39"/>
  <c r="J47" i="39"/>
  <c r="H47" i="39"/>
  <c r="D47" i="39"/>
  <c r="B47" i="39"/>
  <c r="F47" i="39"/>
  <c r="I45" i="39"/>
  <c r="E31" i="39"/>
  <c r="E45" i="38"/>
  <c r="E29" i="38"/>
  <c r="I46" i="38"/>
  <c r="F31" i="38"/>
  <c r="D30" i="38"/>
  <c r="G44" i="38"/>
  <c r="F28" i="38"/>
  <c r="C47" i="38" s="1"/>
  <c r="C46" i="38"/>
  <c r="J47" i="38"/>
  <c r="F47" i="38"/>
  <c r="H47" i="38"/>
  <c r="D47" i="38"/>
  <c r="B47" i="38"/>
  <c r="F32" i="38"/>
  <c r="K47" i="38" s="1"/>
  <c r="K46" i="38"/>
  <c r="K44" i="37"/>
  <c r="D32" i="37"/>
  <c r="D47" i="37"/>
  <c r="J47" i="37"/>
  <c r="F47" i="37"/>
  <c r="H47" i="37"/>
  <c r="B47" i="37"/>
  <c r="G46" i="37"/>
  <c r="F30" i="37"/>
  <c r="F28" i="37"/>
  <c r="C47" i="37" s="1"/>
  <c r="C46" i="37"/>
  <c r="E45" i="37"/>
  <c r="E29" i="37"/>
  <c r="E44" i="36"/>
  <c r="E45" i="36"/>
  <c r="E29" i="36"/>
  <c r="I45" i="36"/>
  <c r="E31" i="36"/>
  <c r="E28" i="36"/>
  <c r="C45" i="36"/>
  <c r="G46" i="36"/>
  <c r="F30" i="36"/>
  <c r="K45" i="36"/>
  <c r="E32" i="36"/>
  <c r="K44" i="35"/>
  <c r="D32" i="35"/>
  <c r="I46" i="35"/>
  <c r="F31" i="35"/>
  <c r="E45" i="35"/>
  <c r="E29" i="35"/>
  <c r="J47" i="35"/>
  <c r="D47" i="35"/>
  <c r="H47" i="35"/>
  <c r="F47" i="35"/>
  <c r="B47" i="35"/>
  <c r="D30" i="35"/>
  <c r="G44" i="35"/>
  <c r="C45" i="35"/>
  <c r="E28" i="35"/>
  <c r="E32" i="34"/>
  <c r="K45" i="34"/>
  <c r="E45" i="34"/>
  <c r="E29" i="34"/>
  <c r="I45" i="34"/>
  <c r="E31" i="34"/>
  <c r="G46" i="34"/>
  <c r="F30" i="34"/>
  <c r="E28" i="34"/>
  <c r="C45" i="34"/>
  <c r="D31" i="32"/>
  <c r="I44" i="32"/>
  <c r="E45" i="32"/>
  <c r="E29" i="32"/>
  <c r="F28" i="32"/>
  <c r="C47" i="32" s="1"/>
  <c r="C46" i="32"/>
  <c r="E32" i="32"/>
  <c r="K45" i="32"/>
  <c r="G46" i="32"/>
  <c r="F30" i="32"/>
  <c r="J47" i="32"/>
  <c r="F47" i="32"/>
  <c r="D47" i="32"/>
  <c r="B47" i="32"/>
  <c r="H47" i="32"/>
  <c r="D29" i="30"/>
  <c r="E45" i="30" s="1"/>
  <c r="E32" i="30"/>
  <c r="K45" i="30"/>
  <c r="F28" i="30"/>
  <c r="C47" i="30" s="1"/>
  <c r="C46" i="30"/>
  <c r="I46" i="30"/>
  <c r="F31" i="30"/>
  <c r="J47" i="30"/>
  <c r="F47" i="30"/>
  <c r="H47" i="30"/>
  <c r="D47" i="30"/>
  <c r="B47" i="30"/>
  <c r="D30" i="30"/>
  <c r="G44" i="30"/>
  <c r="D29" i="29"/>
  <c r="E29" i="29" s="1"/>
  <c r="D32" i="29"/>
  <c r="K44" i="29"/>
  <c r="I46" i="29"/>
  <c r="F31" i="29"/>
  <c r="D47" i="29"/>
  <c r="J47" i="29"/>
  <c r="H47" i="29"/>
  <c r="F47" i="29"/>
  <c r="B47" i="29"/>
  <c r="D30" i="29"/>
  <c r="G44" i="29"/>
  <c r="E28" i="29"/>
  <c r="C45" i="29"/>
  <c r="K44" i="28"/>
  <c r="D32" i="28"/>
  <c r="E45" i="28"/>
  <c r="E29" i="28"/>
  <c r="H47" i="28"/>
  <c r="J47" i="28"/>
  <c r="B47" i="28"/>
  <c r="F47" i="28"/>
  <c r="D47" i="28"/>
  <c r="I46" i="28"/>
  <c r="F31" i="28"/>
  <c r="E28" i="28"/>
  <c r="C45" i="28"/>
  <c r="G46" i="28"/>
  <c r="F30" i="28"/>
  <c r="E30" i="26"/>
  <c r="E32" i="26"/>
  <c r="E28" i="26"/>
  <c r="E31" i="26"/>
  <c r="E32" i="25"/>
  <c r="K45" i="25"/>
  <c r="E45" i="25"/>
  <c r="E29" i="25"/>
  <c r="I45" i="25"/>
  <c r="E31" i="25"/>
  <c r="F47" i="25"/>
  <c r="J47" i="25"/>
  <c r="B47" i="25"/>
  <c r="H47" i="25"/>
  <c r="D47" i="25"/>
  <c r="E28" i="25"/>
  <c r="C45" i="25"/>
  <c r="G45" i="25"/>
  <c r="E30" i="25"/>
  <c r="B32" i="24"/>
  <c r="AA33" i="24"/>
  <c r="AA34" i="24" s="1"/>
  <c r="AA35" i="24" s="1"/>
  <c r="AA36" i="24" s="1"/>
  <c r="AA37" i="24" s="1"/>
  <c r="AA38" i="24" s="1"/>
  <c r="AA39" i="24" s="1"/>
  <c r="AA40" i="24" s="1"/>
  <c r="AA41" i="24" s="1"/>
  <c r="AA42" i="24" s="1"/>
  <c r="AA43" i="24" s="1"/>
  <c r="T4" i="24"/>
  <c r="C46" i="24"/>
  <c r="F28" i="24"/>
  <c r="C47" i="24" s="1"/>
  <c r="G45" i="24"/>
  <c r="E30" i="24"/>
  <c r="J47" i="24"/>
  <c r="B47" i="24"/>
  <c r="H47" i="24"/>
  <c r="F47" i="24"/>
  <c r="D47" i="24"/>
  <c r="E29" i="24"/>
  <c r="E45" i="24"/>
  <c r="I45" i="24"/>
  <c r="E31" i="24"/>
  <c r="F32" i="23"/>
  <c r="K47" i="23" s="1"/>
  <c r="K46" i="23"/>
  <c r="I45" i="23"/>
  <c r="E31" i="23"/>
  <c r="J47" i="23"/>
  <c r="B47" i="23"/>
  <c r="H47" i="23"/>
  <c r="F47" i="23"/>
  <c r="D47" i="23"/>
  <c r="C46" i="23"/>
  <c r="F28" i="23"/>
  <c r="C47" i="23" s="1"/>
  <c r="E29" i="23"/>
  <c r="E45" i="23"/>
  <c r="G45" i="23"/>
  <c r="E30" i="23"/>
  <c r="E44" i="22"/>
  <c r="I44" i="22"/>
  <c r="E45" i="22"/>
  <c r="E29" i="22"/>
  <c r="D47" i="22"/>
  <c r="J47" i="22"/>
  <c r="H47" i="22"/>
  <c r="B47" i="22"/>
  <c r="F47" i="22"/>
  <c r="I45" i="22"/>
  <c r="E31" i="22"/>
  <c r="F30" i="22"/>
  <c r="G46" i="22"/>
  <c r="E28" i="22"/>
  <c r="C45" i="22"/>
  <c r="E32" i="22"/>
  <c r="K45" i="22"/>
  <c r="K44" i="21"/>
  <c r="D32" i="21"/>
  <c r="D28" i="21"/>
  <c r="C44" i="21"/>
  <c r="I45" i="21"/>
  <c r="E31" i="21"/>
  <c r="E45" i="21"/>
  <c r="E29" i="21"/>
  <c r="G44" i="21"/>
  <c r="D30" i="21"/>
  <c r="F27" i="21"/>
  <c r="F46" i="21"/>
  <c r="D46" i="21"/>
  <c r="B46" i="21"/>
  <c r="H46" i="21"/>
  <c r="J46" i="21"/>
  <c r="B31" i="11"/>
  <c r="C31" i="11" s="1"/>
  <c r="I44" i="11" s="1"/>
  <c r="Y48" i="11"/>
  <c r="Y49" i="11" s="1"/>
  <c r="Y50" i="11" s="1"/>
  <c r="Y51" i="11" s="1"/>
  <c r="Y52" i="11" s="1"/>
  <c r="Y53" i="11" s="1"/>
  <c r="Y54" i="11" s="1"/>
  <c r="Y55" i="11" s="1"/>
  <c r="Y56" i="11" s="1"/>
  <c r="Y57" i="11" s="1"/>
  <c r="Y58" i="11" s="1"/>
  <c r="B29" i="11"/>
  <c r="S48" i="11"/>
  <c r="S49" i="11" s="1"/>
  <c r="S50" i="11" s="1"/>
  <c r="S51" i="11" s="1"/>
  <c r="S52" i="11" s="1"/>
  <c r="S53" i="11" s="1"/>
  <c r="S54" i="11" s="1"/>
  <c r="S55" i="11" s="1"/>
  <c r="S56" i="11" s="1"/>
  <c r="S57" i="11" s="1"/>
  <c r="S58" i="11" s="1"/>
  <c r="AA48" i="11"/>
  <c r="AA49" i="11" s="1"/>
  <c r="AA50" i="11" s="1"/>
  <c r="AA51" i="11" s="1"/>
  <c r="AA52" i="11" s="1"/>
  <c r="AA53" i="11" s="1"/>
  <c r="AA54" i="11" s="1"/>
  <c r="AA55" i="11" s="1"/>
  <c r="AA56" i="11" s="1"/>
  <c r="AA57" i="11" s="1"/>
  <c r="AA58" i="11" s="1"/>
  <c r="X48" i="11"/>
  <c r="X49" i="11" s="1"/>
  <c r="X50" i="11" s="1"/>
  <c r="X51" i="11" s="1"/>
  <c r="X52" i="11" s="1"/>
  <c r="X53" i="11" s="1"/>
  <c r="X54" i="11" s="1"/>
  <c r="X55" i="11" s="1"/>
  <c r="X56" i="11" s="1"/>
  <c r="X57" i="11" s="1"/>
  <c r="X58" i="11" s="1"/>
  <c r="U48" i="11"/>
  <c r="U49" i="11" s="1"/>
  <c r="U50" i="11" s="1"/>
  <c r="U51" i="11" s="1"/>
  <c r="U52" i="11" s="1"/>
  <c r="U53" i="11" s="1"/>
  <c r="U54" i="11" s="1"/>
  <c r="U55" i="11" s="1"/>
  <c r="U56" i="11" s="1"/>
  <c r="U57" i="11" s="1"/>
  <c r="U58" i="11" s="1"/>
  <c r="R48" i="11"/>
  <c r="R49" i="11" s="1"/>
  <c r="R50" i="11" s="1"/>
  <c r="R51" i="11" s="1"/>
  <c r="R52" i="11" s="1"/>
  <c r="R53" i="11" s="1"/>
  <c r="R54" i="11" s="1"/>
  <c r="R55" i="11" s="1"/>
  <c r="R56" i="11" s="1"/>
  <c r="R57" i="11" s="1"/>
  <c r="R58" i="11" s="1"/>
  <c r="O49" i="11"/>
  <c r="O50" i="11" s="1"/>
  <c r="O51" i="11" s="1"/>
  <c r="O52" i="11" s="1"/>
  <c r="O53" i="11" s="1"/>
  <c r="O54" i="11" s="1"/>
  <c r="O55" i="11" s="1"/>
  <c r="O56" i="11" s="1"/>
  <c r="O57" i="11" s="1"/>
  <c r="O58" i="11" s="1"/>
  <c r="C28" i="11"/>
  <c r="C44" i="11" s="1"/>
  <c r="E44" i="20"/>
  <c r="E45" i="20"/>
  <c r="E29" i="20"/>
  <c r="E32" i="20"/>
  <c r="K45" i="20"/>
  <c r="C45" i="20"/>
  <c r="E28" i="20"/>
  <c r="E30" i="20"/>
  <c r="G45" i="20"/>
  <c r="I44" i="20"/>
  <c r="D31" i="20"/>
  <c r="H47" i="20"/>
  <c r="F47" i="20"/>
  <c r="D47" i="20"/>
  <c r="J47" i="20"/>
  <c r="B47" i="20"/>
  <c r="K44" i="19"/>
  <c r="D32" i="19"/>
  <c r="E28" i="19"/>
  <c r="C45" i="19"/>
  <c r="D30" i="19"/>
  <c r="G44" i="19"/>
  <c r="J47" i="19"/>
  <c r="H47" i="19"/>
  <c r="F47" i="19"/>
  <c r="D47" i="19"/>
  <c r="B47" i="19"/>
  <c r="E45" i="19"/>
  <c r="E29" i="19"/>
  <c r="D31" i="19"/>
  <c r="I44" i="19"/>
  <c r="B31" i="8"/>
  <c r="I43" i="8" s="1"/>
  <c r="W36" i="8"/>
  <c r="W37" i="8" s="1"/>
  <c r="W38" i="8" s="1"/>
  <c r="W39" i="8" s="1"/>
  <c r="W40" i="8" s="1"/>
  <c r="W41" i="8" s="1"/>
  <c r="W42" i="8" s="1"/>
  <c r="W43" i="8" s="1"/>
  <c r="W44" i="8" s="1"/>
  <c r="W45" i="8" s="1"/>
  <c r="W46" i="8" s="1"/>
  <c r="B29" i="8"/>
  <c r="Q36" i="8"/>
  <c r="Q37" i="8" s="1"/>
  <c r="Q38" i="8" s="1"/>
  <c r="Q39" i="8" s="1"/>
  <c r="Q40" i="8" s="1"/>
  <c r="Q41" i="8" s="1"/>
  <c r="Q42" i="8" s="1"/>
  <c r="Q43" i="8" s="1"/>
  <c r="Q44" i="8" s="1"/>
  <c r="Q45" i="8" s="1"/>
  <c r="Q46" i="8" s="1"/>
  <c r="P36" i="8"/>
  <c r="P37" i="8" s="1"/>
  <c r="P38" i="8" s="1"/>
  <c r="P39" i="8" s="1"/>
  <c r="P40" i="8" s="1"/>
  <c r="P41" i="8" s="1"/>
  <c r="P42" i="8" s="1"/>
  <c r="P43" i="8" s="1"/>
  <c r="P44" i="8" s="1"/>
  <c r="P45" i="8" s="1"/>
  <c r="P46" i="8" s="1"/>
  <c r="M37" i="8"/>
  <c r="M38" i="8" s="1"/>
  <c r="M39" i="8" s="1"/>
  <c r="M40" i="8" s="1"/>
  <c r="M41" i="8" s="1"/>
  <c r="M42" i="8" s="1"/>
  <c r="M43" i="8" s="1"/>
  <c r="M44" i="8" s="1"/>
  <c r="M45" i="8" s="1"/>
  <c r="M46" i="8" s="1"/>
  <c r="Y36" i="8"/>
  <c r="Y37" i="8" s="1"/>
  <c r="Y38" i="8" s="1"/>
  <c r="Y39" i="8" s="1"/>
  <c r="Y40" i="8" s="1"/>
  <c r="Y41" i="8" s="1"/>
  <c r="Y42" i="8" s="1"/>
  <c r="Y43" i="8" s="1"/>
  <c r="Y44" i="8" s="1"/>
  <c r="Y45" i="8" s="1"/>
  <c r="Y46" i="8" s="1"/>
  <c r="V36" i="8"/>
  <c r="V37" i="8" s="1"/>
  <c r="V38" i="8" s="1"/>
  <c r="V39" i="8" s="1"/>
  <c r="V40" i="8" s="1"/>
  <c r="V41" i="8" s="1"/>
  <c r="V42" i="8" s="1"/>
  <c r="V43" i="8" s="1"/>
  <c r="V44" i="8" s="1"/>
  <c r="V45" i="8" s="1"/>
  <c r="V46" i="8" s="1"/>
  <c r="S36" i="8"/>
  <c r="S37" i="8" s="1"/>
  <c r="S38" i="8" s="1"/>
  <c r="S39" i="8" s="1"/>
  <c r="S40" i="8" s="1"/>
  <c r="S41" i="8" s="1"/>
  <c r="S42" i="8" s="1"/>
  <c r="S43" i="8" s="1"/>
  <c r="S44" i="8" s="1"/>
  <c r="S45" i="8" s="1"/>
  <c r="S46" i="8" s="1"/>
  <c r="G44" i="17"/>
  <c r="I45" i="18"/>
  <c r="E31" i="18"/>
  <c r="E29" i="18"/>
  <c r="E45" i="18"/>
  <c r="F47" i="18"/>
  <c r="D47" i="18"/>
  <c r="B47" i="18"/>
  <c r="J47" i="18"/>
  <c r="H47" i="18"/>
  <c r="E30" i="18"/>
  <c r="G45" i="18"/>
  <c r="E32" i="18"/>
  <c r="K45" i="18"/>
  <c r="D45" i="7"/>
  <c r="B30" i="7"/>
  <c r="G43" i="7" s="1"/>
  <c r="U27" i="7"/>
  <c r="U28" i="7" s="1"/>
  <c r="U29" i="7" s="1"/>
  <c r="U30" i="7" s="1"/>
  <c r="U31" i="7" s="1"/>
  <c r="U32" i="7" s="1"/>
  <c r="U33" i="7" s="1"/>
  <c r="U34" i="7" s="1"/>
  <c r="U35" i="7" s="1"/>
  <c r="U36" i="7" s="1"/>
  <c r="U37" i="7" s="1"/>
  <c r="J45" i="7"/>
  <c r="E27" i="7"/>
  <c r="B45" i="7"/>
  <c r="F45" i="7"/>
  <c r="B31" i="7"/>
  <c r="I43" i="7" s="1"/>
  <c r="X27" i="7"/>
  <c r="X28" i="7" s="1"/>
  <c r="X29" i="7" s="1"/>
  <c r="X30" i="7" s="1"/>
  <c r="X31" i="7" s="1"/>
  <c r="X32" i="7" s="1"/>
  <c r="X33" i="7" s="1"/>
  <c r="X34" i="7" s="1"/>
  <c r="X35" i="7" s="1"/>
  <c r="X36" i="7" s="1"/>
  <c r="X37" i="7" s="1"/>
  <c r="B29" i="7"/>
  <c r="C29" i="7" s="1"/>
  <c r="E44" i="7" s="1"/>
  <c r="R27" i="7"/>
  <c r="R28" i="7" s="1"/>
  <c r="A37" i="12"/>
  <c r="O4" i="12" s="1"/>
  <c r="A37" i="9"/>
  <c r="O4" i="9" s="1"/>
  <c r="J47" i="17"/>
  <c r="H47" i="17"/>
  <c r="F47" i="17"/>
  <c r="B47" i="17"/>
  <c r="D47" i="17"/>
  <c r="F29" i="17"/>
  <c r="E47" i="17" s="1"/>
  <c r="E46" i="17"/>
  <c r="I45" i="17"/>
  <c r="E31" i="17"/>
  <c r="F32" i="17"/>
  <c r="K47" i="17" s="1"/>
  <c r="K46" i="17"/>
  <c r="G45" i="17"/>
  <c r="E30" i="17"/>
  <c r="C31" i="12"/>
  <c r="I44" i="12" s="1"/>
  <c r="C29" i="12"/>
  <c r="E43" i="12"/>
  <c r="K43" i="12"/>
  <c r="C32" i="12"/>
  <c r="B44" i="12"/>
  <c r="D44" i="12" s="1"/>
  <c r="D27" i="12"/>
  <c r="J44" i="12"/>
  <c r="H44" i="12"/>
  <c r="F44" i="12"/>
  <c r="C30" i="12"/>
  <c r="G43" i="12"/>
  <c r="D28" i="12"/>
  <c r="C44" i="12"/>
  <c r="M6" i="11"/>
  <c r="B32" i="11" s="1"/>
  <c r="C30" i="11"/>
  <c r="D30" i="11" s="1"/>
  <c r="G43" i="11"/>
  <c r="B44" i="11"/>
  <c r="D44" i="11" s="1"/>
  <c r="F44" i="11"/>
  <c r="J44" i="11"/>
  <c r="H44" i="11"/>
  <c r="D27" i="11"/>
  <c r="D28" i="11"/>
  <c r="I43" i="9"/>
  <c r="C31" i="9"/>
  <c r="E43" i="9"/>
  <c r="C29" i="9"/>
  <c r="H44" i="9"/>
  <c r="B44" i="9"/>
  <c r="D44" i="9" s="1"/>
  <c r="D27" i="9"/>
  <c r="J44" i="9"/>
  <c r="F44" i="9"/>
  <c r="C30" i="9"/>
  <c r="G43" i="9"/>
  <c r="D28" i="9"/>
  <c r="C44" i="9"/>
  <c r="K43" i="9"/>
  <c r="C32" i="9"/>
  <c r="G43" i="8"/>
  <c r="C32" i="8"/>
  <c r="K43" i="8"/>
  <c r="H44" i="8"/>
  <c r="B44" i="8"/>
  <c r="D44" i="8" s="1"/>
  <c r="D27" i="8"/>
  <c r="F44" i="8"/>
  <c r="J44" i="8"/>
  <c r="D28" i="8"/>
  <c r="C44" i="8"/>
  <c r="G44" i="8"/>
  <c r="D30" i="8"/>
  <c r="C30" i="7"/>
  <c r="G44" i="7" s="1"/>
  <c r="M6" i="7"/>
  <c r="H46" i="7"/>
  <c r="F46" i="7"/>
  <c r="D46" i="7"/>
  <c r="F27" i="7"/>
  <c r="B46" i="7"/>
  <c r="J46" i="7"/>
  <c r="D28" i="7"/>
  <c r="C44" i="7"/>
  <c r="S38" i="48" l="1"/>
  <c r="S39" i="48" s="1"/>
  <c r="X36" i="48"/>
  <c r="R37" i="48"/>
  <c r="G45" i="48"/>
  <c r="E30" i="48"/>
  <c r="F32" i="48"/>
  <c r="K47" i="48" s="1"/>
  <c r="K46" i="48"/>
  <c r="G47" i="48"/>
  <c r="I47" i="48"/>
  <c r="E46" i="48"/>
  <c r="F29" i="48"/>
  <c r="E47" i="48" s="1"/>
  <c r="F32" i="41"/>
  <c r="K47" i="41" s="1"/>
  <c r="K46" i="41"/>
  <c r="E46" i="41"/>
  <c r="F29" i="41"/>
  <c r="E47" i="41" s="1"/>
  <c r="F28" i="41"/>
  <c r="C47" i="41" s="1"/>
  <c r="C46" i="41"/>
  <c r="E30" i="41"/>
  <c r="G45" i="41"/>
  <c r="I46" i="41"/>
  <c r="F31" i="41"/>
  <c r="I45" i="40"/>
  <c r="E31" i="40"/>
  <c r="E46" i="40"/>
  <c r="F29" i="40"/>
  <c r="E47" i="40" s="1"/>
  <c r="E29" i="39"/>
  <c r="E46" i="39" s="1"/>
  <c r="F32" i="40"/>
  <c r="K47" i="40" s="1"/>
  <c r="K46" i="40"/>
  <c r="I46" i="37"/>
  <c r="G45" i="39"/>
  <c r="E30" i="39"/>
  <c r="I46" i="39"/>
  <c r="F31" i="39"/>
  <c r="K46" i="39"/>
  <c r="F32" i="39"/>
  <c r="K47" i="39" s="1"/>
  <c r="G45" i="38"/>
  <c r="E30" i="38"/>
  <c r="I47" i="38"/>
  <c r="G47" i="38"/>
  <c r="E46" i="38"/>
  <c r="F29" i="38"/>
  <c r="E47" i="38" s="1"/>
  <c r="E32" i="37"/>
  <c r="K45" i="37"/>
  <c r="G47" i="37"/>
  <c r="I47" i="37"/>
  <c r="F29" i="37"/>
  <c r="E47" i="37" s="1"/>
  <c r="E46" i="37"/>
  <c r="K46" i="36"/>
  <c r="F32" i="36"/>
  <c r="K47" i="36" s="1"/>
  <c r="F28" i="36"/>
  <c r="C47" i="36" s="1"/>
  <c r="C46" i="36"/>
  <c r="I46" i="36"/>
  <c r="F31" i="36"/>
  <c r="F29" i="36"/>
  <c r="E47" i="36" s="1"/>
  <c r="E46" i="36"/>
  <c r="E32" i="35"/>
  <c r="K45" i="35"/>
  <c r="G45" i="35"/>
  <c r="E30" i="35"/>
  <c r="E46" i="35"/>
  <c r="F29" i="35"/>
  <c r="E47" i="35" s="1"/>
  <c r="F28" i="35"/>
  <c r="C47" i="35" s="1"/>
  <c r="C46" i="35"/>
  <c r="I47" i="35"/>
  <c r="G47" i="35"/>
  <c r="I46" i="34"/>
  <c r="F31" i="34"/>
  <c r="K46" i="34"/>
  <c r="F32" i="34"/>
  <c r="K47" i="34" s="1"/>
  <c r="F28" i="34"/>
  <c r="C47" i="34" s="1"/>
  <c r="C46" i="34"/>
  <c r="F29" i="34"/>
  <c r="E47" i="34" s="1"/>
  <c r="E46" i="34"/>
  <c r="I45" i="32"/>
  <c r="E31" i="32"/>
  <c r="F32" i="32"/>
  <c r="K47" i="32" s="1"/>
  <c r="K46" i="32"/>
  <c r="F29" i="32"/>
  <c r="E47" i="32" s="1"/>
  <c r="E46" i="32"/>
  <c r="E29" i="30"/>
  <c r="F29" i="30" s="1"/>
  <c r="E47" i="30" s="1"/>
  <c r="E45" i="29"/>
  <c r="I47" i="30"/>
  <c r="G47" i="30"/>
  <c r="G45" i="30"/>
  <c r="E30" i="30"/>
  <c r="F32" i="30"/>
  <c r="K47" i="30" s="1"/>
  <c r="K46" i="30"/>
  <c r="E32" i="29"/>
  <c r="K45" i="29"/>
  <c r="E46" i="29"/>
  <c r="F29" i="29"/>
  <c r="E47" i="29" s="1"/>
  <c r="G45" i="29"/>
  <c r="E30" i="29"/>
  <c r="I47" i="29"/>
  <c r="G47" i="29"/>
  <c r="F28" i="29"/>
  <c r="C47" i="29" s="1"/>
  <c r="C46" i="29"/>
  <c r="K45" i="28"/>
  <c r="E32" i="28"/>
  <c r="C46" i="28"/>
  <c r="F28" i="28"/>
  <c r="C47" i="28" s="1"/>
  <c r="I47" i="28"/>
  <c r="G47" i="28"/>
  <c r="E46" i="28"/>
  <c r="F29" i="28"/>
  <c r="E47" i="28" s="1"/>
  <c r="F31" i="26"/>
  <c r="F32" i="26"/>
  <c r="F28" i="26"/>
  <c r="F30" i="26"/>
  <c r="G46" i="25"/>
  <c r="F30" i="25"/>
  <c r="F32" i="25"/>
  <c r="K47" i="25" s="1"/>
  <c r="K46" i="25"/>
  <c r="F31" i="25"/>
  <c r="I46" i="25"/>
  <c r="C46" i="25"/>
  <c r="F28" i="25"/>
  <c r="C47" i="25" s="1"/>
  <c r="E46" i="25"/>
  <c r="F29" i="25"/>
  <c r="E47" i="25" s="1"/>
  <c r="K43" i="24"/>
  <c r="A37" i="24"/>
  <c r="C32" i="24"/>
  <c r="I46" i="24"/>
  <c r="F31" i="24"/>
  <c r="F30" i="24"/>
  <c r="G46" i="24"/>
  <c r="E46" i="24"/>
  <c r="F29" i="24"/>
  <c r="E47" i="24" s="1"/>
  <c r="F30" i="23"/>
  <c r="G46" i="23"/>
  <c r="E46" i="23"/>
  <c r="F29" i="23"/>
  <c r="E47" i="23" s="1"/>
  <c r="I46" i="23"/>
  <c r="F31" i="23"/>
  <c r="I46" i="22"/>
  <c r="F31" i="22"/>
  <c r="F32" i="22"/>
  <c r="K47" i="22" s="1"/>
  <c r="K46" i="22"/>
  <c r="F29" i="22"/>
  <c r="E47" i="22" s="1"/>
  <c r="E46" i="22"/>
  <c r="F28" i="22"/>
  <c r="C47" i="22" s="1"/>
  <c r="C46" i="22"/>
  <c r="J47" i="21"/>
  <c r="H47" i="21"/>
  <c r="D47" i="21"/>
  <c r="F47" i="21"/>
  <c r="B47" i="21"/>
  <c r="I46" i="21"/>
  <c r="F31" i="21"/>
  <c r="E30" i="21"/>
  <c r="G45" i="21"/>
  <c r="F29" i="21"/>
  <c r="E47" i="21" s="1"/>
  <c r="E46" i="21"/>
  <c r="C45" i="21"/>
  <c r="E28" i="21"/>
  <c r="E32" i="21"/>
  <c r="K45" i="21"/>
  <c r="I43" i="11"/>
  <c r="D31" i="11"/>
  <c r="I45" i="11" s="1"/>
  <c r="A37" i="11"/>
  <c r="O4" i="11" s="1"/>
  <c r="E43" i="11"/>
  <c r="C29" i="11"/>
  <c r="E44" i="11" s="1"/>
  <c r="C46" i="20"/>
  <c r="F28" i="20"/>
  <c r="C47" i="20" s="1"/>
  <c r="E31" i="20"/>
  <c r="I45" i="20"/>
  <c r="F30" i="20"/>
  <c r="G46" i="20"/>
  <c r="F32" i="20"/>
  <c r="K47" i="20" s="1"/>
  <c r="K46" i="20"/>
  <c r="E46" i="20"/>
  <c r="F29" i="20"/>
  <c r="E47" i="20" s="1"/>
  <c r="K45" i="19"/>
  <c r="E32" i="19"/>
  <c r="G45" i="19"/>
  <c r="E30" i="19"/>
  <c r="C46" i="19"/>
  <c r="F28" i="19"/>
  <c r="C47" i="19" s="1"/>
  <c r="E31" i="19"/>
  <c r="I45" i="19"/>
  <c r="E46" i="19"/>
  <c r="F29" i="19"/>
  <c r="E47" i="19" s="1"/>
  <c r="C31" i="8"/>
  <c r="I44" i="8" s="1"/>
  <c r="A37" i="8"/>
  <c r="O4" i="8" s="1"/>
  <c r="E43" i="8"/>
  <c r="C29" i="8"/>
  <c r="E44" i="8" s="1"/>
  <c r="F29" i="18"/>
  <c r="E47" i="18" s="1"/>
  <c r="E46" i="18"/>
  <c r="I46" i="18"/>
  <c r="F31" i="18"/>
  <c r="F32" i="18"/>
  <c r="K47" i="18" s="1"/>
  <c r="K46" i="18"/>
  <c r="F30" i="18"/>
  <c r="G46" i="18"/>
  <c r="R29" i="7"/>
  <c r="R30" i="7" s="1"/>
  <c r="B32" i="7"/>
  <c r="A37" i="7" s="1"/>
  <c r="O4" i="7" s="1"/>
  <c r="AA27" i="7"/>
  <c r="AA28" i="7" s="1"/>
  <c r="AA29" i="7" s="1"/>
  <c r="AA30" i="7" s="1"/>
  <c r="AA31" i="7" s="1"/>
  <c r="AA32" i="7" s="1"/>
  <c r="AA33" i="7" s="1"/>
  <c r="AA34" i="7" s="1"/>
  <c r="AA35" i="7" s="1"/>
  <c r="AA36" i="7" s="1"/>
  <c r="AA37" i="7" s="1"/>
  <c r="E43" i="7"/>
  <c r="C31" i="7"/>
  <c r="I44" i="7" s="1"/>
  <c r="D29" i="7"/>
  <c r="E45" i="7" s="1"/>
  <c r="I46" i="17"/>
  <c r="F31" i="17"/>
  <c r="G46" i="17"/>
  <c r="F30" i="17"/>
  <c r="C32" i="11"/>
  <c r="K44" i="11" s="1"/>
  <c r="K43" i="11"/>
  <c r="D31" i="12"/>
  <c r="I45" i="12" s="1"/>
  <c r="B45" i="12"/>
  <c r="E27" i="12"/>
  <c r="F45" i="12"/>
  <c r="D45" i="12"/>
  <c r="J45" i="12"/>
  <c r="H45" i="12"/>
  <c r="D32" i="12"/>
  <c r="K44" i="12"/>
  <c r="E28" i="12"/>
  <c r="C45" i="12"/>
  <c r="G44" i="12"/>
  <c r="D30" i="12"/>
  <c r="E44" i="12"/>
  <c r="D29" i="12"/>
  <c r="G44" i="11"/>
  <c r="G45" i="11"/>
  <c r="E30" i="11"/>
  <c r="E28" i="11"/>
  <c r="C45" i="11"/>
  <c r="D45" i="11"/>
  <c r="J45" i="11"/>
  <c r="H45" i="11"/>
  <c r="F45" i="11"/>
  <c r="B45" i="11"/>
  <c r="E27" i="11"/>
  <c r="I44" i="9"/>
  <c r="D31" i="9"/>
  <c r="E44" i="9"/>
  <c r="D29" i="9"/>
  <c r="D32" i="9"/>
  <c r="K44" i="9"/>
  <c r="E28" i="9"/>
  <c r="C45" i="9"/>
  <c r="D30" i="9"/>
  <c r="G44" i="9"/>
  <c r="J45" i="9"/>
  <c r="F45" i="9"/>
  <c r="H45" i="9"/>
  <c r="D45" i="9"/>
  <c r="B45" i="9"/>
  <c r="E27" i="9"/>
  <c r="D32" i="8"/>
  <c r="K44" i="8"/>
  <c r="G45" i="8"/>
  <c r="E30" i="8"/>
  <c r="E28" i="8"/>
  <c r="C45" i="8"/>
  <c r="F45" i="8"/>
  <c r="H45" i="8"/>
  <c r="D45" i="8"/>
  <c r="B45" i="8"/>
  <c r="E27" i="8"/>
  <c r="J45" i="8"/>
  <c r="D30" i="7"/>
  <c r="G45" i="7" s="1"/>
  <c r="K43" i="7"/>
  <c r="D47" i="7"/>
  <c r="J47" i="7"/>
  <c r="F47" i="7"/>
  <c r="H47" i="7"/>
  <c r="B47" i="7"/>
  <c r="E28" i="7"/>
  <c r="C45" i="7"/>
  <c r="S40" i="48" l="1"/>
  <c r="X37" i="48"/>
  <c r="R38" i="48"/>
  <c r="G46" i="48"/>
  <c r="F30" i="48"/>
  <c r="I47" i="41"/>
  <c r="G47" i="41"/>
  <c r="G46" i="41"/>
  <c r="F30" i="41"/>
  <c r="F29" i="39"/>
  <c r="E47" i="39" s="1"/>
  <c r="F31" i="40"/>
  <c r="I46" i="40"/>
  <c r="I47" i="39"/>
  <c r="G47" i="39"/>
  <c r="G46" i="39"/>
  <c r="F30" i="39"/>
  <c r="G46" i="38"/>
  <c r="F30" i="38"/>
  <c r="F32" i="37"/>
  <c r="K47" i="37" s="1"/>
  <c r="K46" i="37"/>
  <c r="I47" i="36"/>
  <c r="G47" i="36"/>
  <c r="K46" i="35"/>
  <c r="F32" i="35"/>
  <c r="K47" i="35" s="1"/>
  <c r="G46" i="35"/>
  <c r="F30" i="35"/>
  <c r="I47" i="34"/>
  <c r="G47" i="34"/>
  <c r="I46" i="32"/>
  <c r="F31" i="32"/>
  <c r="E46" i="30"/>
  <c r="G46" i="30"/>
  <c r="F30" i="30"/>
  <c r="F32" i="29"/>
  <c r="K47" i="29" s="1"/>
  <c r="K46" i="29"/>
  <c r="G46" i="29"/>
  <c r="F30" i="29"/>
  <c r="F32" i="28"/>
  <c r="K47" i="28" s="1"/>
  <c r="K46" i="28"/>
  <c r="I47" i="25"/>
  <c r="G47" i="25"/>
  <c r="D32" i="24"/>
  <c r="K44" i="24"/>
  <c r="I47" i="24"/>
  <c r="G47" i="24"/>
  <c r="I47" i="23"/>
  <c r="G47" i="23"/>
  <c r="I47" i="22"/>
  <c r="G47" i="22"/>
  <c r="G46" i="21"/>
  <c r="F30" i="21"/>
  <c r="I47" i="21"/>
  <c r="G47" i="21"/>
  <c r="K46" i="21"/>
  <c r="F32" i="21"/>
  <c r="K47" i="21" s="1"/>
  <c r="F28" i="21"/>
  <c r="C47" i="21" s="1"/>
  <c r="C46" i="21"/>
  <c r="D29" i="11"/>
  <c r="E45" i="11" s="1"/>
  <c r="E31" i="11"/>
  <c r="F31" i="11" s="1"/>
  <c r="D32" i="11"/>
  <c r="E32" i="11" s="1"/>
  <c r="F31" i="20"/>
  <c r="I46" i="20"/>
  <c r="F32" i="19"/>
  <c r="K47" i="19" s="1"/>
  <c r="K46" i="19"/>
  <c r="I46" i="19"/>
  <c r="F31" i="19"/>
  <c r="G46" i="19"/>
  <c r="F30" i="19"/>
  <c r="D31" i="8"/>
  <c r="I45" i="8" s="1"/>
  <c r="D29" i="8"/>
  <c r="E45" i="8" s="1"/>
  <c r="I47" i="18"/>
  <c r="G47" i="18"/>
  <c r="R31" i="7"/>
  <c r="C32" i="7"/>
  <c r="K44" i="7" s="1"/>
  <c r="D31" i="7"/>
  <c r="I45" i="7" s="1"/>
  <c r="E29" i="7"/>
  <c r="F29" i="7" s="1"/>
  <c r="E47" i="7" s="1"/>
  <c r="I47" i="17"/>
  <c r="G47" i="17"/>
  <c r="E31" i="12"/>
  <c r="F31" i="12" s="1"/>
  <c r="E32" i="12"/>
  <c r="K45" i="12"/>
  <c r="E45" i="12"/>
  <c r="E29" i="12"/>
  <c r="H46" i="12"/>
  <c r="F46" i="12"/>
  <c r="F27" i="12"/>
  <c r="D46" i="12"/>
  <c r="B46" i="12"/>
  <c r="J46" i="12"/>
  <c r="C46" i="12"/>
  <c r="F28" i="12"/>
  <c r="C47" i="12" s="1"/>
  <c r="G45" i="12"/>
  <c r="E30" i="12"/>
  <c r="F28" i="11"/>
  <c r="C47" i="11" s="1"/>
  <c r="C46" i="11"/>
  <c r="B46" i="11"/>
  <c r="J46" i="11"/>
  <c r="H46" i="11"/>
  <c r="F46" i="11"/>
  <c r="F27" i="11"/>
  <c r="D46" i="11"/>
  <c r="F30" i="11"/>
  <c r="G46" i="11"/>
  <c r="E31" i="9"/>
  <c r="I45" i="9"/>
  <c r="G45" i="9"/>
  <c r="E30" i="9"/>
  <c r="C46" i="9"/>
  <c r="F28" i="9"/>
  <c r="C47" i="9" s="1"/>
  <c r="K45" i="9"/>
  <c r="E32" i="9"/>
  <c r="H46" i="9"/>
  <c r="F46" i="9"/>
  <c r="F27" i="9"/>
  <c r="D46" i="9"/>
  <c r="B46" i="9"/>
  <c r="J46" i="9"/>
  <c r="E29" i="9"/>
  <c r="E45" i="9"/>
  <c r="H46" i="8"/>
  <c r="F46" i="8"/>
  <c r="B46" i="8"/>
  <c r="J46" i="8"/>
  <c r="D46" i="8"/>
  <c r="F27" i="8"/>
  <c r="K45" i="8"/>
  <c r="E32" i="8"/>
  <c r="F28" i="8"/>
  <c r="C47" i="8" s="1"/>
  <c r="C46" i="8"/>
  <c r="F30" i="8"/>
  <c r="G46" i="8"/>
  <c r="E30" i="7"/>
  <c r="G46" i="7" s="1"/>
  <c r="C46" i="7"/>
  <c r="F28" i="7"/>
  <c r="C47" i="7" s="1"/>
  <c r="S41" i="48" l="1"/>
  <c r="S42" i="48" s="1"/>
  <c r="S43" i="48" s="1"/>
  <c r="X38" i="48"/>
  <c r="R39" i="48"/>
  <c r="G47" i="40"/>
  <c r="I47" i="40"/>
  <c r="G47" i="32"/>
  <c r="I47" i="32"/>
  <c r="E32" i="24"/>
  <c r="K45" i="24"/>
  <c r="I46" i="11"/>
  <c r="E29" i="11"/>
  <c r="E46" i="11" s="1"/>
  <c r="K45" i="11"/>
  <c r="G47" i="20"/>
  <c r="I47" i="20"/>
  <c r="I47" i="19"/>
  <c r="G47" i="19"/>
  <c r="E31" i="8"/>
  <c r="I46" i="8" s="1"/>
  <c r="E29" i="8"/>
  <c r="F29" i="8" s="1"/>
  <c r="E47" i="8" s="1"/>
  <c r="R32" i="7"/>
  <c r="D32" i="7"/>
  <c r="K45" i="7" s="1"/>
  <c r="E31" i="7"/>
  <c r="I46" i="7" s="1"/>
  <c r="E46" i="7"/>
  <c r="I46" i="12"/>
  <c r="F30" i="12"/>
  <c r="G46" i="12"/>
  <c r="F32" i="12"/>
  <c r="K47" i="12" s="1"/>
  <c r="K46" i="12"/>
  <c r="J47" i="12"/>
  <c r="F47" i="12"/>
  <c r="D47" i="12"/>
  <c r="H47" i="12"/>
  <c r="B47" i="12"/>
  <c r="G47" i="12"/>
  <c r="I47" i="12"/>
  <c r="E46" i="12"/>
  <c r="F29" i="12"/>
  <c r="E47" i="12" s="1"/>
  <c r="H47" i="11"/>
  <c r="J47" i="11"/>
  <c r="D47" i="11"/>
  <c r="B47" i="11"/>
  <c r="F47" i="11"/>
  <c r="I47" i="11"/>
  <c r="G47" i="11"/>
  <c r="F32" i="11"/>
  <c r="K47" i="11" s="1"/>
  <c r="K46" i="11"/>
  <c r="F31" i="9"/>
  <c r="I46" i="9"/>
  <c r="K46" i="9"/>
  <c r="F32" i="9"/>
  <c r="K47" i="9" s="1"/>
  <c r="J47" i="9"/>
  <c r="H47" i="9"/>
  <c r="F47" i="9"/>
  <c r="D47" i="9"/>
  <c r="B47" i="9"/>
  <c r="E46" i="9"/>
  <c r="F29" i="9"/>
  <c r="E47" i="9" s="1"/>
  <c r="F30" i="9"/>
  <c r="G46" i="9"/>
  <c r="F32" i="8"/>
  <c r="K47" i="8" s="1"/>
  <c r="K46" i="8"/>
  <c r="J47" i="8"/>
  <c r="H47" i="8"/>
  <c r="F47" i="8"/>
  <c r="B47" i="8"/>
  <c r="D47" i="8"/>
  <c r="F30" i="7"/>
  <c r="E32" i="7"/>
  <c r="X39" i="48" l="1"/>
  <c r="R40" i="48"/>
  <c r="F32" i="24"/>
  <c r="K47" i="24" s="1"/>
  <c r="K46" i="24"/>
  <c r="F29" i="11"/>
  <c r="E47" i="11" s="1"/>
  <c r="F31" i="8"/>
  <c r="I47" i="8" s="1"/>
  <c r="E46" i="8"/>
  <c r="R33" i="7"/>
  <c r="F31" i="7"/>
  <c r="I47" i="7" s="1"/>
  <c r="I47" i="9"/>
  <c r="G47" i="9"/>
  <c r="F32" i="7"/>
  <c r="K47" i="7" s="1"/>
  <c r="K46" i="7"/>
  <c r="X40" i="48" l="1"/>
  <c r="R41" i="48"/>
  <c r="G47" i="8"/>
  <c r="R34" i="7"/>
  <c r="R35" i="7" s="1"/>
  <c r="R36" i="7" s="1"/>
  <c r="G47" i="7"/>
  <c r="X41" i="48" l="1"/>
  <c r="R42" i="48"/>
  <c r="R37" i="7"/>
  <c r="R3" i="26"/>
  <c r="B29" i="26" s="1"/>
  <c r="C29" i="26" s="1"/>
  <c r="D29" i="26" s="1"/>
  <c r="E29" i="26" s="1"/>
  <c r="F29" i="26" s="1"/>
  <c r="X42" i="48" l="1"/>
  <c r="R43" i="48"/>
  <c r="T4" i="26"/>
  <c r="R33" i="26"/>
  <c r="R34" i="26" s="1"/>
  <c r="R35" i="26" s="1"/>
  <c r="R36" i="26" s="1"/>
  <c r="R37" i="26" s="1"/>
  <c r="R38" i="26" s="1"/>
  <c r="R39" i="26" s="1"/>
  <c r="R40" i="26" s="1"/>
  <c r="R41" i="26" s="1"/>
  <c r="R42" i="26" s="1"/>
  <c r="R43" i="26" s="1"/>
  <c r="X43" i="48" l="1"/>
</calcChain>
</file>

<file path=xl/sharedStrings.xml><?xml version="1.0" encoding="utf-8"?>
<sst xmlns="http://schemas.openxmlformats.org/spreadsheetml/2006/main" count="3485" uniqueCount="240">
  <si>
    <t>Vitality</t>
  </si>
  <si>
    <t>Strength</t>
  </si>
  <si>
    <t>Metabolic</t>
  </si>
  <si>
    <t>Mobility</t>
  </si>
  <si>
    <t>Cognitive</t>
  </si>
  <si>
    <t>Present</t>
  </si>
  <si>
    <t>10 years time</t>
  </si>
  <si>
    <t>Chronological</t>
  </si>
  <si>
    <t>Functional Biological Age</t>
  </si>
  <si>
    <t>20 Years time</t>
  </si>
  <si>
    <t>Thirty years</t>
  </si>
  <si>
    <t>40 years</t>
  </si>
  <si>
    <t>Age</t>
  </si>
  <si>
    <t>Pillar</t>
  </si>
  <si>
    <t>Metric</t>
  </si>
  <si>
    <t>VO2 max (ml/kg/min)</t>
  </si>
  <si>
    <t>FEV1 (% predicted)</t>
  </si>
  <si>
    <t>Strength &amp; Power</t>
  </si>
  <si>
    <t>Grip strength (kg)</t>
  </si>
  <si>
    <t>STS Power (W/kg)</t>
  </si>
  <si>
    <t>Vertical jump (cm)</t>
  </si>
  <si>
    <t>Metabolic Health</t>
  </si>
  <si>
    <t>Body fat (%)</t>
  </si>
  <si>
    <t>Waist to height ratio</t>
  </si>
  <si>
    <t>Fasting glucose (mmol/L)</t>
  </si>
  <si>
    <t>HbA1c (%)</t>
  </si>
  <si>
    <t>HOMA IR</t>
  </si>
  <si>
    <t>ApoB (g/L)</t>
  </si>
  <si>
    <t>hsCRP (mg/L)</t>
  </si>
  <si>
    <t>Functional Mobility</t>
  </si>
  <si>
    <t>Gait speed (m/s)</t>
  </si>
  <si>
    <t>Timed Up and Go (sec)</t>
  </si>
  <si>
    <t>Single leg stance (sec)</t>
  </si>
  <si>
    <t>Sit and reach (cm)</t>
  </si>
  <si>
    <t>Cognitive Performance</t>
  </si>
  <si>
    <t>Processing speed (SD)</t>
  </si>
  <si>
    <t>Working memory (SD)</t>
  </si>
  <si>
    <t>Overall Decline predicitons</t>
  </si>
  <si>
    <t>10 Years (49)</t>
  </si>
  <si>
    <t>20 Years (59)</t>
  </si>
  <si>
    <t>30 Years (69)</t>
  </si>
  <si>
    <t>40 Years (79)</t>
  </si>
  <si>
    <t>Combined Scores</t>
  </si>
  <si>
    <t>Sex</t>
  </si>
  <si>
    <t>Male</t>
  </si>
  <si>
    <t>Age Group</t>
  </si>
  <si>
    <t>10th (Poor)</t>
  </si>
  <si>
    <t>25th (Fair)</t>
  </si>
  <si>
    <t>50th (Average)</t>
  </si>
  <si>
    <t>75th (Good)</t>
  </si>
  <si>
    <t>90th (Excellent)</t>
  </si>
  <si>
    <t>95th (Superior)</t>
  </si>
  <si>
    <t>20-29</t>
  </si>
  <si>
    <t>30-39</t>
  </si>
  <si>
    <t>40-49</t>
  </si>
  <si>
    <t>50-59</t>
  </si>
  <si>
    <t>60-69</t>
  </si>
  <si>
    <t>70-79</t>
  </si>
  <si>
    <t>VO2 Max Male</t>
  </si>
  <si>
    <t>VO2 Max Female</t>
  </si>
  <si>
    <t>Height (inches)</t>
  </si>
  <si>
    <t>Height (cm)</t>
  </si>
  <si>
    <t>Peak Male FEV1 (Liters)</t>
  </si>
  <si>
    <t>Peak Female FEV1 (Liters)</t>
  </si>
  <si>
    <t>FEV1</t>
  </si>
  <si>
    <t>6 foot</t>
  </si>
  <si>
    <t>5 foot</t>
  </si>
  <si>
    <t>Male Grip (kg)</t>
  </si>
  <si>
    <t>Female Grip (kg)</t>
  </si>
  <si>
    <t>Grip Strength</t>
  </si>
  <si>
    <t>Source: https://journals.plos.org/plosone/article?id=10.1371/journal.pone.0113637</t>
  </si>
  <si>
    <t>Male Jump (cm)</t>
  </si>
  <si>
    <t>Female Jump (cm)</t>
  </si>
  <si>
    <t>Vertical Jump</t>
  </si>
  <si>
    <t>https://go.gale.com/ps/i.do?id=GALE%7CA649711026&amp;sid=googleScholar&amp;v=2.1&amp;it=r&amp;linkaccess=abs&amp;issn=08406529&amp;p=AONE&amp;sw=w&amp;userGroupName=anon%7Eda6c86b0&amp;aty=open-web-entry</t>
  </si>
  <si>
    <t>Sit to Stand</t>
  </si>
  <si>
    <t>Male Power (W/kg)</t>
  </si>
  <si>
    <t>Female Power (W/kg)</t>
  </si>
  <si>
    <t>https://www.nature.com/articles/s41598-020-73395-4</t>
  </si>
  <si>
    <t>Male (m/s)</t>
  </si>
  <si>
    <t>Female (m/s)</t>
  </si>
  <si>
    <t>Gait Speed</t>
  </si>
  <si>
    <t>Male (sec)</t>
  </si>
  <si>
    <t>Female (sec)</t>
  </si>
  <si>
    <t>TUG</t>
  </si>
  <si>
    <t>Single Leg Stance</t>
  </si>
  <si>
    <t>Male (cm)</t>
  </si>
  <si>
    <t>Female (cm)</t>
  </si>
  <si>
    <t>Sit and Reach</t>
  </si>
  <si>
    <t>Metabolic Index</t>
  </si>
  <si>
    <t>Metabolic Z score</t>
  </si>
  <si>
    <t>Persona</t>
  </si>
  <si>
    <t>Marcus</t>
  </si>
  <si>
    <t>Detail</t>
  </si>
  <si>
    <t>Marcus works a high-stress finance job but spends his entire weekend mountain biking and playing recreational rugby. He thinks he is fitter than he actually is and relies on youth rather than consistent training to get by.</t>
  </si>
  <si>
    <t>Elena</t>
  </si>
  <si>
    <t>Elena is a former competitive marathon runner who now focuses on swimming and yoga. She is incredibly disciplined with her diet but has noticed a loss of explosive power as she enters menopause.</t>
  </si>
  <si>
    <t xml:space="preserve"> Jayden is a professional e-sports player. While his cognitive reaction times are elite, he survives on energy drinks and fast food, rarely leaving his chair for physical activity.</t>
  </si>
  <si>
    <t>Jayden</t>
  </si>
  <si>
    <t>Arthur</t>
  </si>
  <si>
    <t>Arthur worked in construction his whole life and still lifts heavy weights in his garage. He eats a high-meat diet and ignores cardio, prioritizing raw strength to "stay useful" around the house.</t>
  </si>
  <si>
    <t>Sophie</t>
  </si>
  <si>
    <t>Sophie tracks every metric religiously, practices intermittent fasting, and takes various supplements to optimize longevity. She aims for perfectly balanced metrics rather than excelling in just one sport</t>
  </si>
  <si>
    <t>Chronological Age</t>
  </si>
  <si>
    <t>Graphing</t>
  </si>
  <si>
    <t>Strength Decline</t>
  </si>
  <si>
    <t>Vitality Decline</t>
  </si>
  <si>
    <t>Metabolic Decline</t>
  </si>
  <si>
    <t>Mobility Decline</t>
  </si>
  <si>
    <t>Cognitive Decline</t>
  </si>
  <si>
    <t>Vitality Decline of an average 30 Year old Man</t>
  </si>
  <si>
    <t>Strength Decline of an average 30 Year old Man</t>
  </si>
  <si>
    <t>Metabolic Decline of an average 30 Year old Man</t>
  </si>
  <si>
    <t>Mobility Decline of an average 30 Year old Man</t>
  </si>
  <si>
    <t>Cognitive Decline of an average 30 Year old Man</t>
  </si>
  <si>
    <t>Vitality Decline of an average 50 Year old Woman</t>
  </si>
  <si>
    <t>Strength Decline of an average 50 Year old Woman</t>
  </si>
  <si>
    <t>Metabolic Decline of an average 50 Year old Woman</t>
  </si>
  <si>
    <t>Mobility Decline of an average 50 Year old Woman</t>
  </si>
  <si>
    <t>Cognitive Decline of an average 50 Year old Woman</t>
  </si>
  <si>
    <t xml:space="preserve">Strength Decline </t>
  </si>
  <si>
    <t xml:space="preserve">Metabolic Decline </t>
  </si>
  <si>
    <t xml:space="preserve">Mobility Decline </t>
  </si>
  <si>
    <t xml:space="preserve">Cognitive Decline </t>
  </si>
  <si>
    <t>Vitality Decline of an average 20 Year old Man</t>
  </si>
  <si>
    <t>Strength Decline of an average 20 Year old Man</t>
  </si>
  <si>
    <t>Metabolic Decline of an average 20 Year old Man</t>
  </si>
  <si>
    <t>Mobility Decline of an average 20 Year old Man</t>
  </si>
  <si>
    <t>Cognitive Decline of an average 20 Year old Man</t>
  </si>
  <si>
    <t xml:space="preserve"> h</t>
  </si>
  <si>
    <t>Vitality Decline of an average 60 Year old Man</t>
  </si>
  <si>
    <t>Strength Decline of an average 60 Year old Man</t>
  </si>
  <si>
    <t>Metabolic Decline of an average 60 Year old Man</t>
  </si>
  <si>
    <t>Mobility Decline of an average 60 Year old Man</t>
  </si>
  <si>
    <t>Cognitive Decline of an average 60 Year old Man</t>
  </si>
  <si>
    <t>Claire</t>
  </si>
  <si>
    <t>Claire is a Chief Operating Officer who runs her life with the same ruthlessness as her company. She sleeps an average of 5 hours a night and manages chronic stress with expensive wine and occasional high-intensity personal training sessions. While her cognitive function is sharp and her external appearance is polished, her internal markers reveal the toll of high cortisol and sleep deprivation.</t>
  </si>
  <si>
    <t>Vitality Decline of an average 40 Year old Man</t>
  </si>
  <si>
    <t>Strength Decline of an average 40 Year old Man</t>
  </si>
  <si>
    <t>Metabolic Decline of an average 40 Year old Man</t>
  </si>
  <si>
    <t>Mobility Decline of an average 40 Year old Man</t>
  </si>
  <si>
    <t>Cognitive Decline of an average 40 Year old Man</t>
  </si>
  <si>
    <t>Bio</t>
  </si>
  <si>
    <t>Female</t>
  </si>
  <si>
    <t xml:space="preserve">Bio </t>
  </si>
  <si>
    <t>The Metabolic Risk
Profile: Carrying significant visceral fat. Strength is okay, but cardio and metabolic health are dangerous.
Performance: Bad metabolic, Average strength, Poor cardio.</t>
  </si>
  <si>
    <t>bio</t>
  </si>
  <si>
    <t xml:space="preserve">Vitality Decline </t>
  </si>
  <si>
    <t>Vitality Decline of an average 50 Year old Man</t>
  </si>
  <si>
    <t>Strength Decline of an average 50 Year old Man</t>
  </si>
  <si>
    <t>Metabolic Decline of an average 50 Year old Man</t>
  </si>
  <si>
    <t>Mobility Decline of an average 50 Year old Man</t>
  </si>
  <si>
    <t>Cognitive Decline of an average 50 Year old Man</t>
  </si>
  <si>
    <t>Vitality Decline of an average 40 Year old Woman</t>
  </si>
  <si>
    <t>Strength Decline of an average 40 Year old Woman</t>
  </si>
  <si>
    <t>Metabolic Decline of an average 40 Year old Woman</t>
  </si>
  <si>
    <t>Mobility Decline of an average 40 Year old Woman</t>
  </si>
  <si>
    <t>Cognitive Decline of an average 40 Year old Woman</t>
  </si>
  <si>
    <t>VO2 Max Taken from the Cooper Institue for Aerobics Research Dallas TX</t>
  </si>
  <si>
    <t>You should use a spirometry software package that calculates predicted FEV1 values (and other lung function parameters) based on Global Lung Function Initiative (GLI) 2012 reference equations, inputting the individual's age, sex, height, and ethnicity</t>
  </si>
  <si>
    <t>linked article references canadian health measures suvery which is where normative data originates from</t>
  </si>
  <si>
    <t>Derived from Toledo study for healthy aging in spain</t>
  </si>
  <si>
    <t>Male (Comfortable)</t>
  </si>
  <si>
    <t>Male (Maximum)</t>
  </si>
  <si>
    <t>Female (Comfortable)</t>
  </si>
  <si>
    <t>Female (Maximum)</t>
  </si>
  <si>
    <t>20–29</t>
  </si>
  <si>
    <r>
      <t>2.47</t>
    </r>
    <r>
      <rPr>
        <sz val="10"/>
        <color rgb="FF303030"/>
        <rFont val="Segoe UI"/>
        <family val="2"/>
      </rPr>
      <t> (</t>
    </r>
    <r>
      <rPr>
        <sz val="13.3"/>
        <color rgb="FF303030"/>
        <rFont val="Times New Roman"/>
        <family val="1"/>
      </rPr>
      <t>0.25</t>
    </r>
    <r>
      <rPr>
        <sz val="10"/>
        <color rgb="FF303030"/>
        <rFont val="Segoe UI"/>
        <family val="2"/>
      </rPr>
      <t>)</t>
    </r>
  </si>
  <si>
    <t>30–39</t>
  </si>
  <si>
    <t>40–49</t>
  </si>
  <si>
    <t>50–59</t>
  </si>
  <si>
    <t>60–69</t>
  </si>
  <si>
    <t>70–79</t>
  </si>
  <si>
    <t>Gait speed</t>
  </si>
  <si>
    <t>Bohannon norms Gait speed
Link: https://academic.oup.com/ageing/article-abstract/26/1/15/35875?redirectedFrom=fulltext&amp;login=false</t>
  </si>
  <si>
    <t>Mean Time (Seconds)</t>
  </si>
  <si>
    <t>95% Confidence Interval</t>
  </si>
  <si>
    <r>
      <t>7.1</t>
    </r>
    <r>
      <rPr>
        <sz val="10"/>
        <color rgb="FF303030"/>
        <rFont val="Segoe UI"/>
        <family val="2"/>
      </rPr>
      <t> – </t>
    </r>
    <r>
      <rPr>
        <sz val="13.3"/>
        <color rgb="FF303030"/>
        <rFont val="Times New Roman"/>
        <family val="1"/>
      </rPr>
      <t>9.0</t>
    </r>
  </si>
  <si>
    <r>
      <t>8.2</t>
    </r>
    <r>
      <rPr>
        <sz val="10"/>
        <color rgb="FF303030"/>
        <rFont val="Segoe UI"/>
        <family val="2"/>
      </rPr>
      <t> – </t>
    </r>
    <r>
      <rPr>
        <sz val="13.3"/>
        <color rgb="FF303030"/>
        <rFont val="Times New Roman"/>
        <family val="1"/>
      </rPr>
      <t>10.2</t>
    </r>
  </si>
  <si>
    <t>80–99</t>
  </si>
  <si>
    <r>
      <t>10.0</t>
    </r>
    <r>
      <rPr>
        <sz val="10"/>
        <color rgb="FF303030"/>
        <rFont val="Segoe UI"/>
        <family val="2"/>
      </rPr>
      <t> – </t>
    </r>
    <r>
      <rPr>
        <sz val="13.3"/>
        <color rgb="FF303030"/>
        <rFont val="Times New Roman"/>
        <family val="1"/>
      </rPr>
      <t>12.7</t>
    </r>
  </si>
  <si>
    <t>Timed up and go</t>
  </si>
  <si>
    <t>The Real "Gold Standard" Data
The most cited and reliable source for Timed Up and Go (TUG) norms comes from the meta-analysis by Bohannon (2006).
Source: Reference values for the Timed Up and Go Test: A Descriptive Meta-Analysis, published in the Journal of Geriatric Physical Therapy.
Here is the Bohannon (2006) data. You will notice it doesn't bother with ages under 60, because the test is clinically irrelevant for younger populations unless they have a specific injury.</t>
  </si>
  <si>
    <t>Seems to based off Kearney, P. M., et al. (2013). "Cohort Profile: The Irish Longitudinal Study on Ageing." International Journal of Epidemiology, 40(4), 877-884.</t>
  </si>
  <si>
    <r>
      <t>Eyes OPEN (Mean </t>
    </r>
    <r>
      <rPr>
        <sz val="13.3"/>
        <color rgb="FF303030"/>
        <rFont val="Times New Roman"/>
        <family val="1"/>
      </rPr>
      <t>±</t>
    </r>
    <r>
      <rPr>
        <sz val="10"/>
        <color rgb="FF303030"/>
        <rFont val="Segoe UI"/>
        <family val="2"/>
      </rPr>
      <t> SD)</t>
    </r>
  </si>
  <si>
    <r>
      <t>Eyes CLOSED (Mean </t>
    </r>
    <r>
      <rPr>
        <sz val="13.3"/>
        <color rgb="FF303030"/>
        <rFont val="Times New Roman"/>
        <family val="1"/>
      </rPr>
      <t>±</t>
    </r>
    <r>
      <rPr>
        <sz val="10"/>
        <color rgb="FF303030"/>
        <rFont val="Segoe UI"/>
        <family val="2"/>
      </rPr>
      <t> SD)</t>
    </r>
  </si>
  <si>
    <t>18–39</t>
  </si>
  <si>
    <r>
      <t>45.1</t>
    </r>
    <r>
      <rPr>
        <sz val="10"/>
        <color rgb="FF303030"/>
        <rFont val="Segoe UI"/>
        <family val="2"/>
      </rPr>
      <t> (</t>
    </r>
    <r>
      <rPr>
        <sz val="13.3"/>
        <color rgb="FF303030"/>
        <rFont val="Times New Roman"/>
        <family val="1"/>
      </rPr>
      <t>±0.1</t>
    </r>
    <r>
      <rPr>
        <sz val="10"/>
        <color rgb="FF303030"/>
        <rFont val="Segoe UI"/>
        <family val="2"/>
      </rPr>
      <t>)</t>
    </r>
  </si>
  <si>
    <r>
      <t>13.1</t>
    </r>
    <r>
      <rPr>
        <sz val="10"/>
        <color rgb="FF303030"/>
        <rFont val="Segoe UI"/>
        <family val="2"/>
      </rPr>
      <t> (</t>
    </r>
    <r>
      <rPr>
        <sz val="13.3"/>
        <color rgb="FF303030"/>
        <rFont val="Times New Roman"/>
        <family val="1"/>
      </rPr>
      <t>±10.3</t>
    </r>
    <r>
      <rPr>
        <sz val="10"/>
        <color rgb="FF303030"/>
        <rFont val="Segoe UI"/>
        <family val="2"/>
      </rPr>
      <t>)</t>
    </r>
  </si>
  <si>
    <r>
      <t>42.1</t>
    </r>
    <r>
      <rPr>
        <sz val="10"/>
        <color rgb="FF303030"/>
        <rFont val="Segoe UI"/>
        <family val="2"/>
      </rPr>
      <t> (</t>
    </r>
    <r>
      <rPr>
        <sz val="13.3"/>
        <color rgb="FF303030"/>
        <rFont val="Times New Roman"/>
        <family val="1"/>
      </rPr>
      <t>±9.5</t>
    </r>
    <r>
      <rPr>
        <sz val="10"/>
        <color rgb="FF303030"/>
        <rFont val="Segoe UI"/>
        <family val="2"/>
      </rPr>
      <t>)</t>
    </r>
  </si>
  <si>
    <r>
      <t>13.5</t>
    </r>
    <r>
      <rPr>
        <sz val="10"/>
        <color rgb="FF303030"/>
        <rFont val="Segoe UI"/>
        <family val="2"/>
      </rPr>
      <t> (</t>
    </r>
    <r>
      <rPr>
        <sz val="13.3"/>
        <color rgb="FF303030"/>
        <rFont val="Times New Roman"/>
        <family val="1"/>
      </rPr>
      <t>±8.8</t>
    </r>
    <r>
      <rPr>
        <sz val="10"/>
        <color rgb="FF303030"/>
        <rFont val="Segoe UI"/>
        <family val="2"/>
      </rPr>
      <t>)</t>
    </r>
  </si>
  <si>
    <r>
      <t>40.9</t>
    </r>
    <r>
      <rPr>
        <sz val="10"/>
        <color rgb="FF303030"/>
        <rFont val="Segoe UI"/>
        <family val="2"/>
      </rPr>
      <t> (</t>
    </r>
    <r>
      <rPr>
        <sz val="13.3"/>
        <color rgb="FF303030"/>
        <rFont val="Times New Roman"/>
        <family val="1"/>
      </rPr>
      <t>±9.9</t>
    </r>
    <r>
      <rPr>
        <sz val="10"/>
        <color rgb="FF303030"/>
        <rFont val="Segoe UI"/>
        <family val="2"/>
      </rPr>
      <t>)</t>
    </r>
  </si>
  <si>
    <r>
      <t>7.9</t>
    </r>
    <r>
      <rPr>
        <sz val="10"/>
        <color rgb="FF303030"/>
        <rFont val="Segoe UI"/>
        <family val="2"/>
      </rPr>
      <t> (</t>
    </r>
    <r>
      <rPr>
        <sz val="13.3"/>
        <color rgb="FF303030"/>
        <rFont val="Times New Roman"/>
        <family val="1"/>
      </rPr>
      <t>±6.6</t>
    </r>
    <r>
      <rPr>
        <sz val="10"/>
        <color rgb="FF303030"/>
        <rFont val="Segoe UI"/>
        <family val="2"/>
      </rPr>
      <t>)</t>
    </r>
  </si>
  <si>
    <r>
      <t>30.4</t>
    </r>
    <r>
      <rPr>
        <sz val="10"/>
        <color rgb="FF303030"/>
        <rFont val="Segoe UI"/>
        <family val="2"/>
      </rPr>
      <t> (</t>
    </r>
    <r>
      <rPr>
        <sz val="13.3"/>
        <color rgb="FF303030"/>
        <rFont val="Times New Roman"/>
        <family val="1"/>
      </rPr>
      <t>±16.4</t>
    </r>
    <r>
      <rPr>
        <sz val="10"/>
        <color rgb="FF303030"/>
        <rFont val="Segoe UI"/>
        <family val="2"/>
      </rPr>
      <t>)</t>
    </r>
  </si>
  <si>
    <r>
      <t>3.7</t>
    </r>
    <r>
      <rPr>
        <sz val="10"/>
        <color rgb="FF303030"/>
        <rFont val="Segoe UI"/>
        <family val="2"/>
      </rPr>
      <t> (</t>
    </r>
    <r>
      <rPr>
        <sz val="13.3"/>
        <color rgb="FF303030"/>
        <rFont val="Times New Roman"/>
        <family val="1"/>
      </rPr>
      <t>±1.8</t>
    </r>
    <r>
      <rPr>
        <sz val="10"/>
        <color rgb="FF303030"/>
        <rFont val="Segoe UI"/>
        <family val="2"/>
      </rPr>
      <t>)</t>
    </r>
  </si>
  <si>
    <r>
      <t>16.7</t>
    </r>
    <r>
      <rPr>
        <sz val="10"/>
        <color rgb="FF303030"/>
        <rFont val="Segoe UI"/>
        <family val="2"/>
      </rPr>
      <t> (</t>
    </r>
    <r>
      <rPr>
        <sz val="13.3"/>
        <color rgb="FF303030"/>
        <rFont val="Times New Roman"/>
        <family val="1"/>
      </rPr>
      <t>±15.3</t>
    </r>
    <r>
      <rPr>
        <sz val="10"/>
        <color rgb="FF303030"/>
        <rFont val="Segoe UI"/>
        <family val="2"/>
      </rPr>
      <t>)</t>
    </r>
  </si>
  <si>
    <r>
      <t>2.5</t>
    </r>
    <r>
      <rPr>
        <sz val="10"/>
        <color rgb="FF303030"/>
        <rFont val="Segoe UI"/>
        <family val="2"/>
      </rPr>
      <t> (</t>
    </r>
    <r>
      <rPr>
        <sz val="13.3"/>
        <color rgb="FF303030"/>
        <rFont val="Times New Roman"/>
        <family val="1"/>
      </rPr>
      <t>±1.6</t>
    </r>
    <r>
      <rPr>
        <sz val="10"/>
        <color rgb="FF303030"/>
        <rFont val="Segoe UI"/>
        <family val="2"/>
      </rPr>
      <t>)</t>
    </r>
  </si>
  <si>
    <r>
      <t>10.6</t>
    </r>
    <r>
      <rPr>
        <sz val="10"/>
        <color rgb="FF303030"/>
        <rFont val="Segoe UI"/>
        <family val="2"/>
      </rPr>
      <t> (</t>
    </r>
    <r>
      <rPr>
        <sz val="13.3"/>
        <color rgb="FF303030"/>
        <rFont val="Times New Roman"/>
        <family val="1"/>
      </rPr>
      <t>±12.9</t>
    </r>
    <r>
      <rPr>
        <sz val="10"/>
        <color rgb="FF303030"/>
        <rFont val="Segoe UI"/>
        <family val="2"/>
      </rPr>
      <t>)</t>
    </r>
  </si>
  <si>
    <r>
      <t>1.8</t>
    </r>
    <r>
      <rPr>
        <sz val="10"/>
        <color rgb="FF303030"/>
        <rFont val="Segoe UI"/>
        <family val="2"/>
      </rPr>
      <t> (</t>
    </r>
    <r>
      <rPr>
        <sz val="13.3"/>
        <color rgb="FF303030"/>
        <rFont val="Times New Roman"/>
        <family val="1"/>
      </rPr>
      <t>±1.4</t>
    </r>
    <r>
      <rPr>
        <sz val="10"/>
        <color rgb="FF303030"/>
        <rFont val="Segoe UI"/>
        <family val="2"/>
      </rPr>
      <t>)</t>
    </r>
  </si>
  <si>
    <t>Single Leg stance</t>
  </si>
  <si>
    <t>Springer, B.A., Marin, R., Cyhan, T., Roberts, H. and Gill, N.W. (2007) ‘Normative values for the unipedal stance test with eyes open and closed’, Journal of Geriatric Physical Therapy, 30(1), pp. 8–15</t>
  </si>
  <si>
    <t>60+</t>
  </si>
  <si>
    <t>Sit and reach</t>
  </si>
  <si>
    <t>American College of Sports Medicine (2021) ACSM’s Guidelines for Exercise Testing and Prescription. 11th edn. Philadelphia: Wolters Kluwer</t>
  </si>
  <si>
    <r>
      <t>1.36</t>
    </r>
    <r>
      <rPr>
        <sz val="10"/>
        <color rgb="FF303030"/>
        <rFont val="Segoe UI"/>
        <family val="2"/>
      </rPr>
      <t> </t>
    </r>
  </si>
  <si>
    <r>
      <t>1.43</t>
    </r>
    <r>
      <rPr>
        <sz val="10"/>
        <color rgb="FF303030"/>
        <rFont val="Segoe UI"/>
        <family val="2"/>
      </rPr>
      <t> </t>
    </r>
  </si>
  <si>
    <r>
      <t>1.33</t>
    </r>
    <r>
      <rPr>
        <sz val="10"/>
        <color rgb="FF303030"/>
        <rFont val="Segoe UI"/>
        <family val="2"/>
      </rPr>
      <t> </t>
    </r>
  </si>
  <si>
    <r>
      <t>1.26</t>
    </r>
    <r>
      <rPr>
        <sz val="10"/>
        <color rgb="FF303030"/>
        <rFont val="Segoe UI"/>
        <family val="2"/>
      </rPr>
      <t> </t>
    </r>
  </si>
  <si>
    <r>
      <t>2.46</t>
    </r>
    <r>
      <rPr>
        <sz val="10"/>
        <color rgb="FF303030"/>
        <rFont val="Segoe UI"/>
        <family val="2"/>
      </rPr>
      <t> </t>
    </r>
  </si>
  <si>
    <r>
      <t>1.93</t>
    </r>
    <r>
      <rPr>
        <sz val="10"/>
        <color rgb="FF303030"/>
        <rFont val="Segoe UI"/>
        <family val="2"/>
      </rPr>
      <t> </t>
    </r>
  </si>
  <si>
    <r>
      <t>2.07</t>
    </r>
    <r>
      <rPr>
        <sz val="10"/>
        <color rgb="FF303030"/>
        <rFont val="Segoe UI"/>
        <family val="2"/>
      </rPr>
      <t> </t>
    </r>
  </si>
  <si>
    <r>
      <t>1.34</t>
    </r>
    <r>
      <rPr>
        <sz val="10"/>
        <color rgb="FF303030"/>
        <rFont val="Segoe UI"/>
        <family val="2"/>
      </rPr>
      <t> </t>
    </r>
  </si>
  <si>
    <r>
      <t>1.39</t>
    </r>
    <r>
      <rPr>
        <sz val="10"/>
        <color rgb="FF303030"/>
        <rFont val="Segoe UI"/>
        <family val="2"/>
      </rPr>
      <t> </t>
    </r>
  </si>
  <si>
    <r>
      <t>1.31</t>
    </r>
    <r>
      <rPr>
        <sz val="10"/>
        <color rgb="FF303030"/>
        <rFont val="Segoe UI"/>
        <family val="2"/>
      </rPr>
      <t> </t>
    </r>
  </si>
  <si>
    <r>
      <t>1.24</t>
    </r>
    <r>
      <rPr>
        <sz val="10"/>
        <color rgb="FF303030"/>
        <rFont val="Segoe UI"/>
        <family val="2"/>
      </rPr>
      <t> </t>
    </r>
  </si>
  <si>
    <r>
      <t>1.13</t>
    </r>
    <r>
      <rPr>
        <sz val="10"/>
        <color rgb="FF303030"/>
        <rFont val="Segoe UI"/>
        <family val="2"/>
      </rPr>
      <t> </t>
    </r>
  </si>
  <si>
    <r>
      <t>1.77</t>
    </r>
    <r>
      <rPr>
        <sz val="10"/>
        <color rgb="FF303030"/>
        <rFont val="Segoe UI"/>
        <family val="2"/>
      </rPr>
      <t> </t>
    </r>
  </si>
  <si>
    <r>
      <t>2.01</t>
    </r>
    <r>
      <rPr>
        <sz val="10"/>
        <color rgb="FF303030"/>
        <rFont val="Segoe UI"/>
        <family val="2"/>
      </rPr>
      <t> </t>
    </r>
  </si>
  <si>
    <r>
      <t>2.34</t>
    </r>
    <r>
      <rPr>
        <sz val="10"/>
        <color rgb="FF303030"/>
        <rFont val="Segoe UI"/>
        <family val="2"/>
      </rPr>
      <t> </t>
    </r>
  </si>
  <si>
    <t>v</t>
  </si>
  <si>
    <t>Vitaly Improvement</t>
  </si>
  <si>
    <t>Strength improvement</t>
  </si>
  <si>
    <t>Metabolic Improvement</t>
  </si>
  <si>
    <t>Mobility Improvement</t>
  </si>
  <si>
    <t>Cognitive Improvement</t>
  </si>
  <si>
    <t>Healthspan Score</t>
  </si>
  <si>
    <t>Healthspan score</t>
  </si>
  <si>
    <t>Percentage score</t>
  </si>
  <si>
    <t>N/a</t>
  </si>
  <si>
    <t>Name</t>
  </si>
  <si>
    <t>Occupation: Corporate Tax Attorney
Lifestyle Snapshot:
Exercise: Sporadic. Plays golf with a cart twice a month. "Too busy" for the gym.
Diet: "The Expense Account Diet." Steakhouse dinners, red wine, quick deli sandwiches, high sodium.
Sleep: High stress, averages 5 hours. Uses alcohol to fall asleep, wakes up at 3 AM.
The Narrative: Arthur is the classic "ticking time bomb." He looks average in a suit, but underneath he carries significant visceral fat (the "cortisol belly"). He feels fine other than fatigue, but his metabolic markers are screaming. He has preserved some lower body strength simply from carrying his own weight, but his cardiovascular system is under heavy load. He dismisses health warnings as "age," but he is essentially pre-diabetic with significant arterial inflammation.
Key Health Barrier: Metabolic Syndrome and Chronic Stress.</t>
  </si>
  <si>
    <t>Occupation: Pilates Instructor / Freelance Writer
Lifestyle Snapshot:
Exercise: Teaches 10 hours a week. Lots of low-intensity movement and stretching. No heavy lifting.
Diet: Vegan. Very high vegetable intake, but consistently under-eats protein.
Sleep: excellent hygiene, gets 8 hours routinely.
The Narrative: Clara is the picture of "wellness" on Instagram. She is incredibly flexible and has low visceral fat. However, she is "skinny weak" (sarcopenic). She lacks the explosive power required to correct a fall or lift a heavy suitcase. While her metabolic markers are pristine, her bone density and raw power are surprisingly low for her age, putting her at risk for frailty earlier than expected if she doesn't introduce external load.
Key Health Barrier: Sarcopenia (Low muscle mass) and low power output.</t>
  </si>
  <si>
    <t>Name Clara</t>
  </si>
  <si>
    <t>Tyson</t>
  </si>
  <si>
    <t>Occupation: Construction Site Foreman (Former College Football Player)
Lifestyle Snapshot:
Exercise: Rarely trains intentionally anymore. Relies on "old strength."
Diet: High protein, high calorie, high processed carbs. "Fuel for work."
Sleep: Loud snoring (untreated apnea), wakes up tired.
The Narrative: Tyson is a tank. He has retained massive muscle mass from his youth and active job, resulting in high grip strength and power. However, the weight of that muscle combined with significant fat mass is crushing his joints. His inflammation is rampant, and his sleep apnea is causing cognitive fog. He can generate force, but he has zero endurance and his blood chemistry suggests advanced atherosclerosis.
Key Health Barrier: Cardiovascular risk and Obstructive Sleep Apnea.
Results:</t>
  </si>
  <si>
    <t>Occupation: Retired Librarian
Lifestyle Snapshot:
Exercise: None. Walks to the mailbox. Fearful of falling.
Diet: "Tea and Toast." Very low caloric intake, processed biscuits, canned soups.
Sleep: Naps frequently during the day, insomnia at night.
The Narrative: Beatrice represents the "Dwindling" phenotype. She isn't overweight; she is under-muscled and malnourished. Her gait speed has slowed dangerously, a primary predictor of mortality. She scores poorly on cognitive tests, not necessarily due to Alzheimer's, but due to a lack of blood flow (low VO2) and lack of glucose regulation. She is physically fragile.
Key Health Barrier: Frailty syndrome and malnutrition</t>
  </si>
  <si>
    <t>Occupation: Logistics Manager
Lifestyle Snapshot:
Exercise: Endurance cyclist (MAMIL - Middle Aged Man in Lycra). Rides 150km/week.
Diet: High carb (gels, pasta), drinks beer on weekends.
Sleep: Average. 6-7 hours.
The Narrative: Liam has a massive heart and lungs. His VO2 max is in the top 1% for his age. However, cycling is non-weight bearing. He has neglected his upper body and bone density. His grip strength is surprisingly weak, and he has tight hip flexors (poor sit and reach). Despite all the cardio, he consumes so much sugar for "fuel" that his HbA1c is creeping up.
Key Health Barrier: Unbalanced fitness (High Cardio/Low Strength) and emerging Insulin Resistance.</t>
  </si>
  <si>
    <t>Occupation: High School Principal
Lifestyle Snapshot:
Exercise: Gardening and walking the dog.
Diet: "Low Fat" products from the 90s. High sugar yogurts, diet sodas.
Sleep: Menopausal impacts. Hot flashes disrupt sleep constantly.
The Narrative: Renee is battling the post-menopausal metabolic shift. Despite eating what she thinks is healthy (low fat), her insulin resistance has spiked. She has accumulated visceral fat around the midsection. Her balance is starting to fade, and her hsCRP indicates systemic inflammation, likely due to sleep deprivation and hormonal changes. She is cognitively sharp but physically slowing down.
Key Health Barrier: Post-menopausal metabolic dysregulation.</t>
  </si>
  <si>
    <t>Occupation: IT Systems Administrator
Lifestyle Snapshot:
Exercise: Zero. Sedentary 14 hours a day.
Diet: Energy drinks, fast food, snacks at desk.
Sleep: Irregular. Stays up late gaming. 4-5 hours.
The Narrative: Kevin is the youngest but arguably the unhealthiest metabolically. He has severe insulin resistance and early signs of NAFLD (fatty liver). His cognitive scores are low not due to age, but due to brain fog from chronic inflammation and blood sugar swings. His physical capability is abysmal; he cannot touch his toes or jump. He is a stroke waiting to happen.
Key Health Barrier: Severe Metabolic Syndrome and Sedentary lifestyle.</t>
  </si>
  <si>
    <t>5 pillar Circle angle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</si>
</sst>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0" x14ac:knownFonts="1">
    <font>
      <sz val="11"/>
      <color theme="1"/>
      <name val="Aptos Narrow"/>
      <family val="2"/>
      <scheme val="minor"/>
    </font>
    <font>
      <sz val="10"/>
      <color rgb="FF303030"/>
      <name val="Segoe UI"/>
      <family val="2"/>
    </font>
    <font>
      <sz val="10"/>
      <color rgb="FF303030"/>
      <name val="Segoe UI"/>
      <family val="2"/>
    </font>
    <font>
      <sz val="10"/>
      <color rgb="FF303030"/>
      <name val="Segoe UI"/>
      <family val="2"/>
    </font>
    <font>
      <u/>
      <sz val="11"/>
      <color theme="10"/>
      <name val="Aptos Narrow"/>
      <family val="2"/>
      <scheme val="minor"/>
    </font>
    <font>
      <sz val="11"/>
      <color theme="5"/>
      <name val="Aptos Narrow"/>
      <family val="2"/>
      <scheme val="minor"/>
    </font>
    <font>
      <sz val="10"/>
      <color rgb="FF303030"/>
      <name val="Segoe UI"/>
      <family val="2"/>
    </font>
    <font>
      <sz val="13.3"/>
      <color rgb="FF303030"/>
      <name val="Times New Roman"/>
      <family val="1"/>
    </font>
    <font>
      <sz val="9"/>
      <color theme="1"/>
      <name val="Aptos Narrow"/>
      <family val="2"/>
      <scheme val="minor"/>
    </font>
    <font>
      <sz val="8"/>
      <color theme="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6F8FA"/>
        <bgColor indexed="64"/>
      </patternFill>
    </fill>
    <fill>
      <patternFill patternType="solid">
        <fgColor rgb="FFFFC000"/>
        <bgColor indexed="64"/>
      </patternFill>
    </fill>
  </fills>
  <borders count="4">
    <border>
      <left/>
      <right/>
      <top/>
      <bottom/>
      <diagonal/>
    </border>
    <border>
      <left style="medium">
        <color rgb="FFD1D9E0"/>
      </left>
      <right style="medium">
        <color rgb="FFD1D9E0"/>
      </right>
      <top style="medium">
        <color rgb="FFD1D9E0"/>
      </top>
      <bottom style="medium">
        <color rgb="FFD1D9E0"/>
      </bottom>
      <diagonal/>
    </border>
    <border>
      <left/>
      <right/>
      <top/>
      <bottom style="medium">
        <color rgb="FFD1D9E0"/>
      </bottom>
      <diagonal/>
    </border>
    <border>
      <left/>
      <right/>
      <top style="medium">
        <color rgb="FFD1D9E0"/>
      </top>
      <bottom/>
      <diagonal/>
    </border>
  </borders>
  <cellStyleXfs count="2">
    <xf numFmtId="0" fontId="0" fillId="0" borderId="0"/>
    <xf numFmtId="0" fontId="4" fillId="0" borderId="0" applyNumberFormat="0" applyFill="0" applyBorder="0" applyAlignment="0" applyProtection="0"/>
  </cellStyleXfs>
  <cellXfs count="55">
    <xf numFmtId="0" fontId="0" fillId="0" borderId="0" xfId="0"/>
    <xf numFmtId="0" fontId="0" fillId="0" borderId="0" xfId="0" applyAlignment="1">
      <alignment horizontal="left" vertical="center"/>
    </xf>
    <xf numFmtId="0" fontId="0" fillId="0" borderId="0" xfId="0" applyAlignment="1">
      <alignment horizontal="center"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1" fillId="7" borderId="1" xfId="0" applyFont="1" applyFill="1" applyBorder="1" applyAlignment="1">
      <alignment horizontal="left" vertical="center" wrapText="1" indent="1"/>
    </xf>
    <xf numFmtId="0" fontId="1" fillId="8" borderId="1" xfId="0" applyFont="1" applyFill="1" applyBorder="1" applyAlignment="1">
      <alignment horizontal="left" vertical="center" wrapText="1" indent="1"/>
    </xf>
    <xf numFmtId="164" fontId="0" fillId="2" borderId="0" xfId="0" applyNumberFormat="1" applyFill="1"/>
    <xf numFmtId="0" fontId="3" fillId="7" borderId="1" xfId="0" applyFont="1" applyFill="1" applyBorder="1" applyAlignment="1">
      <alignment horizontal="left" vertical="center" wrapText="1" indent="1"/>
    </xf>
    <xf numFmtId="0" fontId="0" fillId="3" borderId="0" xfId="0" applyFill="1" applyAlignment="1">
      <alignment horizontal="center" vertical="center"/>
    </xf>
    <xf numFmtId="0" fontId="3" fillId="8" borderId="1" xfId="0" applyFont="1" applyFill="1" applyBorder="1" applyAlignment="1">
      <alignment horizontal="left" vertical="center" wrapText="1" indent="1"/>
    </xf>
    <xf numFmtId="0" fontId="0" fillId="6"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9" borderId="0" xfId="0" applyFill="1" applyAlignment="1">
      <alignment horizontal="center" vertical="center"/>
    </xf>
    <xf numFmtId="164" fontId="0" fillId="0" borderId="0" xfId="0" applyNumberFormat="1"/>
    <xf numFmtId="0" fontId="0" fillId="9" borderId="0" xfId="0" applyFill="1" applyAlignment="1">
      <alignment horizontal="center" vertical="center" wrapText="1"/>
    </xf>
    <xf numFmtId="0" fontId="1" fillId="0" borderId="0" xfId="0" applyFont="1" applyAlignment="1">
      <alignment horizontal="center" vertical="center" wrapText="1"/>
    </xf>
    <xf numFmtId="164" fontId="0" fillId="0" borderId="0" xfId="0" applyNumberFormat="1" applyAlignment="1">
      <alignment horizontal="center" vertical="center" wrapText="1"/>
    </xf>
    <xf numFmtId="164" fontId="0" fillId="2" borderId="0" xfId="0" applyNumberFormat="1" applyFill="1" applyAlignment="1">
      <alignment horizontal="center" vertical="center"/>
    </xf>
    <xf numFmtId="0" fontId="1" fillId="7" borderId="1" xfId="0" applyFont="1" applyFill="1" applyBorder="1" applyAlignment="1">
      <alignment horizontal="left" vertical="center"/>
    </xf>
    <xf numFmtId="0" fontId="2" fillId="7" borderId="1" xfId="0" applyFont="1" applyFill="1" applyBorder="1" applyAlignment="1">
      <alignment horizontal="left" vertical="center"/>
    </xf>
    <xf numFmtId="0" fontId="1" fillId="8" borderId="1" xfId="0" applyFont="1" applyFill="1" applyBorder="1" applyAlignment="1">
      <alignment horizontal="left" vertical="center"/>
    </xf>
    <xf numFmtId="0" fontId="2" fillId="8" borderId="1" xfId="0" applyFont="1" applyFill="1" applyBorder="1" applyAlignment="1">
      <alignment horizontal="left" vertical="center"/>
    </xf>
    <xf numFmtId="0" fontId="5" fillId="0" borderId="0" xfId="0" applyFont="1"/>
    <xf numFmtId="0" fontId="5" fillId="0" borderId="0" xfId="0" applyFont="1" applyAlignment="1">
      <alignment horizontal="center" vertical="center"/>
    </xf>
    <xf numFmtId="165" fontId="0" fillId="0" borderId="0" xfId="0" applyNumberFormat="1"/>
    <xf numFmtId="165" fontId="5" fillId="0" borderId="0" xfId="0" applyNumberFormat="1" applyFont="1"/>
    <xf numFmtId="165" fontId="0" fillId="0" borderId="0" xfId="0" applyNumberFormat="1" applyAlignment="1">
      <alignment horizontal="center" vertical="center"/>
    </xf>
    <xf numFmtId="0" fontId="0" fillId="0" borderId="0" xfId="0" applyAlignment="1">
      <alignment vertical="center" wrapText="1"/>
    </xf>
    <xf numFmtId="0" fontId="6" fillId="7" borderId="1" xfId="0" applyFont="1" applyFill="1" applyBorder="1" applyAlignment="1">
      <alignment horizontal="left" vertical="center" wrapText="1" indent="1"/>
    </xf>
    <xf numFmtId="0" fontId="7" fillId="7" borderId="1" xfId="0" applyFont="1" applyFill="1" applyBorder="1" applyAlignment="1">
      <alignment horizontal="left" vertical="center" wrapText="1" indent="1"/>
    </xf>
    <xf numFmtId="0" fontId="6" fillId="8" borderId="1" xfId="0" applyFont="1" applyFill="1" applyBorder="1" applyAlignment="1">
      <alignment horizontal="left" vertical="center" wrapText="1" indent="1"/>
    </xf>
    <xf numFmtId="0" fontId="7" fillId="8" borderId="1" xfId="0" applyFont="1" applyFill="1" applyBorder="1" applyAlignment="1">
      <alignment horizontal="left" vertical="center" wrapText="1" indent="1"/>
    </xf>
    <xf numFmtId="0" fontId="0" fillId="0" borderId="0" xfId="0" applyAlignment="1">
      <alignment horizontal="center"/>
    </xf>
    <xf numFmtId="0" fontId="9" fillId="0" borderId="0" xfId="0" applyFont="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wrapText="1"/>
    </xf>
    <xf numFmtId="0" fontId="0" fillId="0" borderId="2" xfId="0" applyBorder="1" applyAlignment="1">
      <alignment horizontal="center"/>
    </xf>
    <xf numFmtId="0" fontId="4" fillId="0" borderId="0" xfId="1" applyAlignment="1">
      <alignment horizontal="center" wrapText="1"/>
    </xf>
    <xf numFmtId="0" fontId="4" fillId="0" borderId="0" xfId="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Average_20_Year_Old_Man_Pro!$O$32</c:f>
              <c:strCache>
                <c:ptCount val="1"/>
                <c:pt idx="0">
                  <c:v>Vitality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Average_20_Year_Old_Man_Pro!$N$32:$N$43</c15:sqref>
                  </c15:fullRef>
                </c:ext>
              </c:extLst>
              <c:f>Average_20_Year_Old_Man_Pro!$N$33:$N$43</c:f>
              <c:strCache>
                <c:ptCount val="11"/>
                <c:pt idx="0">
                  <c:v>20</c:v>
                </c:pt>
                <c:pt idx="1">
                  <c:v>21</c:v>
                </c:pt>
                <c:pt idx="2">
                  <c:v>22</c:v>
                </c:pt>
                <c:pt idx="3">
                  <c:v>23</c:v>
                </c:pt>
                <c:pt idx="4">
                  <c:v>24</c:v>
                </c:pt>
                <c:pt idx="5">
                  <c:v>25</c:v>
                </c:pt>
                <c:pt idx="6">
                  <c:v>26</c:v>
                </c:pt>
                <c:pt idx="7">
                  <c:v>27</c:v>
                </c:pt>
                <c:pt idx="8">
                  <c:v>28</c:v>
                </c:pt>
                <c:pt idx="9">
                  <c:v>29</c:v>
                </c:pt>
                <c:pt idx="10">
                  <c:v>30</c:v>
                </c:pt>
              </c:strCache>
            </c:strRef>
          </c:cat>
          <c:val>
            <c:numRef>
              <c:extLst>
                <c:ext xmlns:c15="http://schemas.microsoft.com/office/drawing/2012/chart" uri="{02D57815-91ED-43cb-92C2-25804820EDAC}">
                  <c15:fullRef>
                    <c15:sqref>Average_20_Year_Old_Man_Pro!$O$33:$O$43</c15:sqref>
                  </c15:fullRef>
                </c:ext>
              </c:extLst>
              <c:f>Average_20_Year_Old_Man_Pro!$O$34:$O$43</c:f>
              <c:numCache>
                <c:formatCode>General</c:formatCode>
                <c:ptCount val="10"/>
                <c:pt idx="0">
                  <c:v>20.230000000000008</c:v>
                </c:pt>
                <c:pt idx="1">
                  <c:v>20.462645000000009</c:v>
                </c:pt>
                <c:pt idx="2">
                  <c:v>20.697965417500008</c:v>
                </c:pt>
                <c:pt idx="3">
                  <c:v>20.935992019801258</c:v>
                </c:pt>
                <c:pt idx="4">
                  <c:v>21.176755928028971</c:v>
                </c:pt>
                <c:pt idx="5">
                  <c:v>21.420288621201305</c:v>
                </c:pt>
                <c:pt idx="6">
                  <c:v>21.66662194034512</c:v>
                </c:pt>
                <c:pt idx="7">
                  <c:v>21.915788092659088</c:v>
                </c:pt>
                <c:pt idx="8">
                  <c:v>22.167819655724667</c:v>
                </c:pt>
                <c:pt idx="9">
                  <c:v>22.422749581765501</c:v>
                </c:pt>
              </c:numCache>
            </c:numRef>
          </c:val>
          <c:smooth val="0"/>
          <c:extLst>
            <c:ext xmlns:c16="http://schemas.microsoft.com/office/drawing/2014/chart" uri="{C3380CC4-5D6E-409C-BE32-E72D297353CC}">
              <c16:uniqueId val="{00000000-627C-4F99-B0D5-895F2EDB6DC5}"/>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Average_20_Year_Old_Man_Pro!$R$32</c:f>
              <c:strCache>
                <c:ptCount val="1"/>
                <c:pt idx="0">
                  <c:v>Strength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Average_20_Year_Old_Man_Pro!$Q$33:$Q$43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Average_20_Year_Old_Man_Pro!$R$33:$R$43</c:f>
              <c:numCache>
                <c:formatCode>General</c:formatCode>
                <c:ptCount val="11"/>
                <c:pt idx="0">
                  <c:v>19.999999999999996</c:v>
                </c:pt>
                <c:pt idx="1">
                  <c:v>20.245999999999995</c:v>
                </c:pt>
                <c:pt idx="2">
                  <c:v>20.495025799999993</c:v>
                </c:pt>
                <c:pt idx="3">
                  <c:v>20.747114617339992</c:v>
                </c:pt>
                <c:pt idx="4">
                  <c:v>21.002304127133275</c:v>
                </c:pt>
                <c:pt idx="5">
                  <c:v>21.260632467897015</c:v>
                </c:pt>
                <c:pt idx="6">
                  <c:v>21.522138247252148</c:v>
                </c:pt>
                <c:pt idx="7">
                  <c:v>21.786860547693347</c:v>
                </c:pt>
                <c:pt idx="8">
                  <c:v>22.054838932429977</c:v>
                </c:pt>
                <c:pt idx="9">
                  <c:v>22.326113451298866</c:v>
                </c:pt>
                <c:pt idx="10">
                  <c:v>22.600724646749843</c:v>
                </c:pt>
              </c:numCache>
            </c:numRef>
          </c:val>
          <c:smooth val="0"/>
          <c:extLst>
            <c:ext xmlns:c16="http://schemas.microsoft.com/office/drawing/2014/chart" uri="{C3380CC4-5D6E-409C-BE32-E72D297353CC}">
              <c16:uniqueId val="{00000000-CD3B-4E91-B043-8B66F03516DD}"/>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Average_20_Year_Old_Man_Pro!$U$32</c:f>
              <c:strCache>
                <c:ptCount val="1"/>
                <c:pt idx="0">
                  <c:v>Metabolic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Average_20_Year_Old_Man_Pro!$T$33:$T$43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Average_20_Year_Old_Man_Pro!$U$33:$U$43</c:f>
              <c:numCache>
                <c:formatCode>General</c:formatCode>
                <c:ptCount val="11"/>
                <c:pt idx="0">
                  <c:v>16.296195488721803</c:v>
                </c:pt>
                <c:pt idx="1">
                  <c:v>16.385824563909772</c:v>
                </c:pt>
                <c:pt idx="2">
                  <c:v>16.475946599011277</c:v>
                </c:pt>
                <c:pt idx="3">
                  <c:v>16.566564305305839</c:v>
                </c:pt>
                <c:pt idx="4">
                  <c:v>16.657680408985023</c:v>
                </c:pt>
                <c:pt idx="5">
                  <c:v>16.749297651234439</c:v>
                </c:pt>
                <c:pt idx="6">
                  <c:v>16.841418788316229</c:v>
                </c:pt>
                <c:pt idx="7">
                  <c:v>16.934046591651967</c:v>
                </c:pt>
                <c:pt idx="8">
                  <c:v>17.027183847906052</c:v>
                </c:pt>
                <c:pt idx="9">
                  <c:v>17.120833359069536</c:v>
                </c:pt>
                <c:pt idx="10">
                  <c:v>17.214997942544418</c:v>
                </c:pt>
              </c:numCache>
            </c:numRef>
          </c:val>
          <c:smooth val="0"/>
          <c:extLst>
            <c:ext xmlns:c16="http://schemas.microsoft.com/office/drawing/2014/chart" uri="{C3380CC4-5D6E-409C-BE32-E72D297353CC}">
              <c16:uniqueId val="{00000000-3629-469E-9699-DC9B181A0312}"/>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Average_20_Year_Old_Man_Pro!$X$32</c:f>
              <c:strCache>
                <c:ptCount val="1"/>
                <c:pt idx="0">
                  <c:v>Mobility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Average_20_Year_Old_Man_Pro!$W$33:$W$43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Average_20_Year_Old_Man_Pro!$X$33:$X$43</c:f>
              <c:numCache>
                <c:formatCode>General</c:formatCode>
                <c:ptCount val="11"/>
                <c:pt idx="0">
                  <c:v>20</c:v>
                </c:pt>
                <c:pt idx="1">
                  <c:v>20.198</c:v>
                </c:pt>
                <c:pt idx="2">
                  <c:v>20.3979602</c:v>
                </c:pt>
                <c:pt idx="3">
                  <c:v>20.59990000598</c:v>
                </c:pt>
                <c:pt idx="4">
                  <c:v>20.803839016039202</c:v>
                </c:pt>
                <c:pt idx="5">
                  <c:v>21.009797022297992</c:v>
                </c:pt>
                <c:pt idx="6">
                  <c:v>21.217794012818743</c:v>
                </c:pt>
                <c:pt idx="7">
                  <c:v>21.42785017354565</c:v>
                </c:pt>
                <c:pt idx="8">
                  <c:v>21.639985890263752</c:v>
                </c:pt>
                <c:pt idx="9">
                  <c:v>21.854221750577363</c:v>
                </c:pt>
                <c:pt idx="10">
                  <c:v>22.070578545908077</c:v>
                </c:pt>
              </c:numCache>
            </c:numRef>
          </c:val>
          <c:smooth val="0"/>
          <c:extLst>
            <c:ext xmlns:c16="http://schemas.microsoft.com/office/drawing/2014/chart" uri="{C3380CC4-5D6E-409C-BE32-E72D297353CC}">
              <c16:uniqueId val="{00000000-D270-4969-9D90-E5632D870215}"/>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Average_20_Year_Old_Man_Pro!$AA$32</c:f>
              <c:strCache>
                <c:ptCount val="1"/>
                <c:pt idx="0">
                  <c:v>Cognitive Decline of an average 20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Average_20_Year_Old_Man_Pro!$Z$33:$Z$43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Average_20_Year_Old_Man_Pro!$AA$33:$AA$43</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0-E220-4BB6-93C5-1FD1B6852F7A}"/>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Average_20_Year_Old_Woman_Pro!$O$32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Average_20_Year_Old_Woman_Pro!$N$32:$N$43</c15:sqref>
                  </c15:fullRef>
                </c:ext>
              </c:extLst>
              <c:f>Average_20_Year_Old_Woman_Pro!$N$33:$N$43</c:f>
              <c:strCache>
                <c:ptCount val="11"/>
                <c:pt idx="0">
                  <c:v>20</c:v>
                </c:pt>
                <c:pt idx="1">
                  <c:v>21</c:v>
                </c:pt>
                <c:pt idx="2">
                  <c:v>22</c:v>
                </c:pt>
                <c:pt idx="3">
                  <c:v>23</c:v>
                </c:pt>
                <c:pt idx="4">
                  <c:v>24</c:v>
                </c:pt>
                <c:pt idx="5">
                  <c:v>25</c:v>
                </c:pt>
                <c:pt idx="6">
                  <c:v>26</c:v>
                </c:pt>
                <c:pt idx="7">
                  <c:v>27</c:v>
                </c:pt>
                <c:pt idx="8">
                  <c:v>28</c:v>
                </c:pt>
                <c:pt idx="9">
                  <c:v>29</c:v>
                </c:pt>
                <c:pt idx="10">
                  <c:v>30</c:v>
                </c:pt>
              </c:strCache>
            </c:strRef>
          </c:cat>
          <c:val>
            <c:numRef>
              <c:extLst>
                <c:ext xmlns:c15="http://schemas.microsoft.com/office/drawing/2012/chart" uri="{02D57815-91ED-43cb-92C2-25804820EDAC}">
                  <c15:fullRef>
                    <c15:sqref>Average_20_Year_Old_Woman_Pro!$O$33:$O$43</c15:sqref>
                  </c15:fullRef>
                </c:ext>
              </c:extLst>
              <c:f>Average_20_Year_Old_Woman_Pro!$O$34:$O$43</c:f>
              <c:numCache>
                <c:formatCode>General</c:formatCode>
                <c:ptCount val="10"/>
                <c:pt idx="0">
                  <c:v>20.230000000000008</c:v>
                </c:pt>
                <c:pt idx="1">
                  <c:v>20.462645000000009</c:v>
                </c:pt>
                <c:pt idx="2">
                  <c:v>20.697965417500008</c:v>
                </c:pt>
                <c:pt idx="3">
                  <c:v>20.935992019801258</c:v>
                </c:pt>
                <c:pt idx="4">
                  <c:v>21.176755928028971</c:v>
                </c:pt>
                <c:pt idx="5">
                  <c:v>21.420288621201305</c:v>
                </c:pt>
                <c:pt idx="6">
                  <c:v>21.66662194034512</c:v>
                </c:pt>
                <c:pt idx="7">
                  <c:v>21.915788092659088</c:v>
                </c:pt>
                <c:pt idx="8">
                  <c:v>22.167819655724667</c:v>
                </c:pt>
                <c:pt idx="9">
                  <c:v>22.422749581765501</c:v>
                </c:pt>
              </c:numCache>
            </c:numRef>
          </c:val>
          <c:smooth val="0"/>
          <c:extLst>
            <c:ext xmlns:c16="http://schemas.microsoft.com/office/drawing/2014/chart" uri="{C3380CC4-5D6E-409C-BE32-E72D297353CC}">
              <c16:uniqueId val="{00000000-BE69-4BC6-83C1-ACE04B316DBD}"/>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Average_20_Year_Old_Woman_Pro!$Q$33:$Q$43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Average_20_Year_Old_Woman_Pro!$R$33:$R$43</c:f>
              <c:numCache>
                <c:formatCode>General</c:formatCode>
                <c:ptCount val="11"/>
                <c:pt idx="0">
                  <c:v>20.000000000000004</c:v>
                </c:pt>
                <c:pt idx="1">
                  <c:v>20.246000000000002</c:v>
                </c:pt>
                <c:pt idx="2">
                  <c:v>20.495025800000001</c:v>
                </c:pt>
                <c:pt idx="3">
                  <c:v>20.747114617339999</c:v>
                </c:pt>
                <c:pt idx="4">
                  <c:v>21.002304127133282</c:v>
                </c:pt>
                <c:pt idx="5">
                  <c:v>21.260632467897022</c:v>
                </c:pt>
                <c:pt idx="6">
                  <c:v>21.522138247252155</c:v>
                </c:pt>
                <c:pt idx="7">
                  <c:v>21.786860547693355</c:v>
                </c:pt>
                <c:pt idx="8">
                  <c:v>22.054838932429984</c:v>
                </c:pt>
                <c:pt idx="9">
                  <c:v>22.326113451298873</c:v>
                </c:pt>
                <c:pt idx="10">
                  <c:v>22.60072464674985</c:v>
                </c:pt>
              </c:numCache>
            </c:numRef>
          </c:val>
          <c:smooth val="0"/>
          <c:extLst>
            <c:ext xmlns:c16="http://schemas.microsoft.com/office/drawing/2014/chart" uri="{C3380CC4-5D6E-409C-BE32-E72D297353CC}">
              <c16:uniqueId val="{00000000-2F0D-4B40-A095-9702002911BF}"/>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Average_20_Year_Old_Woman_Pro!$T$33:$T$43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Average_20_Year_Old_Woman_Pro!$U$33:$U$43</c:f>
              <c:numCache>
                <c:formatCode>General</c:formatCode>
                <c:ptCount val="11"/>
                <c:pt idx="0">
                  <c:v>18.547142857142859</c:v>
                </c:pt>
                <c:pt idx="1">
                  <c:v>18.649152142857144</c:v>
                </c:pt>
                <c:pt idx="2">
                  <c:v>18.751722479642858</c:v>
                </c:pt>
                <c:pt idx="3">
                  <c:v>18.854856953280894</c:v>
                </c:pt>
                <c:pt idx="4">
                  <c:v>18.958558666523938</c:v>
                </c:pt>
                <c:pt idx="5">
                  <c:v>19.06283073918982</c:v>
                </c:pt>
                <c:pt idx="6">
                  <c:v>19.167676308255363</c:v>
                </c:pt>
                <c:pt idx="7">
                  <c:v>19.273098527950768</c:v>
                </c:pt>
                <c:pt idx="8">
                  <c:v>19.379100569854497</c:v>
                </c:pt>
                <c:pt idx="9">
                  <c:v>19.485685622988697</c:v>
                </c:pt>
                <c:pt idx="10">
                  <c:v>19.592856893915133</c:v>
                </c:pt>
              </c:numCache>
            </c:numRef>
          </c:val>
          <c:smooth val="0"/>
          <c:extLst>
            <c:ext xmlns:c16="http://schemas.microsoft.com/office/drawing/2014/chart" uri="{C3380CC4-5D6E-409C-BE32-E72D297353CC}">
              <c16:uniqueId val="{00000000-6DA8-446C-9B07-D1975257350A}"/>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Average_20_Year_Old_Woman_Pro!$W$33:$W$43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Average_20_Year_Old_Woman_Pro!$X$33:$X$43</c:f>
              <c:numCache>
                <c:formatCode>General</c:formatCode>
                <c:ptCount val="11"/>
                <c:pt idx="0">
                  <c:v>19.999999999999996</c:v>
                </c:pt>
                <c:pt idx="1">
                  <c:v>20.197999999999997</c:v>
                </c:pt>
                <c:pt idx="2">
                  <c:v>20.397960199999996</c:v>
                </c:pt>
                <c:pt idx="3">
                  <c:v>20.599900005979997</c:v>
                </c:pt>
                <c:pt idx="4">
                  <c:v>20.803839016039198</c:v>
                </c:pt>
                <c:pt idx="5">
                  <c:v>21.009797022297988</c:v>
                </c:pt>
                <c:pt idx="6">
                  <c:v>21.217794012818739</c:v>
                </c:pt>
                <c:pt idx="7">
                  <c:v>21.427850173545647</c:v>
                </c:pt>
                <c:pt idx="8">
                  <c:v>21.639985890263748</c:v>
                </c:pt>
                <c:pt idx="9">
                  <c:v>21.854221750577359</c:v>
                </c:pt>
                <c:pt idx="10">
                  <c:v>22.070578545908074</c:v>
                </c:pt>
              </c:numCache>
            </c:numRef>
          </c:val>
          <c:smooth val="0"/>
          <c:extLst>
            <c:ext xmlns:c16="http://schemas.microsoft.com/office/drawing/2014/chart" uri="{C3380CC4-5D6E-409C-BE32-E72D297353CC}">
              <c16:uniqueId val="{00000000-7A97-4330-B2E0-686218A8A531}"/>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Average_20_Year_Old_Woman_Pro!$AA$32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Average_20_Year_Old_Woman_Pro!$Z$33:$Z$43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Average_20_Year_Old_Woman_Pro!$AA$33:$AA$43</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0-A297-4A7C-9E7C-833ED2447596}"/>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'Average_25_Year_old_Man_Pro '!$O$32</c:f>
              <c:strCache>
                <c:ptCount val="1"/>
                <c:pt idx="0">
                  <c:v>Vitality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'Average_25_Year_old_Man_Pro '!$N$32:$N$43</c15:sqref>
                  </c15:fullRef>
                </c:ext>
              </c:extLst>
              <c:f>'Average_25_Year_old_Man_Pro '!$N$33:$N$43</c:f>
              <c:strCache>
                <c:ptCount val="11"/>
                <c:pt idx="0">
                  <c:v>25</c:v>
                </c:pt>
                <c:pt idx="1">
                  <c:v>26</c:v>
                </c:pt>
                <c:pt idx="2">
                  <c:v>27</c:v>
                </c:pt>
                <c:pt idx="3">
                  <c:v>28</c:v>
                </c:pt>
                <c:pt idx="4">
                  <c:v>29</c:v>
                </c:pt>
                <c:pt idx="5">
                  <c:v>30</c:v>
                </c:pt>
                <c:pt idx="6">
                  <c:v>31</c:v>
                </c:pt>
                <c:pt idx="7">
                  <c:v>32</c:v>
                </c:pt>
                <c:pt idx="8">
                  <c:v>33</c:v>
                </c:pt>
                <c:pt idx="9">
                  <c:v>34</c:v>
                </c:pt>
                <c:pt idx="10">
                  <c:v>35</c:v>
                </c:pt>
              </c:strCache>
            </c:strRef>
          </c:cat>
          <c:val>
            <c:numRef>
              <c:extLst>
                <c:ext xmlns:c15="http://schemas.microsoft.com/office/drawing/2012/chart" uri="{02D57815-91ED-43cb-92C2-25804820EDAC}">
                  <c15:fullRef>
                    <c15:sqref>'Average_25_Year_old_Man_Pro '!$O$33:$O$43</c15:sqref>
                  </c15:fullRef>
                </c:ext>
              </c:extLst>
              <c:f>'Average_25_Year_old_Man_Pro '!$O$34:$O$43</c:f>
              <c:numCache>
                <c:formatCode>General</c:formatCode>
                <c:ptCount val="10"/>
                <c:pt idx="0">
                  <c:v>25.287500000000009</c:v>
                </c:pt>
                <c:pt idx="1">
                  <c:v>25.578306250000008</c:v>
                </c:pt>
                <c:pt idx="2">
                  <c:v>25.872456771875008</c:v>
                </c:pt>
                <c:pt idx="3">
                  <c:v>26.16999002475157</c:v>
                </c:pt>
                <c:pt idx="4">
                  <c:v>26.470944910036213</c:v>
                </c:pt>
                <c:pt idx="5">
                  <c:v>26.775360776501628</c:v>
                </c:pt>
                <c:pt idx="6">
                  <c:v>27.083277425431397</c:v>
                </c:pt>
                <c:pt idx="7">
                  <c:v>27.39473511582386</c:v>
                </c:pt>
                <c:pt idx="8">
                  <c:v>27.709774569655835</c:v>
                </c:pt>
                <c:pt idx="9">
                  <c:v>28.028436977206876</c:v>
                </c:pt>
              </c:numCache>
            </c:numRef>
          </c:val>
          <c:smooth val="0"/>
          <c:extLst>
            <c:ext xmlns:c16="http://schemas.microsoft.com/office/drawing/2014/chart" uri="{C3380CC4-5D6E-409C-BE32-E72D297353CC}">
              <c16:uniqueId val="{00000000-D3D9-40F8-A05F-A9688A88DEF2}"/>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'Average_25_Year_old_Man_Pro '!$R$32</c:f>
              <c:strCache>
                <c:ptCount val="1"/>
                <c:pt idx="0">
                  <c:v>Strength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'Average_25_Year_old_Man_Pro '!$Q$33:$Q$43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'Average_25_Year_old_Man_Pro '!$R$33:$R$43</c:f>
              <c:numCache>
                <c:formatCode>General</c:formatCode>
                <c:ptCount val="11"/>
                <c:pt idx="0">
                  <c:v>25</c:v>
                </c:pt>
                <c:pt idx="1">
                  <c:v>25.307500000000001</c:v>
                </c:pt>
                <c:pt idx="2">
                  <c:v>25.618782250000002</c:v>
                </c:pt>
                <c:pt idx="3">
                  <c:v>25.933893271675004</c:v>
                </c:pt>
                <c:pt idx="4">
                  <c:v>26.252880158916607</c:v>
                </c:pt>
                <c:pt idx="5">
                  <c:v>26.575790584871282</c:v>
                </c:pt>
                <c:pt idx="6">
                  <c:v>26.902672809065198</c:v>
                </c:pt>
                <c:pt idx="7">
                  <c:v>27.233575684616699</c:v>
                </c:pt>
                <c:pt idx="8">
                  <c:v>27.568548665537485</c:v>
                </c:pt>
                <c:pt idx="9">
                  <c:v>27.907641814123597</c:v>
                </c:pt>
                <c:pt idx="10">
                  <c:v>28.250905808437317</c:v>
                </c:pt>
              </c:numCache>
            </c:numRef>
          </c:val>
          <c:smooth val="0"/>
          <c:extLst>
            <c:ext xmlns:c16="http://schemas.microsoft.com/office/drawing/2014/chart" uri="{C3380CC4-5D6E-409C-BE32-E72D297353CC}">
              <c16:uniqueId val="{00000000-212A-473E-AE99-93A27E9580AF}"/>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'Average_25_Year_old_Man_Pro '!$U$32</c:f>
              <c:strCache>
                <c:ptCount val="1"/>
                <c:pt idx="0">
                  <c:v>Metabolic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'Average_25_Year_old_Man_Pro '!$T$33:$T$43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'Average_25_Year_old_Man_Pro '!$U$33:$U$43</c:f>
              <c:numCache>
                <c:formatCode>General</c:formatCode>
                <c:ptCount val="11"/>
                <c:pt idx="0">
                  <c:v>23.627263157894738</c:v>
                </c:pt>
                <c:pt idx="1">
                  <c:v>23.757213105263158</c:v>
                </c:pt>
                <c:pt idx="2">
                  <c:v>23.887877777342105</c:v>
                </c:pt>
                <c:pt idx="3">
                  <c:v>24.019261105117486</c:v>
                </c:pt>
                <c:pt idx="4">
                  <c:v>24.151367041195634</c:v>
                </c:pt>
                <c:pt idx="5">
                  <c:v>24.284199559922211</c:v>
                </c:pt>
                <c:pt idx="6">
                  <c:v>24.417762657501783</c:v>
                </c:pt>
                <c:pt idx="7">
                  <c:v>24.552060352118044</c:v>
                </c:pt>
                <c:pt idx="8">
                  <c:v>24.687096684054694</c:v>
                </c:pt>
                <c:pt idx="9">
                  <c:v>24.822875715816995</c:v>
                </c:pt>
                <c:pt idx="10">
                  <c:v>24.959401532253988</c:v>
                </c:pt>
              </c:numCache>
            </c:numRef>
          </c:val>
          <c:smooth val="0"/>
          <c:extLst>
            <c:ext xmlns:c16="http://schemas.microsoft.com/office/drawing/2014/chart" uri="{C3380CC4-5D6E-409C-BE32-E72D297353CC}">
              <c16:uniqueId val="{00000000-D293-4C20-A132-2F5D316910C7}"/>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'Average_25_Year_old_Man_Pro '!$X$32</c:f>
              <c:strCache>
                <c:ptCount val="1"/>
                <c:pt idx="0">
                  <c:v>Mobility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'Average_25_Year_old_Man_Pro '!$W$33:$W$43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'Average_25_Year_old_Man_Pro '!$X$33:$X$43</c:f>
              <c:numCache>
                <c:formatCode>General</c:formatCode>
                <c:ptCount val="11"/>
                <c:pt idx="0">
                  <c:v>23.5</c:v>
                </c:pt>
                <c:pt idx="1">
                  <c:v>23.73265</c:v>
                </c:pt>
                <c:pt idx="2">
                  <c:v>23.967603234999999</c:v>
                </c:pt>
                <c:pt idx="3">
                  <c:v>24.204882507026497</c:v>
                </c:pt>
                <c:pt idx="4">
                  <c:v>24.444510843846061</c:v>
                </c:pt>
                <c:pt idx="5">
                  <c:v>24.686511501200137</c:v>
                </c:pt>
                <c:pt idx="6">
                  <c:v>24.930907965062019</c:v>
                </c:pt>
                <c:pt idx="7">
                  <c:v>25.177723953916132</c:v>
                </c:pt>
                <c:pt idx="8">
                  <c:v>25.426983421059902</c:v>
                </c:pt>
                <c:pt idx="9">
                  <c:v>25.678710556928394</c:v>
                </c:pt>
                <c:pt idx="10">
                  <c:v>25.932929791441985</c:v>
                </c:pt>
              </c:numCache>
            </c:numRef>
          </c:val>
          <c:smooth val="0"/>
          <c:extLst>
            <c:ext xmlns:c16="http://schemas.microsoft.com/office/drawing/2014/chart" uri="{C3380CC4-5D6E-409C-BE32-E72D297353CC}">
              <c16:uniqueId val="{00000000-0CC7-43ED-9963-F73BD46BF805}"/>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'Average_25_Year_old_Man_Pro '!$AA$32</c:f>
              <c:strCache>
                <c:ptCount val="1"/>
                <c:pt idx="0">
                  <c:v>Cognitive Decline of an average 20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'Average_25_Year_old_Man_Pro '!$Z$33:$Z$43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'Average_25_Year_old_Man_Pro '!$AA$33:$AA$43</c:f>
              <c:numCache>
                <c:formatCode>General</c:formatCode>
                <c:ptCount val="11"/>
                <c:pt idx="0">
                  <c:v>25</c:v>
                </c:pt>
                <c:pt idx="1">
                  <c:v>25.5</c:v>
                </c:pt>
                <c:pt idx="2">
                  <c:v>26.01</c:v>
                </c:pt>
                <c:pt idx="3">
                  <c:v>26.530200000000001</c:v>
                </c:pt>
                <c:pt idx="4">
                  <c:v>27.060804000000001</c:v>
                </c:pt>
                <c:pt idx="5">
                  <c:v>27.602020080000003</c:v>
                </c:pt>
                <c:pt idx="6">
                  <c:v>28.154060481600002</c:v>
                </c:pt>
                <c:pt idx="7">
                  <c:v>28.717141691232001</c:v>
                </c:pt>
                <c:pt idx="8">
                  <c:v>29.291484525056642</c:v>
                </c:pt>
                <c:pt idx="9">
                  <c:v>29.877314215557774</c:v>
                </c:pt>
                <c:pt idx="10">
                  <c:v>30.474860499868932</c:v>
                </c:pt>
              </c:numCache>
            </c:numRef>
          </c:val>
          <c:smooth val="0"/>
          <c:extLst>
            <c:ext xmlns:c16="http://schemas.microsoft.com/office/drawing/2014/chart" uri="{C3380CC4-5D6E-409C-BE32-E72D297353CC}">
              <c16:uniqueId val="{00000000-B47E-4604-968A-FFED6088E9FD}"/>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'Average_25_Year_Old_Woman_P '!$O$32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'Average_25_Year_Old_Woman_P '!$N$32:$N$43</c15:sqref>
                  </c15:fullRef>
                </c:ext>
              </c:extLst>
              <c:f>'Average_25_Year_Old_Woman_P '!$N$33:$N$43</c:f>
              <c:strCache>
                <c:ptCount val="11"/>
                <c:pt idx="0">
                  <c:v>25</c:v>
                </c:pt>
                <c:pt idx="1">
                  <c:v>26</c:v>
                </c:pt>
                <c:pt idx="2">
                  <c:v>27</c:v>
                </c:pt>
                <c:pt idx="3">
                  <c:v>28</c:v>
                </c:pt>
                <c:pt idx="4">
                  <c:v>29</c:v>
                </c:pt>
                <c:pt idx="5">
                  <c:v>30</c:v>
                </c:pt>
                <c:pt idx="6">
                  <c:v>31</c:v>
                </c:pt>
                <c:pt idx="7">
                  <c:v>32</c:v>
                </c:pt>
                <c:pt idx="8">
                  <c:v>33</c:v>
                </c:pt>
                <c:pt idx="9">
                  <c:v>34</c:v>
                </c:pt>
                <c:pt idx="10">
                  <c:v>35</c:v>
                </c:pt>
              </c:strCache>
            </c:strRef>
          </c:cat>
          <c:val>
            <c:numRef>
              <c:extLst>
                <c:ext xmlns:c15="http://schemas.microsoft.com/office/drawing/2012/chart" uri="{02D57815-91ED-43cb-92C2-25804820EDAC}">
                  <c15:fullRef>
                    <c15:sqref>'Average_25_Year_Old_Woman_P '!$O$33:$O$43</c15:sqref>
                  </c15:fullRef>
                </c:ext>
              </c:extLst>
              <c:f>'Average_25_Year_Old_Woman_P '!$O$34:$O$43</c:f>
              <c:numCache>
                <c:formatCode>General</c:formatCode>
                <c:ptCount val="10"/>
                <c:pt idx="0">
                  <c:v>25.287500000000009</c:v>
                </c:pt>
                <c:pt idx="1">
                  <c:v>25.578306250000008</c:v>
                </c:pt>
                <c:pt idx="2">
                  <c:v>25.872456771875008</c:v>
                </c:pt>
                <c:pt idx="3">
                  <c:v>26.16999002475157</c:v>
                </c:pt>
                <c:pt idx="4">
                  <c:v>26.470944910036213</c:v>
                </c:pt>
                <c:pt idx="5">
                  <c:v>26.775360776501628</c:v>
                </c:pt>
                <c:pt idx="6">
                  <c:v>27.083277425431397</c:v>
                </c:pt>
                <c:pt idx="7">
                  <c:v>27.39473511582386</c:v>
                </c:pt>
                <c:pt idx="8">
                  <c:v>27.709774569655835</c:v>
                </c:pt>
                <c:pt idx="9">
                  <c:v>28.028436977206876</c:v>
                </c:pt>
              </c:numCache>
            </c:numRef>
          </c:val>
          <c:smooth val="0"/>
          <c:extLst>
            <c:ext xmlns:c16="http://schemas.microsoft.com/office/drawing/2014/chart" uri="{C3380CC4-5D6E-409C-BE32-E72D297353CC}">
              <c16:uniqueId val="{00000000-54D2-4201-8079-7759434276D1}"/>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'Average_25_Year_Old_Woman_P '!$R$32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'Average_25_Year_Old_Woman_P '!$Q$33:$Q$43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'Average_25_Year_Old_Woman_P '!$R$33:$R$43</c:f>
              <c:numCache>
                <c:formatCode>General</c:formatCode>
                <c:ptCount val="11"/>
                <c:pt idx="0">
                  <c:v>24.999999999999996</c:v>
                </c:pt>
                <c:pt idx="1">
                  <c:v>25.307499999999997</c:v>
                </c:pt>
                <c:pt idx="2">
                  <c:v>25.618782249999999</c:v>
                </c:pt>
                <c:pt idx="3">
                  <c:v>25.933893271675</c:v>
                </c:pt>
                <c:pt idx="4">
                  <c:v>26.252880158916604</c:v>
                </c:pt>
                <c:pt idx="5">
                  <c:v>26.575790584871278</c:v>
                </c:pt>
                <c:pt idx="6">
                  <c:v>26.902672809065194</c:v>
                </c:pt>
                <c:pt idx="7">
                  <c:v>27.233575684616696</c:v>
                </c:pt>
                <c:pt idx="8">
                  <c:v>27.568548665537481</c:v>
                </c:pt>
                <c:pt idx="9">
                  <c:v>27.907641814123593</c:v>
                </c:pt>
                <c:pt idx="10">
                  <c:v>28.250905808437313</c:v>
                </c:pt>
              </c:numCache>
            </c:numRef>
          </c:val>
          <c:smooth val="0"/>
          <c:extLst>
            <c:ext xmlns:c16="http://schemas.microsoft.com/office/drawing/2014/chart" uri="{C3380CC4-5D6E-409C-BE32-E72D297353CC}">
              <c16:uniqueId val="{00000000-76F8-4972-9C96-A6973572AC51}"/>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'Average_25_Year_Old_Woman_P '!$U$32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'Average_25_Year_Old_Woman_P '!$T$33:$T$43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'Average_25_Year_Old_Woman_P '!$U$33:$U$43</c:f>
              <c:numCache>
                <c:formatCode>General</c:formatCode>
                <c:ptCount val="11"/>
                <c:pt idx="0">
                  <c:v>23.619142857142858</c:v>
                </c:pt>
                <c:pt idx="1">
                  <c:v>23.749048142857145</c:v>
                </c:pt>
                <c:pt idx="2">
                  <c:v>23.879667907642858</c:v>
                </c:pt>
                <c:pt idx="3">
                  <c:v>24.011006081134894</c:v>
                </c:pt>
                <c:pt idx="4">
                  <c:v>24.143066614581137</c:v>
                </c:pt>
                <c:pt idx="5">
                  <c:v>24.275853480961334</c:v>
                </c:pt>
                <c:pt idx="6">
                  <c:v>24.409370675106622</c:v>
                </c:pt>
                <c:pt idx="7">
                  <c:v>24.54362221381971</c:v>
                </c:pt>
                <c:pt idx="8">
                  <c:v>24.678612135995717</c:v>
                </c:pt>
                <c:pt idx="9">
                  <c:v>24.814344502743694</c:v>
                </c:pt>
                <c:pt idx="10">
                  <c:v>24.950823397508785</c:v>
                </c:pt>
              </c:numCache>
            </c:numRef>
          </c:val>
          <c:smooth val="0"/>
          <c:extLst>
            <c:ext xmlns:c16="http://schemas.microsoft.com/office/drawing/2014/chart" uri="{C3380CC4-5D6E-409C-BE32-E72D297353CC}">
              <c16:uniqueId val="{00000000-82DF-4B01-9CE0-4BFFCF44A8E3}"/>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'Average_25_Year_Old_Woman_P '!$X$32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'Average_25_Year_Old_Woman_P '!$W$33:$W$43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'Average_25_Year_Old_Woman_P '!$X$33:$X$43</c:f>
              <c:numCache>
                <c:formatCode>General</c:formatCode>
                <c:ptCount val="11"/>
                <c:pt idx="0">
                  <c:v>23.499999999999993</c:v>
                </c:pt>
                <c:pt idx="1">
                  <c:v>23.732649999999992</c:v>
                </c:pt>
                <c:pt idx="2">
                  <c:v>23.967603234999991</c:v>
                </c:pt>
                <c:pt idx="3">
                  <c:v>24.20488250702649</c:v>
                </c:pt>
                <c:pt idx="4">
                  <c:v>24.444510843846054</c:v>
                </c:pt>
                <c:pt idx="5">
                  <c:v>24.68651150120013</c:v>
                </c:pt>
                <c:pt idx="6">
                  <c:v>24.930907965062012</c:v>
                </c:pt>
                <c:pt idx="7">
                  <c:v>25.177723953916125</c:v>
                </c:pt>
                <c:pt idx="8">
                  <c:v>25.426983421059894</c:v>
                </c:pt>
                <c:pt idx="9">
                  <c:v>25.678710556928387</c:v>
                </c:pt>
                <c:pt idx="10">
                  <c:v>25.932929791441978</c:v>
                </c:pt>
              </c:numCache>
            </c:numRef>
          </c:val>
          <c:smooth val="0"/>
          <c:extLst>
            <c:ext xmlns:c16="http://schemas.microsoft.com/office/drawing/2014/chart" uri="{C3380CC4-5D6E-409C-BE32-E72D297353CC}">
              <c16:uniqueId val="{00000000-3669-4803-B485-0C1BFED88EB5}"/>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'Average_25_Year_Old_Woman_P '!$AA$32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'Average_25_Year_Old_Woman_P '!$Z$33:$Z$43</c:f>
              <c:numCache>
                <c:formatCode>General</c:formatCode>
                <c:ptCount val="11"/>
                <c:pt idx="0">
                  <c:v>25</c:v>
                </c:pt>
                <c:pt idx="1">
                  <c:v>26</c:v>
                </c:pt>
                <c:pt idx="2">
                  <c:v>27</c:v>
                </c:pt>
                <c:pt idx="3">
                  <c:v>28</c:v>
                </c:pt>
                <c:pt idx="4">
                  <c:v>29</c:v>
                </c:pt>
                <c:pt idx="5">
                  <c:v>30</c:v>
                </c:pt>
                <c:pt idx="6">
                  <c:v>31</c:v>
                </c:pt>
                <c:pt idx="7">
                  <c:v>32</c:v>
                </c:pt>
                <c:pt idx="8">
                  <c:v>33</c:v>
                </c:pt>
                <c:pt idx="9">
                  <c:v>34</c:v>
                </c:pt>
                <c:pt idx="10">
                  <c:v>35</c:v>
                </c:pt>
              </c:numCache>
            </c:numRef>
          </c:cat>
          <c:val>
            <c:numRef>
              <c:f>'Average_25_Year_Old_Woman_P '!$AA$33:$AA$43</c:f>
              <c:numCache>
                <c:formatCode>General</c:formatCode>
                <c:ptCount val="11"/>
                <c:pt idx="0">
                  <c:v>25</c:v>
                </c:pt>
                <c:pt idx="1">
                  <c:v>25.5</c:v>
                </c:pt>
                <c:pt idx="2">
                  <c:v>26.01</c:v>
                </c:pt>
                <c:pt idx="3">
                  <c:v>26.530200000000001</c:v>
                </c:pt>
                <c:pt idx="4">
                  <c:v>27.060804000000001</c:v>
                </c:pt>
                <c:pt idx="5">
                  <c:v>27.602020080000003</c:v>
                </c:pt>
                <c:pt idx="6">
                  <c:v>28.154060481600002</c:v>
                </c:pt>
                <c:pt idx="7">
                  <c:v>28.717141691232001</c:v>
                </c:pt>
                <c:pt idx="8">
                  <c:v>29.291484525056642</c:v>
                </c:pt>
                <c:pt idx="9">
                  <c:v>29.877314215557774</c:v>
                </c:pt>
                <c:pt idx="10">
                  <c:v>30.474860499868932</c:v>
                </c:pt>
              </c:numCache>
            </c:numRef>
          </c:val>
          <c:smooth val="0"/>
          <c:extLst>
            <c:ext xmlns:c16="http://schemas.microsoft.com/office/drawing/2014/chart" uri="{C3380CC4-5D6E-409C-BE32-E72D297353CC}">
              <c16:uniqueId val="{00000000-7B0D-4F20-B9B8-BF35F9DF6967}"/>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Average_30_Year_Old_Man_Profile!$O$32</c:f>
              <c:strCache>
                <c:ptCount val="1"/>
                <c:pt idx="0">
                  <c:v>Vitality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Average_30_Year_Old_Man_Profile!$N$32:$N$43</c15:sqref>
                  </c15:fullRef>
                </c:ext>
              </c:extLst>
              <c:f>Average_30_Year_Old_Man_Profile!$N$33:$N$43</c:f>
              <c:strCache>
                <c:ptCount val="11"/>
                <c:pt idx="0">
                  <c:v>30</c:v>
                </c:pt>
                <c:pt idx="1">
                  <c:v>31</c:v>
                </c:pt>
                <c:pt idx="2">
                  <c:v>32</c:v>
                </c:pt>
                <c:pt idx="3">
                  <c:v>33</c:v>
                </c:pt>
                <c:pt idx="4">
                  <c:v>34</c:v>
                </c:pt>
                <c:pt idx="5">
                  <c:v>35</c:v>
                </c:pt>
                <c:pt idx="6">
                  <c:v>36</c:v>
                </c:pt>
                <c:pt idx="7">
                  <c:v>37</c:v>
                </c:pt>
                <c:pt idx="8">
                  <c:v>38</c:v>
                </c:pt>
                <c:pt idx="9">
                  <c:v>39</c:v>
                </c:pt>
                <c:pt idx="10">
                  <c:v>40</c:v>
                </c:pt>
              </c:strCache>
            </c:strRef>
          </c:cat>
          <c:val>
            <c:numRef>
              <c:extLst>
                <c:ext xmlns:c15="http://schemas.microsoft.com/office/drawing/2012/chart" uri="{02D57815-91ED-43cb-92C2-25804820EDAC}">
                  <c15:fullRef>
                    <c15:sqref>Average_30_Year_Old_Man_Profile!$O$33:$O$43</c15:sqref>
                  </c15:fullRef>
                </c:ext>
              </c:extLst>
              <c:f>Average_30_Year_Old_Man_Profile!$O$34:$O$43</c:f>
              <c:numCache>
                <c:formatCode>General</c:formatCode>
                <c:ptCount val="10"/>
                <c:pt idx="0">
                  <c:v>30.345000000000006</c:v>
                </c:pt>
                <c:pt idx="1">
                  <c:v>30.693967500000007</c:v>
                </c:pt>
                <c:pt idx="2">
                  <c:v>31.046948126250008</c:v>
                </c:pt>
                <c:pt idx="3">
                  <c:v>31.403988029701882</c:v>
                </c:pt>
                <c:pt idx="4">
                  <c:v>31.765133892043455</c:v>
                </c:pt>
                <c:pt idx="5">
                  <c:v>32.130432931801955</c:v>
                </c:pt>
                <c:pt idx="6">
                  <c:v>32.499932910517678</c:v>
                </c:pt>
                <c:pt idx="7">
                  <c:v>32.873682138988634</c:v>
                </c:pt>
                <c:pt idx="8">
                  <c:v>33.251729483587006</c:v>
                </c:pt>
                <c:pt idx="9">
                  <c:v>33.634124372648259</c:v>
                </c:pt>
              </c:numCache>
            </c:numRef>
          </c:val>
          <c:smooth val="0"/>
          <c:extLst>
            <c:ext xmlns:c16="http://schemas.microsoft.com/office/drawing/2014/chart" uri="{C3380CC4-5D6E-409C-BE32-E72D297353CC}">
              <c16:uniqueId val="{00000000-A178-4E4C-977B-1F0F221883BF}"/>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Average_30_Year_Old_Man_Profile!$R$32</c:f>
              <c:strCache>
                <c:ptCount val="1"/>
                <c:pt idx="0">
                  <c:v>Strength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Average_30_Year_Old_Man_Profile!$Q$33:$Q$43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Average_30_Year_Old_Man_Profile!$R$33:$R$43</c:f>
              <c:numCache>
                <c:formatCode>General</c:formatCode>
                <c:ptCount val="11"/>
                <c:pt idx="0">
                  <c:v>29.999999999999996</c:v>
                </c:pt>
                <c:pt idx="1">
                  <c:v>30.368999999999996</c:v>
                </c:pt>
                <c:pt idx="2">
                  <c:v>30.742538699999997</c:v>
                </c:pt>
                <c:pt idx="3">
                  <c:v>31.120671926009997</c:v>
                </c:pt>
                <c:pt idx="4">
                  <c:v>31.503456190699922</c:v>
                </c:pt>
                <c:pt idx="5">
                  <c:v>31.890948701845531</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0-C221-4616-B550-0F1454FC7F0C}"/>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Average_30_Year_Old_Man_Profile!$U$32</c:f>
              <c:strCache>
                <c:ptCount val="1"/>
                <c:pt idx="0">
                  <c:v>Metabolic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Average_30_Year_Old_Man_Profile!$T$33:$T$43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Average_30_Year_Old_Man_Profile!$U$33:$U$43</c:f>
              <c:numCache>
                <c:formatCode>General</c:formatCode>
                <c:ptCount val="11"/>
                <c:pt idx="0">
                  <c:v>28.920406015037596</c:v>
                </c:pt>
                <c:pt idx="1">
                  <c:v>29.079468248120303</c:v>
                </c:pt>
                <c:pt idx="2">
                  <c:v>29.239405323484966</c:v>
                </c:pt>
                <c:pt idx="3">
                  <c:v>29.400222052764132</c:v>
                </c:pt>
                <c:pt idx="4">
                  <c:v>29.561923274054333</c:v>
                </c:pt>
                <c:pt idx="5">
                  <c:v>29.724513852061634</c:v>
                </c:pt>
                <c:pt idx="6">
                  <c:v>29.887998678247971</c:v>
                </c:pt>
                <c:pt idx="7">
                  <c:v>30.052382670978336</c:v>
                </c:pt>
                <c:pt idx="8">
                  <c:v>30.217670775668715</c:v>
                </c:pt>
                <c:pt idx="9">
                  <c:v>30.383867964934893</c:v>
                </c:pt>
                <c:pt idx="10">
                  <c:v>30.550979238742034</c:v>
                </c:pt>
              </c:numCache>
            </c:numRef>
          </c:val>
          <c:smooth val="0"/>
          <c:extLst>
            <c:ext xmlns:c16="http://schemas.microsoft.com/office/drawing/2014/chart" uri="{C3380CC4-5D6E-409C-BE32-E72D297353CC}">
              <c16:uniqueId val="{00000000-192B-49C6-A7E5-4C947FDB3C97}"/>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Average_30_Year_Old_Man_Profile!$X$32</c:f>
              <c:strCache>
                <c:ptCount val="1"/>
                <c:pt idx="0">
                  <c:v>Mobility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Average_30_Year_Old_Man_Profile!$W$33:$W$43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Average_30_Year_Old_Man_Profile!$X$33:$X$43</c:f>
              <c:numCache>
                <c:formatCode>General</c:formatCode>
                <c:ptCount val="11"/>
                <c:pt idx="0">
                  <c:v>29.999999999999996</c:v>
                </c:pt>
                <c:pt idx="1">
                  <c:v>30.296999999999997</c:v>
                </c:pt>
                <c:pt idx="2">
                  <c:v>30.596940299999996</c:v>
                </c:pt>
                <c:pt idx="3">
                  <c:v>30.899850008969995</c:v>
                </c:pt>
                <c:pt idx="4">
                  <c:v>31.205758524058798</c:v>
                </c:pt>
                <c:pt idx="5">
                  <c:v>31.514695533446979</c:v>
                </c:pt>
                <c:pt idx="6">
                  <c:v>31.826691019228104</c:v>
                </c:pt>
                <c:pt idx="7">
                  <c:v>32.141775260318461</c:v>
                </c:pt>
                <c:pt idx="8">
                  <c:v>32.459978835395617</c:v>
                </c:pt>
                <c:pt idx="9">
                  <c:v>32.781332625866035</c:v>
                </c:pt>
                <c:pt idx="10">
                  <c:v>33.105867818862109</c:v>
                </c:pt>
              </c:numCache>
            </c:numRef>
          </c:val>
          <c:smooth val="0"/>
          <c:extLst>
            <c:ext xmlns:c16="http://schemas.microsoft.com/office/drawing/2014/chart" uri="{C3380CC4-5D6E-409C-BE32-E72D297353CC}">
              <c16:uniqueId val="{00000000-1A22-4891-B723-97C7F3FB81B4}"/>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Average_30_Year_Old_Man_Profile!$AA$32</c:f>
              <c:strCache>
                <c:ptCount val="1"/>
                <c:pt idx="0">
                  <c:v>Cognitive Decline of an average 30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Average_30_Year_Old_Man_Profile!$Z$33:$Z$43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Average_30_Year_Old_Man_Profile!$AA$33:$AA$43</c:f>
              <c:numCache>
                <c:formatCode>General</c:formatCode>
                <c:ptCount val="11"/>
                <c:pt idx="0">
                  <c:v>30</c:v>
                </c:pt>
                <c:pt idx="1">
                  <c:v>30.6</c:v>
                </c:pt>
                <c:pt idx="2">
                  <c:v>31.212</c:v>
                </c:pt>
                <c:pt idx="3">
                  <c:v>31.83624</c:v>
                </c:pt>
                <c:pt idx="4">
                  <c:v>32.4729648</c:v>
                </c:pt>
                <c:pt idx="5">
                  <c:v>33.122424096000003</c:v>
                </c:pt>
                <c:pt idx="6">
                  <c:v>33.784872577920005</c:v>
                </c:pt>
                <c:pt idx="7">
                  <c:v>34.460570029478404</c:v>
                </c:pt>
                <c:pt idx="8">
                  <c:v>35.149781430067975</c:v>
                </c:pt>
                <c:pt idx="9">
                  <c:v>35.852777058669332</c:v>
                </c:pt>
                <c:pt idx="10">
                  <c:v>36.569832599842719</c:v>
                </c:pt>
              </c:numCache>
            </c:numRef>
          </c:val>
          <c:smooth val="0"/>
          <c:extLst>
            <c:ext xmlns:c16="http://schemas.microsoft.com/office/drawing/2014/chart" uri="{C3380CC4-5D6E-409C-BE32-E72D297353CC}">
              <c16:uniqueId val="{00000001-0943-445A-BBAC-B31B6646A2D6}"/>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Average_30_Year_Old_Woman_Pro!$O$32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Average_30_Year_Old_Woman_Pro!$N$32:$N$43</c15:sqref>
                  </c15:fullRef>
                </c:ext>
              </c:extLst>
              <c:f>Average_30_Year_Old_Woman_Pro!$N$33:$N$43</c:f>
              <c:strCache>
                <c:ptCount val="11"/>
                <c:pt idx="0">
                  <c:v>30</c:v>
                </c:pt>
                <c:pt idx="1">
                  <c:v>31</c:v>
                </c:pt>
                <c:pt idx="2">
                  <c:v>32</c:v>
                </c:pt>
                <c:pt idx="3">
                  <c:v>33</c:v>
                </c:pt>
                <c:pt idx="4">
                  <c:v>34</c:v>
                </c:pt>
                <c:pt idx="5">
                  <c:v>35</c:v>
                </c:pt>
                <c:pt idx="6">
                  <c:v>36</c:v>
                </c:pt>
                <c:pt idx="7">
                  <c:v>37</c:v>
                </c:pt>
                <c:pt idx="8">
                  <c:v>38</c:v>
                </c:pt>
                <c:pt idx="9">
                  <c:v>39</c:v>
                </c:pt>
                <c:pt idx="10">
                  <c:v>40</c:v>
                </c:pt>
              </c:strCache>
            </c:strRef>
          </c:cat>
          <c:val>
            <c:numRef>
              <c:extLst>
                <c:ext xmlns:c15="http://schemas.microsoft.com/office/drawing/2012/chart" uri="{02D57815-91ED-43cb-92C2-25804820EDAC}">
                  <c15:fullRef>
                    <c15:sqref>Average_30_Year_Old_Woman_Pro!$O$33:$O$43</c15:sqref>
                  </c15:fullRef>
                </c:ext>
              </c:extLst>
              <c:f>Average_30_Year_Old_Woman_Pro!$O$34:$O$43</c:f>
              <c:numCache>
                <c:formatCode>General</c:formatCode>
                <c:ptCount val="10"/>
                <c:pt idx="0">
                  <c:v>30.345000000000006</c:v>
                </c:pt>
                <c:pt idx="1">
                  <c:v>30.693967500000007</c:v>
                </c:pt>
                <c:pt idx="2">
                  <c:v>31.046948126250008</c:v>
                </c:pt>
                <c:pt idx="3">
                  <c:v>31.403988029701882</c:v>
                </c:pt>
                <c:pt idx="4">
                  <c:v>31.765133892043455</c:v>
                </c:pt>
                <c:pt idx="5">
                  <c:v>32.130432931801955</c:v>
                </c:pt>
                <c:pt idx="6">
                  <c:v>32.499932910517678</c:v>
                </c:pt>
                <c:pt idx="7">
                  <c:v>32.873682138988634</c:v>
                </c:pt>
                <c:pt idx="8">
                  <c:v>33.251729483587006</c:v>
                </c:pt>
                <c:pt idx="9">
                  <c:v>33.634124372648259</c:v>
                </c:pt>
              </c:numCache>
            </c:numRef>
          </c:val>
          <c:smooth val="0"/>
          <c:extLst>
            <c:ext xmlns:c16="http://schemas.microsoft.com/office/drawing/2014/chart" uri="{C3380CC4-5D6E-409C-BE32-E72D297353CC}">
              <c16:uniqueId val="{00000000-3A91-49A5-8C06-628A8428B35D}"/>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Average_30_Year_Old_Woman_Pro!$Q$33:$Q$43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Average_30_Year_Old_Woman_Pro!$R$33:$R$43</c:f>
              <c:numCache>
                <c:formatCode>General</c:formatCode>
                <c:ptCount val="11"/>
                <c:pt idx="0">
                  <c:v>29.999999999999996</c:v>
                </c:pt>
                <c:pt idx="1">
                  <c:v>30.368999999999996</c:v>
                </c:pt>
                <c:pt idx="2">
                  <c:v>30.742538699999997</c:v>
                </c:pt>
                <c:pt idx="3">
                  <c:v>31.120671926009997</c:v>
                </c:pt>
                <c:pt idx="4">
                  <c:v>31.503456190699922</c:v>
                </c:pt>
                <c:pt idx="5">
                  <c:v>31.890948701845531</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0-9C54-4717-A456-E1C4F4222A3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Average_30_Year_Old_Woman_Pro!$T$33:$T$43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Average_30_Year_Old_Woman_Pro!$U$33:$U$43</c:f>
              <c:numCache>
                <c:formatCode>General</c:formatCode>
                <c:ptCount val="11"/>
                <c:pt idx="0">
                  <c:v>28.619142857142858</c:v>
                </c:pt>
                <c:pt idx="1">
                  <c:v>28.776548142857145</c:v>
                </c:pt>
                <c:pt idx="2">
                  <c:v>28.93481915764286</c:v>
                </c:pt>
                <c:pt idx="3">
                  <c:v>29.093960663009895</c:v>
                </c:pt>
                <c:pt idx="4">
                  <c:v>29.25397744665645</c:v>
                </c:pt>
                <c:pt idx="5">
                  <c:v>29.414874322613059</c:v>
                </c:pt>
                <c:pt idx="6">
                  <c:v>29.576656131387431</c:v>
                </c:pt>
                <c:pt idx="7">
                  <c:v>29.73932774011006</c:v>
                </c:pt>
                <c:pt idx="8">
                  <c:v>29.902894042680664</c:v>
                </c:pt>
                <c:pt idx="9">
                  <c:v>30.067359959915407</c:v>
                </c:pt>
                <c:pt idx="10">
                  <c:v>30.232730439694944</c:v>
                </c:pt>
              </c:numCache>
            </c:numRef>
          </c:val>
          <c:smooth val="0"/>
          <c:extLst>
            <c:ext xmlns:c16="http://schemas.microsoft.com/office/drawing/2014/chart" uri="{C3380CC4-5D6E-409C-BE32-E72D297353CC}">
              <c16:uniqueId val="{00000000-8D86-43A2-A213-A54966BEE1E1}"/>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Average_30_Year_Old_Woman_Pro!$W$33:$W$43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Average_30_Year_Old_Woman_Pro!$X$33:$X$43</c:f>
              <c:numCache>
                <c:formatCode>General</c:formatCode>
                <c:ptCount val="11"/>
                <c:pt idx="0">
                  <c:v>30.000000000000007</c:v>
                </c:pt>
                <c:pt idx="1">
                  <c:v>30.297000000000008</c:v>
                </c:pt>
                <c:pt idx="2">
                  <c:v>30.596940300000007</c:v>
                </c:pt>
                <c:pt idx="3">
                  <c:v>30.899850008970006</c:v>
                </c:pt>
                <c:pt idx="4">
                  <c:v>31.205758524058808</c:v>
                </c:pt>
                <c:pt idx="5">
                  <c:v>31.514695533446989</c:v>
                </c:pt>
                <c:pt idx="6">
                  <c:v>31.826691019228114</c:v>
                </c:pt>
                <c:pt idx="7">
                  <c:v>32.141775260318475</c:v>
                </c:pt>
                <c:pt idx="8">
                  <c:v>32.459978835395631</c:v>
                </c:pt>
                <c:pt idx="9">
                  <c:v>32.78133262586605</c:v>
                </c:pt>
                <c:pt idx="10">
                  <c:v>33.105867818862123</c:v>
                </c:pt>
              </c:numCache>
            </c:numRef>
          </c:val>
          <c:smooth val="0"/>
          <c:extLst>
            <c:ext xmlns:c16="http://schemas.microsoft.com/office/drawing/2014/chart" uri="{C3380CC4-5D6E-409C-BE32-E72D297353CC}">
              <c16:uniqueId val="{00000000-6482-4E8B-B7B0-786C5E98BA4A}"/>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Average_30_Year_Old_Woman_Pro!$AA$32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Average_30_Year_Old_Woman_Pro!$Z$33:$Z$43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Average_30_Year_Old_Woman_Pro!$AA$33:$AA$43</c:f>
              <c:numCache>
                <c:formatCode>General</c:formatCode>
                <c:ptCount val="11"/>
                <c:pt idx="0">
                  <c:v>30</c:v>
                </c:pt>
                <c:pt idx="1">
                  <c:v>30.6</c:v>
                </c:pt>
                <c:pt idx="2">
                  <c:v>31.212</c:v>
                </c:pt>
                <c:pt idx="3">
                  <c:v>31.83624</c:v>
                </c:pt>
                <c:pt idx="4">
                  <c:v>32.4729648</c:v>
                </c:pt>
                <c:pt idx="5">
                  <c:v>33.122424096000003</c:v>
                </c:pt>
                <c:pt idx="6">
                  <c:v>33.784872577920005</c:v>
                </c:pt>
                <c:pt idx="7">
                  <c:v>34.460570029478404</c:v>
                </c:pt>
                <c:pt idx="8">
                  <c:v>35.149781430067975</c:v>
                </c:pt>
                <c:pt idx="9">
                  <c:v>35.852777058669332</c:v>
                </c:pt>
                <c:pt idx="10">
                  <c:v>36.569832599842719</c:v>
                </c:pt>
              </c:numCache>
            </c:numRef>
          </c:val>
          <c:smooth val="0"/>
          <c:extLst>
            <c:ext xmlns:c16="http://schemas.microsoft.com/office/drawing/2014/chart" uri="{C3380CC4-5D6E-409C-BE32-E72D297353CC}">
              <c16:uniqueId val="{00000000-A3A0-4DE0-A8E1-575E5FCB09B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Average_35_Year_old_Man_Pro!$O$32</c:f>
              <c:strCache>
                <c:ptCount val="1"/>
                <c:pt idx="0">
                  <c:v>Vitality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Average_35_Year_old_Man_Pro!$N$32:$N$43</c15:sqref>
                  </c15:fullRef>
                </c:ext>
              </c:extLst>
              <c:f>Average_35_Year_old_Man_Pro!$N$33:$N$43</c:f>
              <c:strCache>
                <c:ptCount val="11"/>
                <c:pt idx="0">
                  <c:v>35</c:v>
                </c:pt>
                <c:pt idx="1">
                  <c:v>36</c:v>
                </c:pt>
                <c:pt idx="2">
                  <c:v>37</c:v>
                </c:pt>
                <c:pt idx="3">
                  <c:v>38</c:v>
                </c:pt>
                <c:pt idx="4">
                  <c:v>39</c:v>
                </c:pt>
                <c:pt idx="5">
                  <c:v>40</c:v>
                </c:pt>
                <c:pt idx="6">
                  <c:v>41</c:v>
                </c:pt>
                <c:pt idx="7">
                  <c:v>42</c:v>
                </c:pt>
                <c:pt idx="8">
                  <c:v>43</c:v>
                </c:pt>
                <c:pt idx="9">
                  <c:v>44</c:v>
                </c:pt>
                <c:pt idx="10">
                  <c:v>45</c:v>
                </c:pt>
              </c:strCache>
            </c:strRef>
          </c:cat>
          <c:val>
            <c:numRef>
              <c:extLst>
                <c:ext xmlns:c15="http://schemas.microsoft.com/office/drawing/2012/chart" uri="{02D57815-91ED-43cb-92C2-25804820EDAC}">
                  <c15:fullRef>
                    <c15:sqref>Average_35_Year_old_Man_Pro!$O$33:$O$43</c15:sqref>
                  </c15:fullRef>
                </c:ext>
              </c:extLst>
              <c:f>Average_35_Year_old_Man_Pro!$O$34:$O$43</c:f>
              <c:numCache>
                <c:formatCode>General</c:formatCode>
                <c:ptCount val="10"/>
                <c:pt idx="0">
                  <c:v>35.402500000000011</c:v>
                </c:pt>
                <c:pt idx="1">
                  <c:v>35.809628750000009</c:v>
                </c:pt>
                <c:pt idx="2">
                  <c:v>36.221439480625008</c:v>
                </c:pt>
                <c:pt idx="3">
                  <c:v>36.637986034652194</c:v>
                </c:pt>
                <c:pt idx="4">
                  <c:v>37.059322874050693</c:v>
                </c:pt>
                <c:pt idx="5">
                  <c:v>37.485505087102275</c:v>
                </c:pt>
                <c:pt idx="6">
                  <c:v>37.916588395603952</c:v>
                </c:pt>
                <c:pt idx="7">
                  <c:v>38.352629162153399</c:v>
                </c:pt>
                <c:pt idx="8">
                  <c:v>38.793684397518163</c:v>
                </c:pt>
                <c:pt idx="9">
                  <c:v>39.239811768089623</c:v>
                </c:pt>
              </c:numCache>
            </c:numRef>
          </c:val>
          <c:smooth val="0"/>
          <c:extLst>
            <c:ext xmlns:c16="http://schemas.microsoft.com/office/drawing/2014/chart" uri="{C3380CC4-5D6E-409C-BE32-E72D297353CC}">
              <c16:uniqueId val="{00000000-E4A5-4C20-86B0-6EA25647D7BA}"/>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Average_35_Year_old_Man_Pro!$R$32</c:f>
              <c:strCache>
                <c:ptCount val="1"/>
                <c:pt idx="0">
                  <c:v>Strength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Average_35_Year_old_Man_Pro!$Q$33:$Q$43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Average_35_Year_old_Man_Pro!$R$33:$R$43</c:f>
              <c:numCache>
                <c:formatCode>General</c:formatCode>
                <c:ptCount val="11"/>
                <c:pt idx="0">
                  <c:v>35</c:v>
                </c:pt>
                <c:pt idx="1">
                  <c:v>35.430500000000002</c:v>
                </c:pt>
                <c:pt idx="2">
                  <c:v>35.866295149999999</c:v>
                </c:pt>
                <c:pt idx="3">
                  <c:v>36.307450580344998</c:v>
                </c:pt>
                <c:pt idx="4">
                  <c:v>36.754032222483239</c:v>
                </c:pt>
                <c:pt idx="5">
                  <c:v>37.206106818819784</c:v>
                </c:pt>
                <c:pt idx="6">
                  <c:v>37.663741932691266</c:v>
                </c:pt>
                <c:pt idx="7">
                  <c:v>38.127005958463371</c:v>
                </c:pt>
                <c:pt idx="8">
                  <c:v>38.595968131752471</c:v>
                </c:pt>
                <c:pt idx="9">
                  <c:v>39.070698539773026</c:v>
                </c:pt>
                <c:pt idx="10">
                  <c:v>39.551268131812236</c:v>
                </c:pt>
              </c:numCache>
            </c:numRef>
          </c:val>
          <c:smooth val="0"/>
          <c:extLst>
            <c:ext xmlns:c16="http://schemas.microsoft.com/office/drawing/2014/chart" uri="{C3380CC4-5D6E-409C-BE32-E72D297353CC}">
              <c16:uniqueId val="{00000000-21E7-4B9B-B403-F5B1318F36C9}"/>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Average_35_Year_old_Man_Pro!$U$32</c:f>
              <c:strCache>
                <c:ptCount val="1"/>
                <c:pt idx="0">
                  <c:v>Metabolic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Average_35_Year_old_Man_Pro!$T$33:$T$43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Average_35_Year_old_Man_Pro!$U$33:$U$43</c:f>
              <c:numCache>
                <c:formatCode>General</c:formatCode>
                <c:ptCount val="11"/>
                <c:pt idx="0">
                  <c:v>33.920406015037592</c:v>
                </c:pt>
                <c:pt idx="1">
                  <c:v>34.106968248120296</c:v>
                </c:pt>
                <c:pt idx="2">
                  <c:v>34.294556573484961</c:v>
                </c:pt>
                <c:pt idx="3">
                  <c:v>34.483176634639129</c:v>
                </c:pt>
                <c:pt idx="4">
                  <c:v>34.672834106129642</c:v>
                </c:pt>
                <c:pt idx="5">
                  <c:v>34.863534693713355</c:v>
                </c:pt>
                <c:pt idx="6">
                  <c:v>35.055284134528776</c:v>
                </c:pt>
                <c:pt idx="7">
                  <c:v>35.248088197268686</c:v>
                </c:pt>
                <c:pt idx="8">
                  <c:v>35.441952682353666</c:v>
                </c:pt>
                <c:pt idx="9">
                  <c:v>35.636883422106614</c:v>
                </c:pt>
                <c:pt idx="10">
                  <c:v>35.8328862809282</c:v>
                </c:pt>
              </c:numCache>
            </c:numRef>
          </c:val>
          <c:smooth val="0"/>
          <c:extLst>
            <c:ext xmlns:c16="http://schemas.microsoft.com/office/drawing/2014/chart" uri="{C3380CC4-5D6E-409C-BE32-E72D297353CC}">
              <c16:uniqueId val="{00000000-FA1F-4854-B2ED-3181051F8A9A}"/>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Average_35_Year_old_Man_Pro!$X$32</c:f>
              <c:strCache>
                <c:ptCount val="1"/>
                <c:pt idx="0">
                  <c:v>Mobility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Average_35_Year_old_Man_Pro!$W$33:$W$43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Average_35_Year_old_Man_Pro!$X$33:$X$43</c:f>
              <c:numCache>
                <c:formatCode>General</c:formatCode>
                <c:ptCount val="11"/>
                <c:pt idx="0">
                  <c:v>34.999999999999993</c:v>
                </c:pt>
                <c:pt idx="1">
                  <c:v>35.346499999999992</c:v>
                </c:pt>
                <c:pt idx="2">
                  <c:v>35.696430349999993</c:v>
                </c:pt>
                <c:pt idx="3">
                  <c:v>36.049825010464993</c:v>
                </c:pt>
                <c:pt idx="4">
                  <c:v>36.406718278068595</c:v>
                </c:pt>
                <c:pt idx="5">
                  <c:v>36.767144789021472</c:v>
                </c:pt>
                <c:pt idx="6">
                  <c:v>37.131139522432782</c:v>
                </c:pt>
                <c:pt idx="7">
                  <c:v>37.49873780370487</c:v>
                </c:pt>
                <c:pt idx="8">
                  <c:v>37.869975307961546</c:v>
                </c:pt>
                <c:pt idx="9">
                  <c:v>38.244888063510366</c:v>
                </c:pt>
                <c:pt idx="10">
                  <c:v>38.623512455339117</c:v>
                </c:pt>
              </c:numCache>
            </c:numRef>
          </c:val>
          <c:smooth val="0"/>
          <c:extLst>
            <c:ext xmlns:c16="http://schemas.microsoft.com/office/drawing/2014/chart" uri="{C3380CC4-5D6E-409C-BE32-E72D297353CC}">
              <c16:uniqueId val="{00000000-1A78-46B9-86DD-460A382F8CF8}"/>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Average_35_Year_old_Man_Pro!$AA$32</c:f>
              <c:strCache>
                <c:ptCount val="1"/>
                <c:pt idx="0">
                  <c:v>Cognitive Decline of an average 30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Average_35_Year_old_Man_Pro!$Z$33:$Z$43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Average_35_Year_old_Man_Pro!$AA$33:$AA$43</c:f>
              <c:numCache>
                <c:formatCode>General</c:formatCode>
                <c:ptCount val="11"/>
                <c:pt idx="0">
                  <c:v>35</c:v>
                </c:pt>
                <c:pt idx="1">
                  <c:v>35.700000000000003</c:v>
                </c:pt>
                <c:pt idx="2">
                  <c:v>36.414000000000001</c:v>
                </c:pt>
                <c:pt idx="3">
                  <c:v>37.14228</c:v>
                </c:pt>
                <c:pt idx="4">
                  <c:v>37.885125600000002</c:v>
                </c:pt>
                <c:pt idx="5">
                  <c:v>38.642828112000004</c:v>
                </c:pt>
                <c:pt idx="6">
                  <c:v>39.415684674240005</c:v>
                </c:pt>
                <c:pt idx="7">
                  <c:v>40.203998367724807</c:v>
                </c:pt>
                <c:pt idx="8">
                  <c:v>41.008078335079304</c:v>
                </c:pt>
                <c:pt idx="9">
                  <c:v>41.82823990178089</c:v>
                </c:pt>
                <c:pt idx="10">
                  <c:v>42.664804699816507</c:v>
                </c:pt>
              </c:numCache>
            </c:numRef>
          </c:val>
          <c:smooth val="0"/>
          <c:extLst>
            <c:ext xmlns:c16="http://schemas.microsoft.com/office/drawing/2014/chart" uri="{C3380CC4-5D6E-409C-BE32-E72D297353CC}">
              <c16:uniqueId val="{00000000-BB07-4ADC-882E-CD408D4A55F3}"/>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Average_35_Year_Old_Woman_Pro!$O$32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Average_35_Year_Old_Woman_Pro!$N$32:$N$43</c15:sqref>
                  </c15:fullRef>
                </c:ext>
              </c:extLst>
              <c:f>Average_35_Year_Old_Woman_Pro!$N$33:$N$43</c:f>
              <c:strCache>
                <c:ptCount val="11"/>
                <c:pt idx="0">
                  <c:v>35</c:v>
                </c:pt>
                <c:pt idx="1">
                  <c:v>36</c:v>
                </c:pt>
                <c:pt idx="2">
                  <c:v>37</c:v>
                </c:pt>
                <c:pt idx="3">
                  <c:v>38</c:v>
                </c:pt>
                <c:pt idx="4">
                  <c:v>39</c:v>
                </c:pt>
                <c:pt idx="5">
                  <c:v>40</c:v>
                </c:pt>
                <c:pt idx="6">
                  <c:v>41</c:v>
                </c:pt>
                <c:pt idx="7">
                  <c:v>42</c:v>
                </c:pt>
                <c:pt idx="8">
                  <c:v>43</c:v>
                </c:pt>
                <c:pt idx="9">
                  <c:v>44</c:v>
                </c:pt>
                <c:pt idx="10">
                  <c:v>45</c:v>
                </c:pt>
              </c:strCache>
            </c:strRef>
          </c:cat>
          <c:val>
            <c:numRef>
              <c:extLst>
                <c:ext xmlns:c15="http://schemas.microsoft.com/office/drawing/2012/chart" uri="{02D57815-91ED-43cb-92C2-25804820EDAC}">
                  <c15:fullRef>
                    <c15:sqref>Average_35_Year_Old_Woman_Pro!$O$33:$O$43</c15:sqref>
                  </c15:fullRef>
                </c:ext>
              </c:extLst>
              <c:f>Average_35_Year_Old_Woman_Pro!$O$34:$O$43</c:f>
              <c:numCache>
                <c:formatCode>General</c:formatCode>
                <c:ptCount val="10"/>
                <c:pt idx="0">
                  <c:v>35.402500000000011</c:v>
                </c:pt>
                <c:pt idx="1">
                  <c:v>35.809628750000009</c:v>
                </c:pt>
                <c:pt idx="2">
                  <c:v>36.221439480625008</c:v>
                </c:pt>
                <c:pt idx="3">
                  <c:v>36.637986034652194</c:v>
                </c:pt>
                <c:pt idx="4">
                  <c:v>37.059322874050693</c:v>
                </c:pt>
                <c:pt idx="5">
                  <c:v>37.485505087102275</c:v>
                </c:pt>
                <c:pt idx="6">
                  <c:v>37.916588395603952</c:v>
                </c:pt>
                <c:pt idx="7">
                  <c:v>38.352629162153399</c:v>
                </c:pt>
                <c:pt idx="8">
                  <c:v>38.793684397518163</c:v>
                </c:pt>
                <c:pt idx="9">
                  <c:v>39.239811768089623</c:v>
                </c:pt>
              </c:numCache>
            </c:numRef>
          </c:val>
          <c:smooth val="0"/>
          <c:extLst>
            <c:ext xmlns:c16="http://schemas.microsoft.com/office/drawing/2014/chart" uri="{C3380CC4-5D6E-409C-BE32-E72D297353CC}">
              <c16:uniqueId val="{00000000-6F4B-4042-8AEB-0E38FB83C1E7}"/>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Average_35_Year_Old_Woman_Pro!$Q$33:$Q$43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Average_35_Year_Old_Woman_Pro!$R$33:$R$43</c:f>
              <c:numCache>
                <c:formatCode>General</c:formatCode>
                <c:ptCount val="11"/>
                <c:pt idx="0">
                  <c:v>35</c:v>
                </c:pt>
                <c:pt idx="1">
                  <c:v>35.430500000000002</c:v>
                </c:pt>
                <c:pt idx="2">
                  <c:v>35.866295149999999</c:v>
                </c:pt>
                <c:pt idx="3">
                  <c:v>36.307450580344998</c:v>
                </c:pt>
                <c:pt idx="4">
                  <c:v>36.754032222483239</c:v>
                </c:pt>
                <c:pt idx="5">
                  <c:v>37.206106818819784</c:v>
                </c:pt>
                <c:pt idx="6">
                  <c:v>37.663741932691266</c:v>
                </c:pt>
                <c:pt idx="7">
                  <c:v>38.127005958463371</c:v>
                </c:pt>
                <c:pt idx="8">
                  <c:v>38.595968131752471</c:v>
                </c:pt>
                <c:pt idx="9">
                  <c:v>39.070698539773026</c:v>
                </c:pt>
                <c:pt idx="10">
                  <c:v>39.551268131812236</c:v>
                </c:pt>
              </c:numCache>
            </c:numRef>
          </c:val>
          <c:smooth val="0"/>
          <c:extLst>
            <c:ext xmlns:c16="http://schemas.microsoft.com/office/drawing/2014/chart" uri="{C3380CC4-5D6E-409C-BE32-E72D297353CC}">
              <c16:uniqueId val="{00000000-DCAE-4832-9C3F-92A6C8136E7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Average_35_Year_Old_Woman_Pro!$T$33:$T$43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Average_35_Year_Old_Woman_Pro!$U$33:$U$43</c:f>
              <c:numCache>
                <c:formatCode>General</c:formatCode>
                <c:ptCount val="11"/>
                <c:pt idx="0">
                  <c:v>33.871142857142857</c:v>
                </c:pt>
                <c:pt idx="1">
                  <c:v>34.05743414285714</c:v>
                </c:pt>
                <c:pt idx="2">
                  <c:v>34.244750030642855</c:v>
                </c:pt>
                <c:pt idx="3">
                  <c:v>34.433096155811391</c:v>
                </c:pt>
                <c:pt idx="4">
                  <c:v>34.622478184668353</c:v>
                </c:pt>
                <c:pt idx="5">
                  <c:v>34.812901814684025</c:v>
                </c:pt>
                <c:pt idx="6">
                  <c:v>35.004372774664787</c:v>
                </c:pt>
                <c:pt idx="7">
                  <c:v>35.196896824925446</c:v>
                </c:pt>
                <c:pt idx="8">
                  <c:v>35.390479757462536</c:v>
                </c:pt>
                <c:pt idx="9">
                  <c:v>35.585127396128577</c:v>
                </c:pt>
                <c:pt idx="10">
                  <c:v>35.780845596807282</c:v>
                </c:pt>
              </c:numCache>
            </c:numRef>
          </c:val>
          <c:smooth val="0"/>
          <c:extLst>
            <c:ext xmlns:c16="http://schemas.microsoft.com/office/drawing/2014/chart" uri="{C3380CC4-5D6E-409C-BE32-E72D297353CC}">
              <c16:uniqueId val="{00000000-4972-4A79-BBE5-65643B75B935}"/>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Average_35_Year_Old_Woman_Pro!$X$32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Average_35_Year_Old_Woman_Pro!$W$33:$W$43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Average_35_Year_Old_Woman_Pro!$X$33:$X$43</c:f>
              <c:numCache>
                <c:formatCode>General</c:formatCode>
                <c:ptCount val="11"/>
                <c:pt idx="0">
                  <c:v>35</c:v>
                </c:pt>
                <c:pt idx="1">
                  <c:v>35.346499999999999</c:v>
                </c:pt>
                <c:pt idx="2">
                  <c:v>35.69643035</c:v>
                </c:pt>
                <c:pt idx="3">
                  <c:v>36.049825010465</c:v>
                </c:pt>
                <c:pt idx="4">
                  <c:v>36.406718278068603</c:v>
                </c:pt>
                <c:pt idx="5">
                  <c:v>36.767144789021479</c:v>
                </c:pt>
                <c:pt idx="6">
                  <c:v>37.13113952243279</c:v>
                </c:pt>
                <c:pt idx="7">
                  <c:v>37.498737803704877</c:v>
                </c:pt>
                <c:pt idx="8">
                  <c:v>37.869975307961553</c:v>
                </c:pt>
                <c:pt idx="9">
                  <c:v>38.244888063510373</c:v>
                </c:pt>
                <c:pt idx="10">
                  <c:v>38.623512455339124</c:v>
                </c:pt>
              </c:numCache>
            </c:numRef>
          </c:val>
          <c:smooth val="0"/>
          <c:extLst>
            <c:ext xmlns:c16="http://schemas.microsoft.com/office/drawing/2014/chart" uri="{C3380CC4-5D6E-409C-BE32-E72D297353CC}">
              <c16:uniqueId val="{00000000-14EC-4DA6-ADB9-7B62B115B3BC}"/>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Average_35_Year_Old_Woman_Pro!$AA$32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Average_35_Year_Old_Woman_Pro!$Z$33:$Z$43</c:f>
              <c:numCache>
                <c:formatCode>General</c:formatCode>
                <c:ptCount val="11"/>
                <c:pt idx="0">
                  <c:v>35</c:v>
                </c:pt>
                <c:pt idx="1">
                  <c:v>36</c:v>
                </c:pt>
                <c:pt idx="2">
                  <c:v>37</c:v>
                </c:pt>
                <c:pt idx="3">
                  <c:v>38</c:v>
                </c:pt>
                <c:pt idx="4">
                  <c:v>39</c:v>
                </c:pt>
                <c:pt idx="5">
                  <c:v>40</c:v>
                </c:pt>
                <c:pt idx="6">
                  <c:v>41</c:v>
                </c:pt>
                <c:pt idx="7">
                  <c:v>42</c:v>
                </c:pt>
                <c:pt idx="8">
                  <c:v>43</c:v>
                </c:pt>
                <c:pt idx="9">
                  <c:v>44</c:v>
                </c:pt>
                <c:pt idx="10">
                  <c:v>45</c:v>
                </c:pt>
              </c:numCache>
            </c:numRef>
          </c:cat>
          <c:val>
            <c:numRef>
              <c:f>Average_35_Year_Old_Woman_Pro!$AA$33:$AA$43</c:f>
              <c:numCache>
                <c:formatCode>General</c:formatCode>
                <c:ptCount val="11"/>
                <c:pt idx="0">
                  <c:v>35</c:v>
                </c:pt>
                <c:pt idx="1">
                  <c:v>35.700000000000003</c:v>
                </c:pt>
                <c:pt idx="2">
                  <c:v>36.414000000000001</c:v>
                </c:pt>
                <c:pt idx="3">
                  <c:v>37.14228</c:v>
                </c:pt>
                <c:pt idx="4">
                  <c:v>37.885125600000002</c:v>
                </c:pt>
                <c:pt idx="5">
                  <c:v>38.642828112000004</c:v>
                </c:pt>
                <c:pt idx="6">
                  <c:v>39.415684674240005</c:v>
                </c:pt>
                <c:pt idx="7">
                  <c:v>40.203998367724807</c:v>
                </c:pt>
                <c:pt idx="8">
                  <c:v>41.008078335079304</c:v>
                </c:pt>
                <c:pt idx="9">
                  <c:v>41.82823990178089</c:v>
                </c:pt>
                <c:pt idx="10">
                  <c:v>42.664804699816507</c:v>
                </c:pt>
              </c:numCache>
            </c:numRef>
          </c:val>
          <c:smooth val="0"/>
          <c:extLst>
            <c:ext xmlns:c16="http://schemas.microsoft.com/office/drawing/2014/chart" uri="{C3380CC4-5D6E-409C-BE32-E72D297353CC}">
              <c16:uniqueId val="{00000000-8D0C-4836-BBF0-0C6C5E9D30AE}"/>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Average_40_Year_Old_Man_Pro!$O$32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Average_40_Year_Old_Man_Pro!$N$32:$N$43</c15:sqref>
                  </c15:fullRef>
                </c:ext>
              </c:extLst>
              <c:f>Average_40_Year_Old_Man_Pro!$N$33:$N$43</c:f>
              <c:strCache>
                <c:ptCount val="11"/>
                <c:pt idx="0">
                  <c:v>40</c:v>
                </c:pt>
                <c:pt idx="1">
                  <c:v>41</c:v>
                </c:pt>
                <c:pt idx="2">
                  <c:v>42</c:v>
                </c:pt>
                <c:pt idx="3">
                  <c:v>43</c:v>
                </c:pt>
                <c:pt idx="4">
                  <c:v>44</c:v>
                </c:pt>
                <c:pt idx="5">
                  <c:v>45</c:v>
                </c:pt>
                <c:pt idx="6">
                  <c:v>46</c:v>
                </c:pt>
                <c:pt idx="7">
                  <c:v>47</c:v>
                </c:pt>
                <c:pt idx="8">
                  <c:v>48</c:v>
                </c:pt>
                <c:pt idx="9">
                  <c:v>49</c:v>
                </c:pt>
                <c:pt idx="10">
                  <c:v>50</c:v>
                </c:pt>
              </c:strCache>
            </c:strRef>
          </c:cat>
          <c:val>
            <c:numRef>
              <c:extLst>
                <c:ext xmlns:c15="http://schemas.microsoft.com/office/drawing/2012/chart" uri="{02D57815-91ED-43cb-92C2-25804820EDAC}">
                  <c15:fullRef>
                    <c15:sqref>Average_40_Year_Old_Man_Pro!$O$33:$O$43</c15:sqref>
                  </c15:fullRef>
                </c:ext>
              </c:extLst>
              <c:f>Average_40_Year_Old_Man_Pro!$O$34:$O$43</c:f>
              <c:numCache>
                <c:formatCode>General</c:formatCode>
                <c:ptCount val="10"/>
                <c:pt idx="0">
                  <c:v>40.460000000000008</c:v>
                </c:pt>
                <c:pt idx="1">
                  <c:v>40.925290000000011</c:v>
                </c:pt>
                <c:pt idx="2">
                  <c:v>41.395930835000009</c:v>
                </c:pt>
                <c:pt idx="3">
                  <c:v>41.871984039602509</c:v>
                </c:pt>
                <c:pt idx="4">
                  <c:v>42.353511856057935</c:v>
                </c:pt>
                <c:pt idx="5">
                  <c:v>42.840577242402603</c:v>
                </c:pt>
                <c:pt idx="6">
                  <c:v>43.333243880690233</c:v>
                </c:pt>
                <c:pt idx="7">
                  <c:v>43.83157618531817</c:v>
                </c:pt>
                <c:pt idx="8">
                  <c:v>44.335639311449327</c:v>
                </c:pt>
                <c:pt idx="9">
                  <c:v>44.845499163530995</c:v>
                </c:pt>
              </c:numCache>
            </c:numRef>
          </c:val>
          <c:smooth val="0"/>
          <c:extLst>
            <c:ext xmlns:c16="http://schemas.microsoft.com/office/drawing/2014/chart" uri="{C3380CC4-5D6E-409C-BE32-E72D297353CC}">
              <c16:uniqueId val="{00000000-78EC-4C4F-85C7-FDBF9AE4BB5F}"/>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Average_40_Year_Old_Man_Pro!$Q$33:$Q$43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Average_40_Year_Old_Man_Pro!$R$33:$R$43</c:f>
              <c:numCache>
                <c:formatCode>General</c:formatCode>
                <c:ptCount val="11"/>
                <c:pt idx="0">
                  <c:v>40</c:v>
                </c:pt>
                <c:pt idx="1">
                  <c:v>40.491999999999997</c:v>
                </c:pt>
                <c:pt idx="2">
                  <c:v>40.990051599999994</c:v>
                </c:pt>
                <c:pt idx="3">
                  <c:v>41.494229234679992</c:v>
                </c:pt>
                <c:pt idx="4">
                  <c:v>42.004608254266557</c:v>
                </c:pt>
                <c:pt idx="5">
                  <c:v>42.521264935794036</c:v>
                </c:pt>
                <c:pt idx="6">
                  <c:v>43.044276494504302</c:v>
                </c:pt>
                <c:pt idx="7">
                  <c:v>43.573721095386702</c:v>
                </c:pt>
                <c:pt idx="8">
                  <c:v>44.109677864859961</c:v>
                </c:pt>
                <c:pt idx="9">
                  <c:v>44.652226902597739</c:v>
                </c:pt>
                <c:pt idx="10">
                  <c:v>45.201449293499692</c:v>
                </c:pt>
              </c:numCache>
            </c:numRef>
          </c:val>
          <c:smooth val="0"/>
          <c:extLst>
            <c:ext xmlns:c16="http://schemas.microsoft.com/office/drawing/2014/chart" uri="{C3380CC4-5D6E-409C-BE32-E72D297353CC}">
              <c16:uniqueId val="{00000000-AC46-42C7-AEBA-9FF57A4F82D0}"/>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Average_40_Year_Old_Man_Pro!$T$33:$T$43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Average_40_Year_Old_Man_Pro!$U$33:$U$43</c:f>
              <c:numCache>
                <c:formatCode>General</c:formatCode>
                <c:ptCount val="11"/>
                <c:pt idx="0">
                  <c:v>41.157142857142858</c:v>
                </c:pt>
                <c:pt idx="1">
                  <c:v>41.383507142857141</c:v>
                </c:pt>
                <c:pt idx="2">
                  <c:v>41.611116432142857</c:v>
                </c:pt>
                <c:pt idx="3">
                  <c:v>41.839977572519643</c:v>
                </c:pt>
                <c:pt idx="4">
                  <c:v>42.0700974491685</c:v>
                </c:pt>
                <c:pt idx="5">
                  <c:v>42.301482985138925</c:v>
                </c:pt>
                <c:pt idx="6">
                  <c:v>42.534141141557193</c:v>
                </c:pt>
                <c:pt idx="7">
                  <c:v>42.768078917835759</c:v>
                </c:pt>
                <c:pt idx="8">
                  <c:v>43.003303351883858</c:v>
                </c:pt>
                <c:pt idx="9">
                  <c:v>43.239821520319218</c:v>
                </c:pt>
                <c:pt idx="10">
                  <c:v>43.477640538680973</c:v>
                </c:pt>
              </c:numCache>
            </c:numRef>
          </c:val>
          <c:smooth val="0"/>
          <c:extLst>
            <c:ext xmlns:c16="http://schemas.microsoft.com/office/drawing/2014/chart" uri="{C3380CC4-5D6E-409C-BE32-E72D297353CC}">
              <c16:uniqueId val="{00000000-6F36-4575-B681-2352E49ABEC4}"/>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Average_40_Year_Old_Man_Pro!$W$33:$W$43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Average_40_Year_Old_Man_Pro!$X$33:$X$43</c:f>
              <c:numCache>
                <c:formatCode>General</c:formatCode>
                <c:ptCount val="11"/>
                <c:pt idx="0">
                  <c:v>40</c:v>
                </c:pt>
                <c:pt idx="1">
                  <c:v>40.396000000000001</c:v>
                </c:pt>
                <c:pt idx="2">
                  <c:v>40.7959204</c:v>
                </c:pt>
                <c:pt idx="3">
                  <c:v>41.199800011960001</c:v>
                </c:pt>
                <c:pt idx="4">
                  <c:v>41.607678032078404</c:v>
                </c:pt>
                <c:pt idx="5">
                  <c:v>42.019594044595983</c:v>
                </c:pt>
                <c:pt idx="6">
                  <c:v>42.435588025637486</c:v>
                </c:pt>
                <c:pt idx="7">
                  <c:v>42.8557003470913</c:v>
                </c:pt>
                <c:pt idx="8">
                  <c:v>43.279971780527504</c:v>
                </c:pt>
                <c:pt idx="9">
                  <c:v>43.708443501154726</c:v>
                </c:pt>
                <c:pt idx="10">
                  <c:v>44.141157091816154</c:v>
                </c:pt>
              </c:numCache>
            </c:numRef>
          </c:val>
          <c:smooth val="0"/>
          <c:extLst>
            <c:ext xmlns:c16="http://schemas.microsoft.com/office/drawing/2014/chart" uri="{C3380CC4-5D6E-409C-BE32-E72D297353CC}">
              <c16:uniqueId val="{00000000-50DB-4768-B72C-BEBB4FBDE16F}"/>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Average_40_Year_Old_Man_Pro!$AA$32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Average_40_Year_Old_Man_Pro!$Z$33:$Z$43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Average_40_Year_Old_Man_Pro!$AA$33:$AA$43</c:f>
              <c:numCache>
                <c:formatCode>General</c:formatCode>
                <c:ptCount val="11"/>
                <c:pt idx="0">
                  <c:v>40</c:v>
                </c:pt>
                <c:pt idx="1">
                  <c:v>40.799999999999997</c:v>
                </c:pt>
                <c:pt idx="2">
                  <c:v>41.616</c:v>
                </c:pt>
                <c:pt idx="3">
                  <c:v>42.448320000000002</c:v>
                </c:pt>
                <c:pt idx="4">
                  <c:v>43.297286400000004</c:v>
                </c:pt>
                <c:pt idx="5">
                  <c:v>44.163232128000004</c:v>
                </c:pt>
                <c:pt idx="6">
                  <c:v>45.046496770560005</c:v>
                </c:pt>
                <c:pt idx="7">
                  <c:v>45.947426705971203</c:v>
                </c:pt>
                <c:pt idx="8">
                  <c:v>46.866375240090626</c:v>
                </c:pt>
                <c:pt idx="9">
                  <c:v>47.803702744892441</c:v>
                </c:pt>
                <c:pt idx="10">
                  <c:v>48.759776799790288</c:v>
                </c:pt>
              </c:numCache>
            </c:numRef>
          </c:val>
          <c:smooth val="0"/>
          <c:extLst>
            <c:ext xmlns:c16="http://schemas.microsoft.com/office/drawing/2014/chart" uri="{C3380CC4-5D6E-409C-BE32-E72D297353CC}">
              <c16:uniqueId val="{00000000-0741-4F89-83D3-ECF645D46401}"/>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Average_40_Year_Old_Woman_Pro!$O$32</c:f>
              <c:strCache>
                <c:ptCount val="1"/>
                <c:pt idx="0">
                  <c:v>Vitality Decline of an average 40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Average_40_Year_Old_Woman_Pro!$N$32:$N$43</c15:sqref>
                  </c15:fullRef>
                </c:ext>
              </c:extLst>
              <c:f>Average_40_Year_Old_Woman_Pro!$N$33:$N$43</c:f>
              <c:strCache>
                <c:ptCount val="11"/>
                <c:pt idx="0">
                  <c:v>40</c:v>
                </c:pt>
                <c:pt idx="1">
                  <c:v>41</c:v>
                </c:pt>
                <c:pt idx="2">
                  <c:v>42</c:v>
                </c:pt>
                <c:pt idx="3">
                  <c:v>43</c:v>
                </c:pt>
                <c:pt idx="4">
                  <c:v>44</c:v>
                </c:pt>
                <c:pt idx="5">
                  <c:v>45</c:v>
                </c:pt>
                <c:pt idx="6">
                  <c:v>46</c:v>
                </c:pt>
                <c:pt idx="7">
                  <c:v>47</c:v>
                </c:pt>
                <c:pt idx="8">
                  <c:v>48</c:v>
                </c:pt>
                <c:pt idx="9">
                  <c:v>49</c:v>
                </c:pt>
                <c:pt idx="10">
                  <c:v>50</c:v>
                </c:pt>
              </c:strCache>
            </c:strRef>
          </c:cat>
          <c:val>
            <c:numRef>
              <c:extLst>
                <c:ext xmlns:c15="http://schemas.microsoft.com/office/drawing/2012/chart" uri="{02D57815-91ED-43cb-92C2-25804820EDAC}">
                  <c15:fullRef>
                    <c15:sqref>Average_40_Year_Old_Woman_Pro!$O$33:$O$43</c15:sqref>
                  </c15:fullRef>
                </c:ext>
              </c:extLst>
              <c:f>Average_40_Year_Old_Woman_Pro!$O$34:$O$43</c:f>
              <c:numCache>
                <c:formatCode>General</c:formatCode>
                <c:ptCount val="10"/>
                <c:pt idx="0">
                  <c:v>40.460000000000008</c:v>
                </c:pt>
                <c:pt idx="1">
                  <c:v>40.925290000000011</c:v>
                </c:pt>
                <c:pt idx="2">
                  <c:v>41.395930835000009</c:v>
                </c:pt>
                <c:pt idx="3">
                  <c:v>41.871984039602509</c:v>
                </c:pt>
                <c:pt idx="4">
                  <c:v>42.353511856057935</c:v>
                </c:pt>
                <c:pt idx="5">
                  <c:v>42.840577242402603</c:v>
                </c:pt>
                <c:pt idx="6">
                  <c:v>43.333243880690233</c:v>
                </c:pt>
                <c:pt idx="7">
                  <c:v>43.83157618531817</c:v>
                </c:pt>
                <c:pt idx="8">
                  <c:v>44.335639311449327</c:v>
                </c:pt>
                <c:pt idx="9">
                  <c:v>44.845499163530995</c:v>
                </c:pt>
              </c:numCache>
            </c:numRef>
          </c:val>
          <c:smooth val="0"/>
          <c:extLst>
            <c:ext xmlns:c16="http://schemas.microsoft.com/office/drawing/2014/chart" uri="{C3380CC4-5D6E-409C-BE32-E72D297353CC}">
              <c16:uniqueId val="{00000000-FE81-4D6B-B945-062FE484973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Average_40_Year_Old_Woman_Pro!$R$32</c:f>
              <c:strCache>
                <c:ptCount val="1"/>
                <c:pt idx="0">
                  <c:v>Strength Decline of an average 40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Average_40_Year_Old_Woman_Pro!$Q$33:$Q$43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Average_40_Year_Old_Woman_Pro!$R$33:$R$43</c:f>
              <c:numCache>
                <c:formatCode>General</c:formatCode>
                <c:ptCount val="11"/>
                <c:pt idx="0">
                  <c:v>40</c:v>
                </c:pt>
                <c:pt idx="1">
                  <c:v>40.491999999999997</c:v>
                </c:pt>
                <c:pt idx="2">
                  <c:v>40.990051599999994</c:v>
                </c:pt>
                <c:pt idx="3">
                  <c:v>41.494229234679992</c:v>
                </c:pt>
                <c:pt idx="4">
                  <c:v>42.004608254266557</c:v>
                </c:pt>
                <c:pt idx="5">
                  <c:v>42.521264935794036</c:v>
                </c:pt>
                <c:pt idx="6">
                  <c:v>43.044276494504302</c:v>
                </c:pt>
                <c:pt idx="7">
                  <c:v>43.573721095386702</c:v>
                </c:pt>
                <c:pt idx="8">
                  <c:v>44.109677864859961</c:v>
                </c:pt>
                <c:pt idx="9">
                  <c:v>44.652226902597739</c:v>
                </c:pt>
                <c:pt idx="10">
                  <c:v>45.201449293499692</c:v>
                </c:pt>
              </c:numCache>
            </c:numRef>
          </c:val>
          <c:smooth val="0"/>
          <c:extLst>
            <c:ext xmlns:c16="http://schemas.microsoft.com/office/drawing/2014/chart" uri="{C3380CC4-5D6E-409C-BE32-E72D297353CC}">
              <c16:uniqueId val="{00000000-957C-4DDA-B167-60EE5DE80D32}"/>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Average_40_Year_Old_Woman_Pro!$U$32</c:f>
              <c:strCache>
                <c:ptCount val="1"/>
                <c:pt idx="0">
                  <c:v>Metabolic Decline of an average 40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Average_40_Year_Old_Woman_Pro!$T$33:$T$43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Average_40_Year_Old_Woman_Pro!$U$33:$U$43</c:f>
              <c:numCache>
                <c:formatCode>General</c:formatCode>
                <c:ptCount val="11"/>
                <c:pt idx="0">
                  <c:v>38.754142857142853</c:v>
                </c:pt>
                <c:pt idx="1">
                  <c:v>38.967290642857137</c:v>
                </c:pt>
                <c:pt idx="2">
                  <c:v>39.181610741392852</c:v>
                </c:pt>
                <c:pt idx="3">
                  <c:v>39.397109600470515</c:v>
                </c:pt>
                <c:pt idx="4">
                  <c:v>39.613793703273103</c:v>
                </c:pt>
                <c:pt idx="5">
                  <c:v>39.831669568641104</c:v>
                </c:pt>
                <c:pt idx="6">
                  <c:v>40.050743751268627</c:v>
                </c:pt>
                <c:pt idx="7">
                  <c:v>40.271022841900603</c:v>
                </c:pt>
                <c:pt idx="8">
                  <c:v>40.492513467531055</c:v>
                </c:pt>
                <c:pt idx="9">
                  <c:v>40.715222291602473</c:v>
                </c:pt>
                <c:pt idx="10">
                  <c:v>40.939156014206283</c:v>
                </c:pt>
              </c:numCache>
            </c:numRef>
          </c:val>
          <c:smooth val="0"/>
          <c:extLst>
            <c:ext xmlns:c16="http://schemas.microsoft.com/office/drawing/2014/chart" uri="{C3380CC4-5D6E-409C-BE32-E72D297353CC}">
              <c16:uniqueId val="{00000000-5325-4047-B621-2E7D93B7B320}"/>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Average_40_Year_Old_Woman_Pro!$X$32</c:f>
              <c:strCache>
                <c:ptCount val="1"/>
                <c:pt idx="0">
                  <c:v>Mobility Decline of an average 40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Average_40_Year_Old_Woman_Pro!$W$33:$W$43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Average_40_Year_Old_Woman_Pro!$X$33:$X$43</c:f>
              <c:numCache>
                <c:formatCode>General</c:formatCode>
                <c:ptCount val="11"/>
                <c:pt idx="0">
                  <c:v>40</c:v>
                </c:pt>
                <c:pt idx="1">
                  <c:v>40.396000000000001</c:v>
                </c:pt>
                <c:pt idx="2">
                  <c:v>40.7959204</c:v>
                </c:pt>
                <c:pt idx="3">
                  <c:v>41.199800011960001</c:v>
                </c:pt>
                <c:pt idx="4">
                  <c:v>41.607678032078404</c:v>
                </c:pt>
                <c:pt idx="5">
                  <c:v>42.019594044595983</c:v>
                </c:pt>
                <c:pt idx="6">
                  <c:v>42.435588025637486</c:v>
                </c:pt>
                <c:pt idx="7">
                  <c:v>42.8557003470913</c:v>
                </c:pt>
                <c:pt idx="8">
                  <c:v>43.279971780527504</c:v>
                </c:pt>
                <c:pt idx="9">
                  <c:v>43.708443501154726</c:v>
                </c:pt>
                <c:pt idx="10">
                  <c:v>44.141157091816154</c:v>
                </c:pt>
              </c:numCache>
            </c:numRef>
          </c:val>
          <c:smooth val="0"/>
          <c:extLst>
            <c:ext xmlns:c16="http://schemas.microsoft.com/office/drawing/2014/chart" uri="{C3380CC4-5D6E-409C-BE32-E72D297353CC}">
              <c16:uniqueId val="{00000000-4953-4BE4-8351-5F17A45E0C50}"/>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Average_40_Year_Old_Woman_Pro!$AA$32</c:f>
              <c:strCache>
                <c:ptCount val="1"/>
                <c:pt idx="0">
                  <c:v>Cognitive Decline of an average 40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Average_40_Year_Old_Woman_Pro!$Z$33:$Z$43</c:f>
              <c:numCache>
                <c:formatCode>General</c:formatCode>
                <c:ptCount val="11"/>
                <c:pt idx="0">
                  <c:v>40</c:v>
                </c:pt>
                <c:pt idx="1">
                  <c:v>41</c:v>
                </c:pt>
                <c:pt idx="2">
                  <c:v>42</c:v>
                </c:pt>
                <c:pt idx="3">
                  <c:v>43</c:v>
                </c:pt>
                <c:pt idx="4">
                  <c:v>44</c:v>
                </c:pt>
                <c:pt idx="5">
                  <c:v>45</c:v>
                </c:pt>
                <c:pt idx="6">
                  <c:v>46</c:v>
                </c:pt>
                <c:pt idx="7">
                  <c:v>47</c:v>
                </c:pt>
                <c:pt idx="8">
                  <c:v>48</c:v>
                </c:pt>
                <c:pt idx="9">
                  <c:v>49</c:v>
                </c:pt>
                <c:pt idx="10">
                  <c:v>50</c:v>
                </c:pt>
              </c:numCache>
            </c:numRef>
          </c:cat>
          <c:val>
            <c:numRef>
              <c:f>Average_40_Year_Old_Woman_Pro!$AA$33:$AA$43</c:f>
              <c:numCache>
                <c:formatCode>General</c:formatCode>
                <c:ptCount val="11"/>
                <c:pt idx="0">
                  <c:v>40</c:v>
                </c:pt>
                <c:pt idx="1">
                  <c:v>40.799999999999997</c:v>
                </c:pt>
                <c:pt idx="2">
                  <c:v>41.616</c:v>
                </c:pt>
                <c:pt idx="3">
                  <c:v>42.448320000000002</c:v>
                </c:pt>
                <c:pt idx="4">
                  <c:v>43.297286400000004</c:v>
                </c:pt>
                <c:pt idx="5">
                  <c:v>44.163232128000004</c:v>
                </c:pt>
                <c:pt idx="6">
                  <c:v>45.046496770560005</c:v>
                </c:pt>
                <c:pt idx="7">
                  <c:v>45.947426705971203</c:v>
                </c:pt>
                <c:pt idx="8">
                  <c:v>46.866375240090626</c:v>
                </c:pt>
                <c:pt idx="9">
                  <c:v>47.803702744892441</c:v>
                </c:pt>
                <c:pt idx="10">
                  <c:v>48.759776799790288</c:v>
                </c:pt>
              </c:numCache>
            </c:numRef>
          </c:val>
          <c:smooth val="0"/>
          <c:extLst>
            <c:ext xmlns:c16="http://schemas.microsoft.com/office/drawing/2014/chart" uri="{C3380CC4-5D6E-409C-BE32-E72D297353CC}">
              <c16:uniqueId val="{00000000-1EBB-41BA-9062-C1D80062C7DA}"/>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Average_45_Year_Old_Man_Pro!$O$32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Average_45_Year_Old_Man_Pro!$N$32:$N$43</c15:sqref>
                  </c15:fullRef>
                </c:ext>
              </c:extLst>
              <c:f>Average_45_Year_Old_Man_Pro!$N$33:$N$43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Average_45_Year_Old_Man_Pro!$O$33:$O$43</c15:sqref>
                  </c15:fullRef>
                </c:ext>
              </c:extLst>
              <c:f>Average_45_Year_Old_Man_Pro!$O$34:$O$43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2C15-475A-A3D5-002AE4AFA4E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Average_45_Year_Old_Man_Pro!$Q$33:$Q$43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Average_45_Year_Old_Man_Pro!$R$33:$R$43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8AC1-4E46-8044-5185686A8FCA}"/>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Average_45_Year_Old_Man_Pro!$T$33:$T$43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Average_45_Year_Old_Man_Pro!$U$33:$U$43</c:f>
              <c:numCache>
                <c:formatCode>General</c:formatCode>
                <c:ptCount val="11"/>
                <c:pt idx="0">
                  <c:v>46.337142857142858</c:v>
                </c:pt>
                <c:pt idx="1">
                  <c:v>46.591997142857146</c:v>
                </c:pt>
                <c:pt idx="2">
                  <c:v>46.848253127142861</c:v>
                </c:pt>
                <c:pt idx="3">
                  <c:v>47.105918519342147</c:v>
                </c:pt>
                <c:pt idx="4">
                  <c:v>47.365001071198527</c:v>
                </c:pt>
                <c:pt idx="5">
                  <c:v>47.625508577090116</c:v>
                </c:pt>
                <c:pt idx="6">
                  <c:v>47.887448874264109</c:v>
                </c:pt>
                <c:pt idx="7">
                  <c:v>48.150829843072565</c:v>
                </c:pt>
                <c:pt idx="8">
                  <c:v>48.415659407209461</c:v>
                </c:pt>
                <c:pt idx="9">
                  <c:v>48.681945533949111</c:v>
                </c:pt>
                <c:pt idx="10">
                  <c:v>48.949696234385833</c:v>
                </c:pt>
              </c:numCache>
            </c:numRef>
          </c:val>
          <c:smooth val="0"/>
          <c:extLst>
            <c:ext xmlns:c16="http://schemas.microsoft.com/office/drawing/2014/chart" uri="{C3380CC4-5D6E-409C-BE32-E72D297353CC}">
              <c16:uniqueId val="{00000000-5CBE-46BB-B827-0F98D8E00F6E}"/>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Average_45_Year_Old_Man_Pro!$W$33:$W$43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Average_45_Year_Old_Man_Pro!$X$33:$X$43</c:f>
              <c:numCache>
                <c:formatCode>General</c:formatCode>
                <c:ptCount val="11"/>
                <c:pt idx="0">
                  <c:v>45</c:v>
                </c:pt>
                <c:pt idx="1">
                  <c:v>45.445500000000003</c:v>
                </c:pt>
                <c:pt idx="2">
                  <c:v>45.89541045</c:v>
                </c:pt>
                <c:pt idx="3">
                  <c:v>46.349775013455002</c:v>
                </c:pt>
                <c:pt idx="4">
                  <c:v>46.808637786088205</c:v>
                </c:pt>
                <c:pt idx="5">
                  <c:v>47.272043300170481</c:v>
                </c:pt>
                <c:pt idx="6">
                  <c:v>47.740036528842168</c:v>
                </c:pt>
                <c:pt idx="7">
                  <c:v>48.212662890477702</c:v>
                </c:pt>
                <c:pt idx="8">
                  <c:v>48.689968253093433</c:v>
                </c:pt>
                <c:pt idx="9">
                  <c:v>49.171998938799057</c:v>
                </c:pt>
                <c:pt idx="10">
                  <c:v>49.65880172829317</c:v>
                </c:pt>
              </c:numCache>
            </c:numRef>
          </c:val>
          <c:smooth val="0"/>
          <c:extLst>
            <c:ext xmlns:c16="http://schemas.microsoft.com/office/drawing/2014/chart" uri="{C3380CC4-5D6E-409C-BE32-E72D297353CC}">
              <c16:uniqueId val="{00000000-297B-47D7-9737-F8972E9F1057}"/>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Average_45_Year_Old_Man_Pro!$AA$32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Average_45_Year_Old_Man_Pro!$Z$33:$Z$43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Average_45_Year_Old_Man_Pro!$AA$33:$AA$43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02E1-49D1-BC0B-5D4A380775EB}"/>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Average_45_Year_Old_Woman_P!$O$32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Average_45_Year_Old_Woman_P!$N$32:$N$43</c15:sqref>
                  </c15:fullRef>
                </c:ext>
              </c:extLst>
              <c:f>Average_45_Year_Old_Woman_P!$N$33:$N$43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Average_45_Year_Old_Woman_P!$O$33:$O$43</c15:sqref>
                  </c15:fullRef>
                </c:ext>
              </c:extLst>
              <c:f>Average_45_Year_Old_Woman_P!$O$34:$O$43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8312-4AEF-A736-12337A2EBF26}"/>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Average_45_Year_Old_Woman_P!$R$32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Average_45_Year_Old_Woman_P!$Q$33:$Q$43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Average_45_Year_Old_Woman_P!$R$33:$R$43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374F-4AE2-83F9-753EBB5FA91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Average_45_Year_Old_Woman_P!$U$32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Average_45_Year_Old_Woman_P!$T$33:$T$43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Average_45_Year_Old_Woman_P!$U$33:$U$43</c:f>
              <c:numCache>
                <c:formatCode>General</c:formatCode>
                <c:ptCount val="11"/>
                <c:pt idx="0">
                  <c:v>43.754142857142853</c:v>
                </c:pt>
                <c:pt idx="1">
                  <c:v>43.99479064285714</c:v>
                </c:pt>
                <c:pt idx="2">
                  <c:v>44.236761991392854</c:v>
                </c:pt>
                <c:pt idx="3">
                  <c:v>44.480064182345515</c:v>
                </c:pt>
                <c:pt idx="4">
                  <c:v>44.724704535348415</c:v>
                </c:pt>
                <c:pt idx="5">
                  <c:v>44.970690410292832</c:v>
                </c:pt>
                <c:pt idx="6">
                  <c:v>45.218029207549442</c:v>
                </c:pt>
                <c:pt idx="7">
                  <c:v>45.466728368190964</c:v>
                </c:pt>
                <c:pt idx="8">
                  <c:v>45.716795374216012</c:v>
                </c:pt>
                <c:pt idx="9">
                  <c:v>45.9682377487742</c:v>
                </c:pt>
                <c:pt idx="10">
                  <c:v>46.22106305639246</c:v>
                </c:pt>
              </c:numCache>
            </c:numRef>
          </c:val>
          <c:smooth val="0"/>
          <c:extLst>
            <c:ext xmlns:c16="http://schemas.microsoft.com/office/drawing/2014/chart" uri="{C3380CC4-5D6E-409C-BE32-E72D297353CC}">
              <c16:uniqueId val="{00000000-3654-4967-9ABD-905BBE7C0720}"/>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Average_45_Year_Old_Woman_P!$X$32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Average_45_Year_Old_Woman_P!$W$33:$W$43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Average_45_Year_Old_Woman_P!$X$33:$X$43</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0-BA59-4F2C-886C-A4AED4317CDE}"/>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Average_45_Year_Old_Woman_P!$AA$32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Average_45_Year_Old_Woman_P!$Z$33:$Z$43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Average_45_Year_Old_Woman_P!$AA$33:$AA$43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8B71-49DD-A9E5-2FE218685C28}"/>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Average_50_Year_Old_Man_Pro!$O$32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Average_50_Year_Old_Man_Pro!$N$32:$N$43</c15:sqref>
                  </c15:fullRef>
                </c:ext>
              </c:extLst>
              <c:f>Average_50_Year_Old_Man_Pro!$N$33:$N$43</c:f>
              <c:strCache>
                <c:ptCount val="11"/>
                <c:pt idx="0">
                  <c:v>50</c:v>
                </c:pt>
                <c:pt idx="1">
                  <c:v>51</c:v>
                </c:pt>
                <c:pt idx="2">
                  <c:v>52</c:v>
                </c:pt>
                <c:pt idx="3">
                  <c:v>53</c:v>
                </c:pt>
                <c:pt idx="4">
                  <c:v>54</c:v>
                </c:pt>
                <c:pt idx="5">
                  <c:v>55</c:v>
                </c:pt>
                <c:pt idx="6">
                  <c:v>56</c:v>
                </c:pt>
                <c:pt idx="7">
                  <c:v>57</c:v>
                </c:pt>
                <c:pt idx="8">
                  <c:v>58</c:v>
                </c:pt>
                <c:pt idx="9">
                  <c:v>59</c:v>
                </c:pt>
                <c:pt idx="10">
                  <c:v>60</c:v>
                </c:pt>
              </c:strCache>
            </c:strRef>
          </c:cat>
          <c:val>
            <c:numRef>
              <c:extLst>
                <c:ext xmlns:c15="http://schemas.microsoft.com/office/drawing/2012/chart" uri="{02D57815-91ED-43cb-92C2-25804820EDAC}">
                  <c15:fullRef>
                    <c15:sqref>Average_50_Year_Old_Man_Pro!$O$33:$O$43</c15:sqref>
                  </c15:fullRef>
                </c:ext>
              </c:extLst>
              <c:f>Average_50_Year_Old_Man_Pro!$O$34:$O$43</c:f>
              <c:numCache>
                <c:formatCode>General</c:formatCode>
                <c:ptCount val="10"/>
                <c:pt idx="0">
                  <c:v>50.57500000000001</c:v>
                </c:pt>
                <c:pt idx="1">
                  <c:v>51.156612500000008</c:v>
                </c:pt>
                <c:pt idx="2">
                  <c:v>51.744913543750009</c:v>
                </c:pt>
                <c:pt idx="3">
                  <c:v>52.339980049503133</c:v>
                </c:pt>
                <c:pt idx="4">
                  <c:v>52.941889820072419</c:v>
                </c:pt>
                <c:pt idx="5">
                  <c:v>53.55072155300325</c:v>
                </c:pt>
                <c:pt idx="6">
                  <c:v>54.166554850862788</c:v>
                </c:pt>
                <c:pt idx="7">
                  <c:v>54.789470231647712</c:v>
                </c:pt>
                <c:pt idx="8">
                  <c:v>55.419549139311663</c:v>
                </c:pt>
                <c:pt idx="9">
                  <c:v>56.056873954413746</c:v>
                </c:pt>
              </c:numCache>
            </c:numRef>
          </c:val>
          <c:smooth val="0"/>
          <c:extLst>
            <c:ext xmlns:c16="http://schemas.microsoft.com/office/drawing/2014/chart" uri="{C3380CC4-5D6E-409C-BE32-E72D297353CC}">
              <c16:uniqueId val="{00000000-382F-4666-9032-4A73C474B61B}"/>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4A52-4EE4-9524-4EDF6714C431}"/>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Average_50_Year_Old_Man_Pro!$U$33:$U$43</c:f>
              <c:numCache>
                <c:formatCode>General</c:formatCode>
                <c:ptCount val="11"/>
                <c:pt idx="0">
                  <c:v>51.19314285714286</c:v>
                </c:pt>
                <c:pt idx="1">
                  <c:v>51.474705142857147</c:v>
                </c:pt>
                <c:pt idx="2">
                  <c:v>51.757816021142858</c:v>
                </c:pt>
                <c:pt idx="3">
                  <c:v>52.042484009259141</c:v>
                </c:pt>
                <c:pt idx="4">
                  <c:v>52.328717671310066</c:v>
                </c:pt>
                <c:pt idx="5">
                  <c:v>52.616525618502273</c:v>
                </c:pt>
                <c:pt idx="6">
                  <c:v>52.905916509404037</c:v>
                </c:pt>
                <c:pt idx="7">
                  <c:v>53.196899050205758</c:v>
                </c:pt>
                <c:pt idx="8">
                  <c:v>53.489481994981887</c:v>
                </c:pt>
                <c:pt idx="9">
                  <c:v>53.783674145954286</c:v>
                </c:pt>
                <c:pt idx="10">
                  <c:v>54.079484353757032</c:v>
                </c:pt>
              </c:numCache>
            </c:numRef>
          </c:val>
          <c:smooth val="0"/>
          <c:extLst>
            <c:ext xmlns:c16="http://schemas.microsoft.com/office/drawing/2014/chart" uri="{C3380CC4-5D6E-409C-BE32-E72D297353CC}">
              <c16:uniqueId val="{00000000-7E4D-4CB1-9471-26035F82C6EF}"/>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5C97-4E98-9E63-6C514B092126}"/>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Average_50_Year_Old_Man_Pro!$AA$32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Average_50_Year_Old_Man_Pro!$Z$33:$Z$43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0219-4838-A2D7-431AEA0FB1A8}"/>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Average_50_Year_Old_Woman_Pro!$O$32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Average_50_Year_Old_Woman_Pro!$N$32:$N$43</c15:sqref>
                  </c15:fullRef>
                </c:ext>
              </c:extLst>
              <c:f>Average_50_Year_Old_Woman_Pro!$N$33:$N$43</c:f>
              <c:strCache>
                <c:ptCount val="11"/>
                <c:pt idx="0">
                  <c:v>50</c:v>
                </c:pt>
                <c:pt idx="1">
                  <c:v>51</c:v>
                </c:pt>
                <c:pt idx="2">
                  <c:v>52</c:v>
                </c:pt>
                <c:pt idx="3">
                  <c:v>53</c:v>
                </c:pt>
                <c:pt idx="4">
                  <c:v>54</c:v>
                </c:pt>
                <c:pt idx="5">
                  <c:v>55</c:v>
                </c:pt>
                <c:pt idx="6">
                  <c:v>56</c:v>
                </c:pt>
                <c:pt idx="7">
                  <c:v>57</c:v>
                </c:pt>
                <c:pt idx="8">
                  <c:v>58</c:v>
                </c:pt>
                <c:pt idx="9">
                  <c:v>59</c:v>
                </c:pt>
                <c:pt idx="10">
                  <c:v>60</c:v>
                </c:pt>
              </c:strCache>
            </c:strRef>
          </c:cat>
          <c:val>
            <c:numRef>
              <c:extLst>
                <c:ext xmlns:c15="http://schemas.microsoft.com/office/drawing/2012/chart" uri="{02D57815-91ED-43cb-92C2-25804820EDAC}">
                  <c15:fullRef>
                    <c15:sqref>Average_50_Year_Old_Woman_Pro!$O$33:$O$43</c15:sqref>
                  </c15:fullRef>
                </c:ext>
              </c:extLst>
              <c:f>Average_50_Year_Old_Woman_Pro!$O$34:$O$43</c:f>
              <c:numCache>
                <c:formatCode>General</c:formatCode>
                <c:ptCount val="10"/>
                <c:pt idx="0">
                  <c:v>50.57500000000001</c:v>
                </c:pt>
                <c:pt idx="1">
                  <c:v>51.156612500000008</c:v>
                </c:pt>
                <c:pt idx="2">
                  <c:v>51.744913543750009</c:v>
                </c:pt>
                <c:pt idx="3">
                  <c:v>52.339980049503133</c:v>
                </c:pt>
                <c:pt idx="4">
                  <c:v>52.941889820072419</c:v>
                </c:pt>
                <c:pt idx="5">
                  <c:v>53.55072155300325</c:v>
                </c:pt>
                <c:pt idx="6">
                  <c:v>54.166554850862788</c:v>
                </c:pt>
                <c:pt idx="7">
                  <c:v>54.789470231647712</c:v>
                </c:pt>
                <c:pt idx="8">
                  <c:v>55.419549139311663</c:v>
                </c:pt>
                <c:pt idx="9">
                  <c:v>56.056873954413746</c:v>
                </c:pt>
              </c:numCache>
            </c:numRef>
          </c:val>
          <c:smooth val="0"/>
          <c:extLst>
            <c:ext xmlns:c16="http://schemas.microsoft.com/office/drawing/2014/chart" uri="{C3380CC4-5D6E-409C-BE32-E72D297353CC}">
              <c16:uniqueId val="{00000000-B0BA-40DD-B5AC-7CD49AE505AA}"/>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6B46-47D1-B3E8-74942ACCAB3C}"/>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84A5-496E-9572-5A863BDF8F56}"/>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8F2D-4F8B-8131-667211F4E197}"/>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FF68-4F5A-929B-C57C35A30656}"/>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'Average_55_Year_Old_Man_Pro '!$O$32</c:f>
              <c:strCache>
                <c:ptCount val="1"/>
                <c:pt idx="0">
                  <c:v>Vitality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'Average_55_Year_Old_Man_Pro '!$N$32:$N$43</c15:sqref>
                  </c15:fullRef>
                </c:ext>
              </c:extLst>
              <c:f>'Average_55_Year_Old_Man_Pro '!$N$33:$N$43</c:f>
              <c:strCache>
                <c:ptCount val="11"/>
                <c:pt idx="0">
                  <c:v>55</c:v>
                </c:pt>
                <c:pt idx="1">
                  <c:v>56</c:v>
                </c:pt>
                <c:pt idx="2">
                  <c:v>57</c:v>
                </c:pt>
                <c:pt idx="3">
                  <c:v>58</c:v>
                </c:pt>
                <c:pt idx="4">
                  <c:v>59</c:v>
                </c:pt>
                <c:pt idx="5">
                  <c:v>60</c:v>
                </c:pt>
                <c:pt idx="6">
                  <c:v>61</c:v>
                </c:pt>
                <c:pt idx="7">
                  <c:v>62</c:v>
                </c:pt>
                <c:pt idx="8">
                  <c:v>63</c:v>
                </c:pt>
                <c:pt idx="9">
                  <c:v>64</c:v>
                </c:pt>
                <c:pt idx="10">
                  <c:v>65</c:v>
                </c:pt>
              </c:strCache>
            </c:strRef>
          </c:cat>
          <c:val>
            <c:numRef>
              <c:extLst>
                <c:ext xmlns:c15="http://schemas.microsoft.com/office/drawing/2012/chart" uri="{02D57815-91ED-43cb-92C2-25804820EDAC}">
                  <c15:fullRef>
                    <c15:sqref>'Average_55_Year_Old_Man_Pro '!$O$33:$O$43</c15:sqref>
                  </c15:fullRef>
                </c:ext>
              </c:extLst>
              <c:f>'Average_55_Year_Old_Man_Pro '!$O$34:$O$43</c:f>
              <c:numCache>
                <c:formatCode>General</c:formatCode>
                <c:ptCount val="10"/>
                <c:pt idx="0">
                  <c:v>55.632500000000007</c:v>
                </c:pt>
                <c:pt idx="1">
                  <c:v>56.272273750000011</c:v>
                </c:pt>
                <c:pt idx="2">
                  <c:v>56.919404898125009</c:v>
                </c:pt>
                <c:pt idx="3">
                  <c:v>57.573978054453448</c:v>
                </c:pt>
                <c:pt idx="4">
                  <c:v>58.23607880207966</c:v>
                </c:pt>
                <c:pt idx="5">
                  <c:v>58.905793708303577</c:v>
                </c:pt>
                <c:pt idx="6">
                  <c:v>59.583210335949069</c:v>
                </c:pt>
                <c:pt idx="7">
                  <c:v>60.268417254812483</c:v>
                </c:pt>
                <c:pt idx="8">
                  <c:v>60.961504053242827</c:v>
                </c:pt>
                <c:pt idx="9">
                  <c:v>61.662561349855117</c:v>
                </c:pt>
              </c:numCache>
            </c:numRef>
          </c:val>
          <c:smooth val="0"/>
          <c:extLst>
            <c:ext xmlns:c16="http://schemas.microsoft.com/office/drawing/2014/chart" uri="{C3380CC4-5D6E-409C-BE32-E72D297353CC}">
              <c16:uniqueId val="{00000000-97AF-48D8-BBB1-B0E6B3B60B13}"/>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'Average_55_Year_Old_Man_Pro '!$R$32</c:f>
              <c:strCache>
                <c:ptCount val="1"/>
                <c:pt idx="0">
                  <c:v>Strength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'!$Q$33:$Q$43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'!$R$33:$R$43</c:f>
              <c:numCache>
                <c:formatCode>General</c:formatCode>
                <c:ptCount val="11"/>
                <c:pt idx="0">
                  <c:v>55.000000000000007</c:v>
                </c:pt>
                <c:pt idx="1">
                  <c:v>55.676500000000004</c:v>
                </c:pt>
                <c:pt idx="2">
                  <c:v>56.361320950000007</c:v>
                </c:pt>
                <c:pt idx="3">
                  <c:v>57.054565197685008</c:v>
                </c:pt>
                <c:pt idx="4">
                  <c:v>57.756336349616532</c:v>
                </c:pt>
                <c:pt idx="5">
                  <c:v>58.466739286716816</c:v>
                </c:pt>
                <c:pt idx="6">
                  <c:v>59.185880179943432</c:v>
                </c:pt>
                <c:pt idx="7">
                  <c:v>59.913866506156737</c:v>
                </c:pt>
                <c:pt idx="8">
                  <c:v>60.650807064182466</c:v>
                </c:pt>
                <c:pt idx="9">
                  <c:v>61.396811991071907</c:v>
                </c:pt>
                <c:pt idx="10">
                  <c:v>62.151992778562089</c:v>
                </c:pt>
              </c:numCache>
            </c:numRef>
          </c:val>
          <c:smooth val="0"/>
          <c:extLst>
            <c:ext xmlns:c16="http://schemas.microsoft.com/office/drawing/2014/chart" uri="{C3380CC4-5D6E-409C-BE32-E72D297353CC}">
              <c16:uniqueId val="{00000000-149E-4F40-ACD8-CF87A2E5A9B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'Average_55_Year_Old_Man_Pro '!$U$32</c:f>
              <c:strCache>
                <c:ptCount val="1"/>
                <c:pt idx="0">
                  <c:v>Metabolic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'!$T$33:$T$43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'!$U$33:$U$43</c:f>
              <c:numCache>
                <c:formatCode>General</c:formatCode>
                <c:ptCount val="11"/>
                <c:pt idx="0">
                  <c:v>56.830857142857141</c:v>
                </c:pt>
                <c:pt idx="1">
                  <c:v>57.143426857142856</c:v>
                </c:pt>
                <c:pt idx="2">
                  <c:v>57.457715704857144</c:v>
                </c:pt>
                <c:pt idx="3">
                  <c:v>57.773733141233855</c:v>
                </c:pt>
                <c:pt idx="4">
                  <c:v>58.091488673510639</c:v>
                </c:pt>
                <c:pt idx="5">
                  <c:v>58.410991861214946</c:v>
                </c:pt>
                <c:pt idx="6">
                  <c:v>58.732252316451628</c:v>
                </c:pt>
                <c:pt idx="7">
                  <c:v>59.05527970419211</c:v>
                </c:pt>
                <c:pt idx="8">
                  <c:v>59.380083742565169</c:v>
                </c:pt>
                <c:pt idx="9">
                  <c:v>59.706674203149277</c:v>
                </c:pt>
                <c:pt idx="10">
                  <c:v>60.035060911266598</c:v>
                </c:pt>
              </c:numCache>
            </c:numRef>
          </c:val>
          <c:smooth val="0"/>
          <c:extLst>
            <c:ext xmlns:c16="http://schemas.microsoft.com/office/drawing/2014/chart" uri="{C3380CC4-5D6E-409C-BE32-E72D297353CC}">
              <c16:uniqueId val="{00000000-97EA-4C6D-B8D6-26582C03254D}"/>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'Average_55_Year_Old_Man_Pro '!$X$32</c:f>
              <c:strCache>
                <c:ptCount val="1"/>
                <c:pt idx="0">
                  <c:v>Mobility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'!$W$33:$W$43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'!$X$33:$X$43</c:f>
              <c:numCache>
                <c:formatCode>General</c:formatCode>
                <c:ptCount val="11"/>
                <c:pt idx="0">
                  <c:v>55</c:v>
                </c:pt>
                <c:pt idx="1">
                  <c:v>55.544499999999999</c:v>
                </c:pt>
                <c:pt idx="2">
                  <c:v>56.09439055</c:v>
                </c:pt>
                <c:pt idx="3">
                  <c:v>56.649725016444997</c:v>
                </c:pt>
                <c:pt idx="4">
                  <c:v>57.210557294107801</c:v>
                </c:pt>
                <c:pt idx="5">
                  <c:v>57.776941811319467</c:v>
                </c:pt>
                <c:pt idx="6">
                  <c:v>58.348933535251533</c:v>
                </c:pt>
                <c:pt idx="7">
                  <c:v>58.92658797725052</c:v>
                </c:pt>
                <c:pt idx="8">
                  <c:v>59.509961198225298</c:v>
                </c:pt>
                <c:pt idx="9">
                  <c:v>60.099109814087726</c:v>
                </c:pt>
                <c:pt idx="10">
                  <c:v>60.694091001247195</c:v>
                </c:pt>
              </c:numCache>
            </c:numRef>
          </c:val>
          <c:smooth val="0"/>
          <c:extLst>
            <c:ext xmlns:c16="http://schemas.microsoft.com/office/drawing/2014/chart" uri="{C3380CC4-5D6E-409C-BE32-E72D297353CC}">
              <c16:uniqueId val="{00000000-575F-493A-9E7D-E40D7DC0E0C9}"/>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'Average_55_Year_Old_Man_Pro '!$AA$32</c:f>
              <c:strCache>
                <c:ptCount val="1"/>
                <c:pt idx="0">
                  <c:v>Cognitive Decline of an average 50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'Average_55_Year_Old_Man_Pro '!$Z$33:$Z$43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'!$AA$33:$AA$43</c:f>
              <c:numCache>
                <c:formatCode>General</c:formatCode>
                <c:ptCount val="11"/>
                <c:pt idx="0">
                  <c:v>55</c:v>
                </c:pt>
                <c:pt idx="1">
                  <c:v>56.1</c:v>
                </c:pt>
                <c:pt idx="2">
                  <c:v>57.222000000000001</c:v>
                </c:pt>
                <c:pt idx="3">
                  <c:v>58.366440000000004</c:v>
                </c:pt>
                <c:pt idx="4">
                  <c:v>59.533768800000004</c:v>
                </c:pt>
                <c:pt idx="5">
                  <c:v>60.724444176000006</c:v>
                </c:pt>
                <c:pt idx="6">
                  <c:v>61.938933059520004</c:v>
                </c:pt>
                <c:pt idx="7">
                  <c:v>63.177711720710406</c:v>
                </c:pt>
                <c:pt idx="8">
                  <c:v>64.441265955124607</c:v>
                </c:pt>
                <c:pt idx="9">
                  <c:v>65.730091274227092</c:v>
                </c:pt>
                <c:pt idx="10">
                  <c:v>67.044693099711637</c:v>
                </c:pt>
              </c:numCache>
            </c:numRef>
          </c:val>
          <c:smooth val="0"/>
          <c:extLst>
            <c:ext xmlns:c16="http://schemas.microsoft.com/office/drawing/2014/chart" uri="{C3380CC4-5D6E-409C-BE32-E72D297353CC}">
              <c16:uniqueId val="{00000000-7109-4895-9EA6-1ED448E493F1}"/>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'Average_55_Year_Old_Woman_P '!$O$32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'Average_55_Year_Old_Woman_P '!$N$32:$N$43</c15:sqref>
                  </c15:fullRef>
                </c:ext>
              </c:extLst>
              <c:f>'Average_55_Year_Old_Woman_P '!$N$33:$N$43</c:f>
              <c:strCache>
                <c:ptCount val="11"/>
                <c:pt idx="0">
                  <c:v>55</c:v>
                </c:pt>
                <c:pt idx="1">
                  <c:v>56</c:v>
                </c:pt>
                <c:pt idx="2">
                  <c:v>57</c:v>
                </c:pt>
                <c:pt idx="3">
                  <c:v>58</c:v>
                </c:pt>
                <c:pt idx="4">
                  <c:v>59</c:v>
                </c:pt>
                <c:pt idx="5">
                  <c:v>60</c:v>
                </c:pt>
                <c:pt idx="6">
                  <c:v>61</c:v>
                </c:pt>
                <c:pt idx="7">
                  <c:v>62</c:v>
                </c:pt>
                <c:pt idx="8">
                  <c:v>63</c:v>
                </c:pt>
                <c:pt idx="9">
                  <c:v>64</c:v>
                </c:pt>
                <c:pt idx="10">
                  <c:v>65</c:v>
                </c:pt>
              </c:strCache>
            </c:strRef>
          </c:cat>
          <c:val>
            <c:numRef>
              <c:extLst>
                <c:ext xmlns:c15="http://schemas.microsoft.com/office/drawing/2012/chart" uri="{02D57815-91ED-43cb-92C2-25804820EDAC}">
                  <c15:fullRef>
                    <c15:sqref>'Average_55_Year_Old_Woman_P '!$O$33:$O$43</c15:sqref>
                  </c15:fullRef>
                </c:ext>
              </c:extLst>
              <c:f>'Average_55_Year_Old_Woman_P '!$O$34:$O$43</c:f>
              <c:numCache>
                <c:formatCode>General</c:formatCode>
                <c:ptCount val="10"/>
                <c:pt idx="0">
                  <c:v>55.632500000000007</c:v>
                </c:pt>
                <c:pt idx="1">
                  <c:v>56.272273750000011</c:v>
                </c:pt>
                <c:pt idx="2">
                  <c:v>56.919404898125009</c:v>
                </c:pt>
                <c:pt idx="3">
                  <c:v>57.573978054453448</c:v>
                </c:pt>
                <c:pt idx="4">
                  <c:v>58.23607880207966</c:v>
                </c:pt>
                <c:pt idx="5">
                  <c:v>58.905793708303577</c:v>
                </c:pt>
                <c:pt idx="6">
                  <c:v>59.583210335949069</c:v>
                </c:pt>
                <c:pt idx="7">
                  <c:v>60.268417254812483</c:v>
                </c:pt>
                <c:pt idx="8">
                  <c:v>60.961504053242827</c:v>
                </c:pt>
                <c:pt idx="9">
                  <c:v>61.662561349855117</c:v>
                </c:pt>
              </c:numCache>
            </c:numRef>
          </c:val>
          <c:smooth val="0"/>
          <c:extLst>
            <c:ext xmlns:c16="http://schemas.microsoft.com/office/drawing/2014/chart" uri="{C3380CC4-5D6E-409C-BE32-E72D297353CC}">
              <c16:uniqueId val="{00000000-2FEA-43AA-BC1A-3A49ABB9CD02}"/>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'Average_55_Year_Old_Woman_P '!$R$32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'Average_55_Year_Old_Woman_P '!$Q$33:$Q$43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'Average_55_Year_Old_Woman_P '!$R$33:$R$43</c:f>
              <c:numCache>
                <c:formatCode>General</c:formatCode>
                <c:ptCount val="11"/>
                <c:pt idx="0">
                  <c:v>55.000000000000007</c:v>
                </c:pt>
                <c:pt idx="1">
                  <c:v>55.676500000000004</c:v>
                </c:pt>
                <c:pt idx="2">
                  <c:v>56.361320950000007</c:v>
                </c:pt>
                <c:pt idx="3">
                  <c:v>57.054565197685008</c:v>
                </c:pt>
                <c:pt idx="4">
                  <c:v>57.756336349616532</c:v>
                </c:pt>
                <c:pt idx="5">
                  <c:v>58.466739286716816</c:v>
                </c:pt>
                <c:pt idx="6">
                  <c:v>59.185880179943432</c:v>
                </c:pt>
                <c:pt idx="7">
                  <c:v>59.913866506156737</c:v>
                </c:pt>
                <c:pt idx="8">
                  <c:v>60.650807064182466</c:v>
                </c:pt>
                <c:pt idx="9">
                  <c:v>61.396811991071907</c:v>
                </c:pt>
                <c:pt idx="10">
                  <c:v>62.151992778562089</c:v>
                </c:pt>
              </c:numCache>
            </c:numRef>
          </c:val>
          <c:smooth val="0"/>
          <c:extLst>
            <c:ext xmlns:c16="http://schemas.microsoft.com/office/drawing/2014/chart" uri="{C3380CC4-5D6E-409C-BE32-E72D297353CC}">
              <c16:uniqueId val="{00000000-883E-4892-9ED6-217FC7DF011D}"/>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'Average_55_Year_Old_Woman_P '!$U$32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'Average_55_Year_Old_Woman_P '!$T$33:$T$43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'Average_55_Year_Old_Woman_P '!$U$33:$U$43</c:f>
              <c:numCache>
                <c:formatCode>General</c:formatCode>
                <c:ptCount val="11"/>
                <c:pt idx="0">
                  <c:v>56.285714285714285</c:v>
                </c:pt>
                <c:pt idx="1">
                  <c:v>56.595285714285716</c:v>
                </c:pt>
                <c:pt idx="2">
                  <c:v>56.906559785714286</c:v>
                </c:pt>
                <c:pt idx="3">
                  <c:v>57.219545864535718</c:v>
                </c:pt>
                <c:pt idx="4">
                  <c:v>57.534253366790665</c:v>
                </c:pt>
                <c:pt idx="5">
                  <c:v>57.850691760308017</c:v>
                </c:pt>
                <c:pt idx="6">
                  <c:v>58.16887056498971</c:v>
                </c:pt>
                <c:pt idx="7">
                  <c:v>58.488799353097157</c:v>
                </c:pt>
                <c:pt idx="8">
                  <c:v>58.810487749539192</c:v>
                </c:pt>
                <c:pt idx="9">
                  <c:v>59.13394543216166</c:v>
                </c:pt>
                <c:pt idx="10">
                  <c:v>59.459182132038549</c:v>
                </c:pt>
              </c:numCache>
            </c:numRef>
          </c:val>
          <c:smooth val="0"/>
          <c:extLst>
            <c:ext xmlns:c16="http://schemas.microsoft.com/office/drawing/2014/chart" uri="{C3380CC4-5D6E-409C-BE32-E72D297353CC}">
              <c16:uniqueId val="{00000000-F87F-4EFA-A1D9-72111777A8DF}"/>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'Average_55_Year_Old_Woman_P '!$X$32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'Average_55_Year_Old_Woman_P '!$W$33:$W$43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'Average_55_Year_Old_Woman_P '!$X$33:$X$43</c:f>
              <c:numCache>
                <c:formatCode>General</c:formatCode>
                <c:ptCount val="11"/>
                <c:pt idx="0">
                  <c:v>53.5</c:v>
                </c:pt>
                <c:pt idx="1">
                  <c:v>54.029649999999997</c:v>
                </c:pt>
                <c:pt idx="2">
                  <c:v>54.564543534999999</c:v>
                </c:pt>
                <c:pt idx="3">
                  <c:v>55.104732515996496</c:v>
                </c:pt>
                <c:pt idx="4">
                  <c:v>55.650269367904862</c:v>
                </c:pt>
                <c:pt idx="5">
                  <c:v>56.201207034647119</c:v>
                </c:pt>
                <c:pt idx="6">
                  <c:v>56.757598984290127</c:v>
                </c:pt>
                <c:pt idx="7">
                  <c:v>57.319499214234597</c:v>
                </c:pt>
                <c:pt idx="8">
                  <c:v>57.886962256455519</c:v>
                </c:pt>
                <c:pt idx="9">
                  <c:v>58.460043182794429</c:v>
                </c:pt>
                <c:pt idx="10">
                  <c:v>59.038797610304094</c:v>
                </c:pt>
              </c:numCache>
            </c:numRef>
          </c:val>
          <c:smooth val="0"/>
          <c:extLst>
            <c:ext xmlns:c16="http://schemas.microsoft.com/office/drawing/2014/chart" uri="{C3380CC4-5D6E-409C-BE32-E72D297353CC}">
              <c16:uniqueId val="{00000000-ACD2-44CD-8D46-D1BF9FA1590F}"/>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'Average_55_Year_Old_Woman_P '!$AA$32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'Average_55_Year_Old_Woman_P '!$Z$33:$Z$43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'Average_55_Year_Old_Woman_P '!$AA$33:$AA$43</c:f>
              <c:numCache>
                <c:formatCode>General</c:formatCode>
                <c:ptCount val="11"/>
                <c:pt idx="0">
                  <c:v>55</c:v>
                </c:pt>
                <c:pt idx="1">
                  <c:v>56.1</c:v>
                </c:pt>
                <c:pt idx="2">
                  <c:v>57.222000000000001</c:v>
                </c:pt>
                <c:pt idx="3">
                  <c:v>58.366440000000004</c:v>
                </c:pt>
                <c:pt idx="4">
                  <c:v>59.533768800000004</c:v>
                </c:pt>
                <c:pt idx="5">
                  <c:v>60.724444176000006</c:v>
                </c:pt>
                <c:pt idx="6">
                  <c:v>61.938933059520004</c:v>
                </c:pt>
                <c:pt idx="7">
                  <c:v>63.177711720710406</c:v>
                </c:pt>
                <c:pt idx="8">
                  <c:v>64.441265955124607</c:v>
                </c:pt>
                <c:pt idx="9">
                  <c:v>65.730091274227092</c:v>
                </c:pt>
                <c:pt idx="10">
                  <c:v>67.044693099711637</c:v>
                </c:pt>
              </c:numCache>
            </c:numRef>
          </c:val>
          <c:smooth val="0"/>
          <c:extLst>
            <c:ext xmlns:c16="http://schemas.microsoft.com/office/drawing/2014/chart" uri="{C3380CC4-5D6E-409C-BE32-E72D297353CC}">
              <c16:uniqueId val="{00000000-3420-4134-ABAA-3E93646FCFAA}"/>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'Average_60_Year_Old_Man_Pro '!$O$32</c:f>
              <c:strCache>
                <c:ptCount val="1"/>
                <c:pt idx="0">
                  <c:v>Vitality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'Average_60_Year_Old_Man_Pro '!$N$32:$N$43</c15:sqref>
                  </c15:fullRef>
                </c:ext>
              </c:extLst>
              <c:f>'Average_60_Year_Old_Man_Pro '!$N$33:$N$43</c:f>
              <c:strCache>
                <c:ptCount val="11"/>
                <c:pt idx="0">
                  <c:v>60</c:v>
                </c:pt>
                <c:pt idx="1">
                  <c:v>61</c:v>
                </c:pt>
                <c:pt idx="2">
                  <c:v>62</c:v>
                </c:pt>
                <c:pt idx="3">
                  <c:v>63</c:v>
                </c:pt>
                <c:pt idx="4">
                  <c:v>64</c:v>
                </c:pt>
                <c:pt idx="5">
                  <c:v>65</c:v>
                </c:pt>
                <c:pt idx="6">
                  <c:v>66</c:v>
                </c:pt>
                <c:pt idx="7">
                  <c:v>67</c:v>
                </c:pt>
                <c:pt idx="8">
                  <c:v>68</c:v>
                </c:pt>
                <c:pt idx="9">
                  <c:v>69</c:v>
                </c:pt>
                <c:pt idx="10">
                  <c:v>70</c:v>
                </c:pt>
              </c:strCache>
            </c:strRef>
          </c:cat>
          <c:val>
            <c:numRef>
              <c:extLst>
                <c:ext xmlns:c15="http://schemas.microsoft.com/office/drawing/2012/chart" uri="{02D57815-91ED-43cb-92C2-25804820EDAC}">
                  <c15:fullRef>
                    <c15:sqref>'Average_60_Year_Old_Man_Pro '!$O$33:$O$43</c15:sqref>
                  </c15:fullRef>
                </c:ext>
              </c:extLst>
              <c:f>'Average_60_Year_Old_Man_Pro '!$O$34:$O$43</c:f>
              <c:numCache>
                <c:formatCode>General</c:formatCode>
                <c:ptCount val="10"/>
                <c:pt idx="0">
                  <c:v>60.690000000000005</c:v>
                </c:pt>
                <c:pt idx="1">
                  <c:v>61.387935000000006</c:v>
                </c:pt>
                <c:pt idx="2">
                  <c:v>62.093896252500009</c:v>
                </c:pt>
                <c:pt idx="3">
                  <c:v>62.807976059403757</c:v>
                </c:pt>
                <c:pt idx="4">
                  <c:v>63.530267784086902</c:v>
                </c:pt>
                <c:pt idx="5">
                  <c:v>64.260865863603897</c:v>
                </c:pt>
                <c:pt idx="6">
                  <c:v>64.999865821035343</c:v>
                </c:pt>
                <c:pt idx="7">
                  <c:v>65.747364277977255</c:v>
                </c:pt>
                <c:pt idx="8">
                  <c:v>66.503458967173998</c:v>
                </c:pt>
                <c:pt idx="9">
                  <c:v>67.268248745296503</c:v>
                </c:pt>
              </c:numCache>
            </c:numRef>
          </c:val>
          <c:smooth val="0"/>
          <c:extLst>
            <c:ext xmlns:c16="http://schemas.microsoft.com/office/drawing/2014/chart" uri="{C3380CC4-5D6E-409C-BE32-E72D297353CC}">
              <c16:uniqueId val="{00000000-785B-46A0-AE1B-A649C677B21C}"/>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'Average_60_Year_Old_Man_Pro '!$R$32</c:f>
              <c:strCache>
                <c:ptCount val="1"/>
                <c:pt idx="0">
                  <c:v>Strength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'!$Q$33:$Q$43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'!$R$33:$R$43</c:f>
              <c:numCache>
                <c:formatCode>General</c:formatCode>
                <c:ptCount val="11"/>
                <c:pt idx="0">
                  <c:v>60</c:v>
                </c:pt>
                <c:pt idx="1">
                  <c:v>60.738</c:v>
                </c:pt>
                <c:pt idx="2">
                  <c:v>61.485077400000002</c:v>
                </c:pt>
                <c:pt idx="3">
                  <c:v>62.241343852020002</c:v>
                </c:pt>
                <c:pt idx="4">
                  <c:v>63.00691238139985</c:v>
                </c:pt>
                <c:pt idx="5">
                  <c:v>63.781897403691069</c:v>
                </c:pt>
                <c:pt idx="6">
                  <c:v>64.566414741756475</c:v>
                </c:pt>
                <c:pt idx="7">
                  <c:v>65.360581643080081</c:v>
                </c:pt>
                <c:pt idx="8">
                  <c:v>66.164516797289963</c:v>
                </c:pt>
                <c:pt idx="9">
                  <c:v>66.978340353896627</c:v>
                </c:pt>
                <c:pt idx="10">
                  <c:v>67.80217394024956</c:v>
                </c:pt>
              </c:numCache>
            </c:numRef>
          </c:val>
          <c:smooth val="0"/>
          <c:extLst>
            <c:ext xmlns:c16="http://schemas.microsoft.com/office/drawing/2014/chart" uri="{C3380CC4-5D6E-409C-BE32-E72D297353CC}">
              <c16:uniqueId val="{00000000-030F-4692-A082-C8DF72CD8D90}"/>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'Average_60_Year_Old_Man_Pro '!$U$32</c:f>
              <c:strCache>
                <c:ptCount val="1"/>
                <c:pt idx="0">
                  <c:v>Metabolic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'!$T$33:$T$43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'!$U$33:$U$43</c:f>
              <c:numCache>
                <c:formatCode>General</c:formatCode>
                <c:ptCount val="11"/>
                <c:pt idx="0">
                  <c:v>60.507857142857141</c:v>
                </c:pt>
                <c:pt idx="1">
                  <c:v>60.840650357142856</c:v>
                </c:pt>
                <c:pt idx="2">
                  <c:v>61.175273934107139</c:v>
                </c:pt>
                <c:pt idx="3">
                  <c:v>61.51173794074473</c:v>
                </c:pt>
                <c:pt idx="4">
                  <c:v>61.85005249941883</c:v>
                </c:pt>
                <c:pt idx="5">
                  <c:v>62.190227788165636</c:v>
                </c:pt>
                <c:pt idx="6">
                  <c:v>62.532274041000548</c:v>
                </c:pt>
                <c:pt idx="7">
                  <c:v>62.876201548226049</c:v>
                </c:pt>
                <c:pt idx="8">
                  <c:v>63.222020656741293</c:v>
                </c:pt>
                <c:pt idx="9">
                  <c:v>63.569741770353367</c:v>
                </c:pt>
                <c:pt idx="10">
                  <c:v>63.919375350090313</c:v>
                </c:pt>
              </c:numCache>
            </c:numRef>
          </c:val>
          <c:smooth val="0"/>
          <c:extLst>
            <c:ext xmlns:c16="http://schemas.microsoft.com/office/drawing/2014/chart" uri="{C3380CC4-5D6E-409C-BE32-E72D297353CC}">
              <c16:uniqueId val="{00000000-EA07-46AE-8F97-C197BE2AA383}"/>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'Average_60_Year_Old_Man_Pro '!$X$32</c:f>
              <c:strCache>
                <c:ptCount val="1"/>
                <c:pt idx="0">
                  <c:v>Mobility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'!$W$33:$W$43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'!$X$33:$X$43</c:f>
              <c:numCache>
                <c:formatCode>General</c:formatCode>
                <c:ptCount val="11"/>
                <c:pt idx="0">
                  <c:v>60</c:v>
                </c:pt>
                <c:pt idx="1">
                  <c:v>60.594000000000001</c:v>
                </c:pt>
                <c:pt idx="2">
                  <c:v>61.1938806</c:v>
                </c:pt>
                <c:pt idx="3">
                  <c:v>61.799700017939998</c:v>
                </c:pt>
                <c:pt idx="4">
                  <c:v>62.411517048117602</c:v>
                </c:pt>
                <c:pt idx="5">
                  <c:v>63.029391066893965</c:v>
                </c:pt>
                <c:pt idx="6">
                  <c:v>63.653382038456215</c:v>
                </c:pt>
                <c:pt idx="7">
                  <c:v>64.283550520636936</c:v>
                </c:pt>
                <c:pt idx="8">
                  <c:v>64.919957670791248</c:v>
                </c:pt>
                <c:pt idx="9">
                  <c:v>65.562665251732085</c:v>
                </c:pt>
                <c:pt idx="10">
                  <c:v>66.211735637724232</c:v>
                </c:pt>
              </c:numCache>
            </c:numRef>
          </c:val>
          <c:smooth val="0"/>
          <c:extLst>
            <c:ext xmlns:c16="http://schemas.microsoft.com/office/drawing/2014/chart" uri="{C3380CC4-5D6E-409C-BE32-E72D297353CC}">
              <c16:uniqueId val="{00000000-A24D-44DF-8461-78B819B2DFCB}"/>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'Average_60_Year_Old_Man_Pro '!$AA$32</c:f>
              <c:strCache>
                <c:ptCount val="1"/>
                <c:pt idx="0">
                  <c:v>Cognitive Decline of an average 60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'Average_60_Year_Old_Man_Pro '!$Z$33:$Z$43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'!$AA$33:$AA$43</c:f>
              <c:numCache>
                <c:formatCode>General</c:formatCode>
                <c:ptCount val="11"/>
                <c:pt idx="0">
                  <c:v>60</c:v>
                </c:pt>
                <c:pt idx="1">
                  <c:v>61.2</c:v>
                </c:pt>
                <c:pt idx="2">
                  <c:v>62.423999999999999</c:v>
                </c:pt>
                <c:pt idx="3">
                  <c:v>63.67248</c:v>
                </c:pt>
                <c:pt idx="4">
                  <c:v>64.945929599999999</c:v>
                </c:pt>
                <c:pt idx="5">
                  <c:v>66.244848192000006</c:v>
                </c:pt>
                <c:pt idx="6">
                  <c:v>67.56974515584001</c:v>
                </c:pt>
                <c:pt idx="7">
                  <c:v>68.921140058956809</c:v>
                </c:pt>
                <c:pt idx="8">
                  <c:v>70.29956286013595</c:v>
                </c:pt>
                <c:pt idx="9">
                  <c:v>71.705554117338664</c:v>
                </c:pt>
                <c:pt idx="10">
                  <c:v>73.139665199685439</c:v>
                </c:pt>
              </c:numCache>
            </c:numRef>
          </c:val>
          <c:smooth val="0"/>
          <c:extLst>
            <c:ext xmlns:c16="http://schemas.microsoft.com/office/drawing/2014/chart" uri="{C3380CC4-5D6E-409C-BE32-E72D297353CC}">
              <c16:uniqueId val="{00000000-3919-47EB-BFCB-D28BF21AEB04}"/>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Average_60_Year_Old_Woman_Pro!$O$32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Average_60_Year_Old_Woman_Pro!$N$32:$N$43</c15:sqref>
                  </c15:fullRef>
                </c:ext>
              </c:extLst>
              <c:f>Average_60_Year_Old_Woman_Pro!$N$33:$N$43</c:f>
              <c:strCache>
                <c:ptCount val="11"/>
                <c:pt idx="0">
                  <c:v>60</c:v>
                </c:pt>
                <c:pt idx="1">
                  <c:v>61</c:v>
                </c:pt>
                <c:pt idx="2">
                  <c:v>62</c:v>
                </c:pt>
                <c:pt idx="3">
                  <c:v>63</c:v>
                </c:pt>
                <c:pt idx="4">
                  <c:v>64</c:v>
                </c:pt>
                <c:pt idx="5">
                  <c:v>65</c:v>
                </c:pt>
                <c:pt idx="6">
                  <c:v>66</c:v>
                </c:pt>
                <c:pt idx="7">
                  <c:v>67</c:v>
                </c:pt>
                <c:pt idx="8">
                  <c:v>68</c:v>
                </c:pt>
                <c:pt idx="9">
                  <c:v>69</c:v>
                </c:pt>
                <c:pt idx="10">
                  <c:v>70</c:v>
                </c:pt>
              </c:strCache>
            </c:strRef>
          </c:cat>
          <c:val>
            <c:numRef>
              <c:extLst>
                <c:ext xmlns:c15="http://schemas.microsoft.com/office/drawing/2012/chart" uri="{02D57815-91ED-43cb-92C2-25804820EDAC}">
                  <c15:fullRef>
                    <c15:sqref>Average_60_Year_Old_Woman_Pro!$O$33:$O$43</c15:sqref>
                  </c15:fullRef>
                </c:ext>
              </c:extLst>
              <c:f>Average_60_Year_Old_Woman_Pro!$O$34:$O$43</c:f>
              <c:numCache>
                <c:formatCode>General</c:formatCode>
                <c:ptCount val="10"/>
                <c:pt idx="0">
                  <c:v>60.690000000000005</c:v>
                </c:pt>
                <c:pt idx="1">
                  <c:v>61.387935000000006</c:v>
                </c:pt>
                <c:pt idx="2">
                  <c:v>62.093896252500009</c:v>
                </c:pt>
                <c:pt idx="3">
                  <c:v>62.807976059403757</c:v>
                </c:pt>
                <c:pt idx="4">
                  <c:v>63.530267784086902</c:v>
                </c:pt>
                <c:pt idx="5">
                  <c:v>64.260865863603897</c:v>
                </c:pt>
                <c:pt idx="6">
                  <c:v>64.999865821035343</c:v>
                </c:pt>
                <c:pt idx="7">
                  <c:v>65.747364277977255</c:v>
                </c:pt>
                <c:pt idx="8">
                  <c:v>66.503458967173998</c:v>
                </c:pt>
                <c:pt idx="9">
                  <c:v>67.268248745296503</c:v>
                </c:pt>
              </c:numCache>
            </c:numRef>
          </c:val>
          <c:smooth val="0"/>
          <c:extLst>
            <c:ext xmlns:c16="http://schemas.microsoft.com/office/drawing/2014/chart" uri="{C3380CC4-5D6E-409C-BE32-E72D297353CC}">
              <c16:uniqueId val="{00000000-AB22-44BA-BA00-51F7190C291F}"/>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Average_60_Year_Old_Woman_Pro!$Q$33:$Q$43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Average_60_Year_Old_Woman_Pro!$R$33:$R$43</c:f>
              <c:numCache>
                <c:formatCode>General</c:formatCode>
                <c:ptCount val="11"/>
                <c:pt idx="0">
                  <c:v>60</c:v>
                </c:pt>
                <c:pt idx="1">
                  <c:v>60.738</c:v>
                </c:pt>
                <c:pt idx="2">
                  <c:v>61.485077400000002</c:v>
                </c:pt>
                <c:pt idx="3">
                  <c:v>62.241343852020002</c:v>
                </c:pt>
                <c:pt idx="4">
                  <c:v>63.00691238139985</c:v>
                </c:pt>
                <c:pt idx="5">
                  <c:v>63.781897403691069</c:v>
                </c:pt>
                <c:pt idx="6">
                  <c:v>64.566414741756475</c:v>
                </c:pt>
                <c:pt idx="7">
                  <c:v>65.360581643080081</c:v>
                </c:pt>
                <c:pt idx="8">
                  <c:v>66.164516797289963</c:v>
                </c:pt>
                <c:pt idx="9">
                  <c:v>66.978340353896627</c:v>
                </c:pt>
                <c:pt idx="10">
                  <c:v>67.80217394024956</c:v>
                </c:pt>
              </c:numCache>
            </c:numRef>
          </c:val>
          <c:smooth val="0"/>
          <c:extLst>
            <c:ext xmlns:c16="http://schemas.microsoft.com/office/drawing/2014/chart" uri="{C3380CC4-5D6E-409C-BE32-E72D297353CC}">
              <c16:uniqueId val="{00000000-FD3F-4584-8AFC-696234F255B5}"/>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Average_60_Year_Old_Woman_Pro!$T$33:$T$43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Average_60_Year_Old_Woman_Pro!$U$33:$U$43</c:f>
              <c:numCache>
                <c:formatCode>General</c:formatCode>
                <c:ptCount val="11"/>
                <c:pt idx="0">
                  <c:v>60.007714285714286</c:v>
                </c:pt>
                <c:pt idx="1">
                  <c:v>60.337756714285717</c:v>
                </c:pt>
                <c:pt idx="2">
                  <c:v>60.669614376214291</c:v>
                </c:pt>
                <c:pt idx="3">
                  <c:v>61.003297255283471</c:v>
                </c:pt>
                <c:pt idx="4">
                  <c:v>61.338815390187527</c:v>
                </c:pt>
                <c:pt idx="5">
                  <c:v>61.67617887483356</c:v>
                </c:pt>
                <c:pt idx="6">
                  <c:v>62.015397858645144</c:v>
                </c:pt>
                <c:pt idx="7">
                  <c:v>62.356482546867696</c:v>
                </c:pt>
                <c:pt idx="8">
                  <c:v>62.699443200875471</c:v>
                </c:pt>
                <c:pt idx="9">
                  <c:v>63.044290138480285</c:v>
                </c:pt>
                <c:pt idx="10">
                  <c:v>63.39103373424193</c:v>
                </c:pt>
              </c:numCache>
            </c:numRef>
          </c:val>
          <c:smooth val="0"/>
          <c:extLst>
            <c:ext xmlns:c16="http://schemas.microsoft.com/office/drawing/2014/chart" uri="{C3380CC4-5D6E-409C-BE32-E72D297353CC}">
              <c16:uniqueId val="{00000000-ECA5-41CB-B93D-74408FAD533B}"/>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Average_60_Year_Old_Woman_Pro!$W$33:$W$43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Average_60_Year_Old_Woman_Pro!$X$33:$X$43</c:f>
              <c:numCache>
                <c:formatCode>General</c:formatCode>
                <c:ptCount val="11"/>
                <c:pt idx="0">
                  <c:v>60</c:v>
                </c:pt>
                <c:pt idx="1">
                  <c:v>60.594000000000001</c:v>
                </c:pt>
                <c:pt idx="2">
                  <c:v>61.1938806</c:v>
                </c:pt>
                <c:pt idx="3">
                  <c:v>61.799700017939998</c:v>
                </c:pt>
                <c:pt idx="4">
                  <c:v>62.411517048117602</c:v>
                </c:pt>
                <c:pt idx="5">
                  <c:v>63.029391066893965</c:v>
                </c:pt>
                <c:pt idx="6">
                  <c:v>63.653382038456215</c:v>
                </c:pt>
                <c:pt idx="7">
                  <c:v>64.283550520636936</c:v>
                </c:pt>
                <c:pt idx="8">
                  <c:v>64.919957670791248</c:v>
                </c:pt>
                <c:pt idx="9">
                  <c:v>65.562665251732085</c:v>
                </c:pt>
                <c:pt idx="10">
                  <c:v>66.211735637724232</c:v>
                </c:pt>
              </c:numCache>
            </c:numRef>
          </c:val>
          <c:smooth val="0"/>
          <c:extLst>
            <c:ext xmlns:c16="http://schemas.microsoft.com/office/drawing/2014/chart" uri="{C3380CC4-5D6E-409C-BE32-E72D297353CC}">
              <c16:uniqueId val="{00000000-3F49-4096-A7AA-5038C8222CA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Average_60_Year_Old_Woman_Pro!$AA$32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Average_60_Year_Old_Woman_Pro!$Z$33:$Z$43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Average_60_Year_Old_Woman_Pro!$AA$33:$AA$43</c:f>
              <c:numCache>
                <c:formatCode>General</c:formatCode>
                <c:ptCount val="11"/>
                <c:pt idx="0">
                  <c:v>60</c:v>
                </c:pt>
                <c:pt idx="1">
                  <c:v>61.2</c:v>
                </c:pt>
                <c:pt idx="2">
                  <c:v>62.423999999999999</c:v>
                </c:pt>
                <c:pt idx="3">
                  <c:v>63.67248</c:v>
                </c:pt>
                <c:pt idx="4">
                  <c:v>64.945929599999999</c:v>
                </c:pt>
                <c:pt idx="5">
                  <c:v>66.244848192000006</c:v>
                </c:pt>
                <c:pt idx="6">
                  <c:v>67.56974515584001</c:v>
                </c:pt>
                <c:pt idx="7">
                  <c:v>68.921140058956809</c:v>
                </c:pt>
                <c:pt idx="8">
                  <c:v>70.29956286013595</c:v>
                </c:pt>
                <c:pt idx="9">
                  <c:v>71.705554117338664</c:v>
                </c:pt>
                <c:pt idx="10">
                  <c:v>73.139665199685439</c:v>
                </c:pt>
              </c:numCache>
            </c:numRef>
          </c:val>
          <c:smooth val="0"/>
          <c:extLst>
            <c:ext xmlns:c16="http://schemas.microsoft.com/office/drawing/2014/chart" uri="{C3380CC4-5D6E-409C-BE32-E72D297353CC}">
              <c16:uniqueId val="{00000000-9DF2-4642-83E5-AF3F905E5CA3}"/>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20629759509637"/>
          <c:y val="0.19499662367159507"/>
          <c:w val="0.8837110540498534"/>
          <c:h val="0.72106431449369734"/>
        </c:manualLayout>
      </c:layout>
      <c:lineChart>
        <c:grouping val="standard"/>
        <c:varyColors val="0"/>
        <c:ser>
          <c:idx val="0"/>
          <c:order val="0"/>
          <c:tx>
            <c:strRef>
              <c:f>'Average_65_Year_Old_Man_Pro '!$O$32</c:f>
              <c:strCache>
                <c:ptCount val="1"/>
                <c:pt idx="0">
                  <c:v>Vitality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'Average_65_Year_Old_Man_Pro '!$N$32:$N$43</c15:sqref>
                  </c15:fullRef>
                </c:ext>
              </c:extLst>
              <c:f>'Average_65_Year_Old_Man_Pro '!$N$33:$N$43</c:f>
              <c:strCache>
                <c:ptCount val="11"/>
                <c:pt idx="0">
                  <c:v>65</c:v>
                </c:pt>
                <c:pt idx="1">
                  <c:v>66</c:v>
                </c:pt>
                <c:pt idx="2">
                  <c:v>67</c:v>
                </c:pt>
                <c:pt idx="3">
                  <c:v>68</c:v>
                </c:pt>
                <c:pt idx="4">
                  <c:v>69</c:v>
                </c:pt>
                <c:pt idx="5">
                  <c:v>70</c:v>
                </c:pt>
                <c:pt idx="6">
                  <c:v>71</c:v>
                </c:pt>
                <c:pt idx="7">
                  <c:v>72</c:v>
                </c:pt>
                <c:pt idx="8">
                  <c:v>73</c:v>
                </c:pt>
                <c:pt idx="9">
                  <c:v>74</c:v>
                </c:pt>
                <c:pt idx="10">
                  <c:v>75</c:v>
                </c:pt>
              </c:strCache>
            </c:strRef>
          </c:cat>
          <c:val>
            <c:numRef>
              <c:extLst>
                <c:ext xmlns:c15="http://schemas.microsoft.com/office/drawing/2012/chart" uri="{02D57815-91ED-43cb-92C2-25804820EDAC}">
                  <c15:fullRef>
                    <c15:sqref>'Average_65_Year_Old_Man_Pro '!$O$33:$O$43</c15:sqref>
                  </c15:fullRef>
                </c:ext>
              </c:extLst>
              <c:f>'Average_65_Year_Old_Man_Pro '!$O$34:$O$43</c:f>
              <c:numCache>
                <c:formatCode>General</c:formatCode>
                <c:ptCount val="10"/>
                <c:pt idx="0">
                  <c:v>65.747500000000002</c:v>
                </c:pt>
                <c:pt idx="1">
                  <c:v>66.503596250000001</c:v>
                </c:pt>
                <c:pt idx="2">
                  <c:v>67.268387606874995</c:v>
                </c:pt>
                <c:pt idx="3">
                  <c:v>68.041974064354051</c:v>
                </c:pt>
                <c:pt idx="4">
                  <c:v>68.824456766094116</c:v>
                </c:pt>
                <c:pt idx="5">
                  <c:v>69.615938018904203</c:v>
                </c:pt>
                <c:pt idx="6">
                  <c:v>70.416521306121595</c:v>
                </c:pt>
                <c:pt idx="7">
                  <c:v>71.22631130114199</c:v>
                </c:pt>
                <c:pt idx="8">
                  <c:v>72.045413881105119</c:v>
                </c:pt>
                <c:pt idx="9">
                  <c:v>72.873936140737825</c:v>
                </c:pt>
              </c:numCache>
            </c:numRef>
          </c:val>
          <c:smooth val="0"/>
          <c:extLst>
            <c:ext xmlns:c16="http://schemas.microsoft.com/office/drawing/2014/chart" uri="{C3380CC4-5D6E-409C-BE32-E72D297353CC}">
              <c16:uniqueId val="{00000000-C144-4749-BA14-5492C8CE737C}"/>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'Average_65_Year_Old_Man_Pro '!$R$32</c:f>
              <c:strCache>
                <c:ptCount val="1"/>
                <c:pt idx="0">
                  <c:v>Strength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'Average_65_Year_Old_Man_Pro '!$Q$33:$Q$43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'Average_65_Year_Old_Man_Pro '!$R$33:$R$43</c:f>
              <c:numCache>
                <c:formatCode>General</c:formatCode>
                <c:ptCount val="11"/>
                <c:pt idx="0">
                  <c:v>65</c:v>
                </c:pt>
                <c:pt idx="1">
                  <c:v>65.799499999999995</c:v>
                </c:pt>
                <c:pt idx="2">
                  <c:v>66.608833849999996</c:v>
                </c:pt>
                <c:pt idx="3">
                  <c:v>67.428122506354995</c:v>
                </c:pt>
                <c:pt idx="4">
                  <c:v>68.257488413183168</c:v>
                </c:pt>
                <c:pt idx="5">
                  <c:v>69.097055520665322</c:v>
                </c:pt>
                <c:pt idx="6">
                  <c:v>69.946949303569511</c:v>
                </c:pt>
                <c:pt idx="7">
                  <c:v>70.807296780003412</c:v>
                </c:pt>
                <c:pt idx="8">
                  <c:v>71.678226530397453</c:v>
                </c:pt>
                <c:pt idx="9">
                  <c:v>72.55986871672134</c:v>
                </c:pt>
                <c:pt idx="10">
                  <c:v>73.452355101937016</c:v>
                </c:pt>
              </c:numCache>
            </c:numRef>
          </c:val>
          <c:smooth val="0"/>
          <c:extLst>
            <c:ext xmlns:c16="http://schemas.microsoft.com/office/drawing/2014/chart" uri="{C3380CC4-5D6E-409C-BE32-E72D297353CC}">
              <c16:uniqueId val="{00000000-E5B0-43E2-9478-E5361456D47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'Average_65_Year_Old_Man_Pro '!$U$32</c:f>
              <c:strCache>
                <c:ptCount val="1"/>
                <c:pt idx="0">
                  <c:v>Metabolic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'Average_65_Year_Old_Man_Pro '!$T$33:$T$43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'Average_65_Year_Old_Man_Pro '!$U$33:$U$43</c:f>
              <c:numCache>
                <c:formatCode>General</c:formatCode>
                <c:ptCount val="11"/>
                <c:pt idx="0">
                  <c:v>66.766999999999996</c:v>
                </c:pt>
                <c:pt idx="1">
                  <c:v>67.134218500000003</c:v>
                </c:pt>
                <c:pt idx="2">
                  <c:v>67.503456701749997</c:v>
                </c:pt>
                <c:pt idx="3">
                  <c:v>67.874725713609621</c:v>
                </c:pt>
                <c:pt idx="4">
                  <c:v>68.24803670503448</c:v>
                </c:pt>
                <c:pt idx="5">
                  <c:v>68.623400906912167</c:v>
                </c:pt>
                <c:pt idx="6">
                  <c:v>69.000829611900187</c:v>
                </c:pt>
                <c:pt idx="7">
                  <c:v>69.380334174765636</c:v>
                </c:pt>
                <c:pt idx="8">
                  <c:v>69.761926012726846</c:v>
                </c:pt>
                <c:pt idx="9">
                  <c:v>70.145616605796846</c:v>
                </c:pt>
                <c:pt idx="10">
                  <c:v>70.531417497128729</c:v>
                </c:pt>
              </c:numCache>
            </c:numRef>
          </c:val>
          <c:smooth val="0"/>
          <c:extLst>
            <c:ext xmlns:c16="http://schemas.microsoft.com/office/drawing/2014/chart" uri="{C3380CC4-5D6E-409C-BE32-E72D297353CC}">
              <c16:uniqueId val="{00000000-6471-4EA4-BCBF-E469A9DD335D}"/>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'Average_65_Year_Old_Man_Pro '!$X$32</c:f>
              <c:strCache>
                <c:ptCount val="1"/>
                <c:pt idx="0">
                  <c:v>Mobility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'Average_65_Year_Old_Man_Pro '!$W$33:$W$43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'Average_65_Year_Old_Man_Pro '!$X$33:$X$43</c:f>
              <c:numCache>
                <c:formatCode>General</c:formatCode>
                <c:ptCount val="11"/>
                <c:pt idx="0">
                  <c:v>65</c:v>
                </c:pt>
                <c:pt idx="1">
                  <c:v>65.643500000000003</c:v>
                </c:pt>
                <c:pt idx="2">
                  <c:v>66.29337065</c:v>
                </c:pt>
                <c:pt idx="3">
                  <c:v>66.949675019435006</c:v>
                </c:pt>
                <c:pt idx="4">
                  <c:v>67.612476802127418</c:v>
                </c:pt>
                <c:pt idx="5">
                  <c:v>68.281840322468483</c:v>
                </c:pt>
                <c:pt idx="6">
                  <c:v>68.957830541660925</c:v>
                </c:pt>
                <c:pt idx="7">
                  <c:v>69.640513064023366</c:v>
                </c:pt>
                <c:pt idx="8">
                  <c:v>70.329954143357199</c:v>
                </c:pt>
                <c:pt idx="9">
                  <c:v>71.02622068937643</c:v>
                </c:pt>
                <c:pt idx="10">
                  <c:v>71.729380274201262</c:v>
                </c:pt>
              </c:numCache>
            </c:numRef>
          </c:val>
          <c:smooth val="0"/>
          <c:extLst>
            <c:ext xmlns:c16="http://schemas.microsoft.com/office/drawing/2014/chart" uri="{C3380CC4-5D6E-409C-BE32-E72D297353CC}">
              <c16:uniqueId val="{00000000-1F09-4CBE-B50E-2E6C81A76AB2}"/>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'Average_65_Year_Old_Man_Pro '!$AA$32</c:f>
              <c:strCache>
                <c:ptCount val="1"/>
                <c:pt idx="0">
                  <c:v>Cognitive Decline of an average 60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'Average_65_Year_Old_Man_Pro '!$Z$33:$Z$43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'Average_65_Year_Old_Man_Pro '!$AA$33:$AA$43</c:f>
              <c:numCache>
                <c:formatCode>General</c:formatCode>
                <c:ptCount val="11"/>
                <c:pt idx="0">
                  <c:v>65</c:v>
                </c:pt>
                <c:pt idx="1">
                  <c:v>66.3</c:v>
                </c:pt>
                <c:pt idx="2">
                  <c:v>67.625999999999991</c:v>
                </c:pt>
                <c:pt idx="3">
                  <c:v>68.978519999999989</c:v>
                </c:pt>
                <c:pt idx="4">
                  <c:v>70.358090399999995</c:v>
                </c:pt>
                <c:pt idx="5">
                  <c:v>71.765252207999993</c:v>
                </c:pt>
                <c:pt idx="6">
                  <c:v>73.200557252159996</c:v>
                </c:pt>
                <c:pt idx="7">
                  <c:v>74.664568397203197</c:v>
                </c:pt>
                <c:pt idx="8">
                  <c:v>76.157859765147265</c:v>
                </c:pt>
                <c:pt idx="9">
                  <c:v>77.681016960450208</c:v>
                </c:pt>
                <c:pt idx="10">
                  <c:v>79.234637299659212</c:v>
                </c:pt>
              </c:numCache>
            </c:numRef>
          </c:val>
          <c:smooth val="0"/>
          <c:extLst>
            <c:ext xmlns:c16="http://schemas.microsoft.com/office/drawing/2014/chart" uri="{C3380CC4-5D6E-409C-BE32-E72D297353CC}">
              <c16:uniqueId val="{00000000-2E53-4659-8800-34EB750D0707}"/>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'Average_65_Year_Old_Woman_P '!$O$32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'Average_65_Year_Old_Woman_P '!$N$32:$N$43</c15:sqref>
                  </c15:fullRef>
                </c:ext>
              </c:extLst>
              <c:f>'Average_65_Year_Old_Woman_P '!$N$33:$N$43</c:f>
              <c:strCache>
                <c:ptCount val="11"/>
                <c:pt idx="0">
                  <c:v>65</c:v>
                </c:pt>
                <c:pt idx="1">
                  <c:v>66</c:v>
                </c:pt>
                <c:pt idx="2">
                  <c:v>67</c:v>
                </c:pt>
                <c:pt idx="3">
                  <c:v>68</c:v>
                </c:pt>
                <c:pt idx="4">
                  <c:v>69</c:v>
                </c:pt>
                <c:pt idx="5">
                  <c:v>70</c:v>
                </c:pt>
                <c:pt idx="6">
                  <c:v>71</c:v>
                </c:pt>
                <c:pt idx="7">
                  <c:v>72</c:v>
                </c:pt>
                <c:pt idx="8">
                  <c:v>73</c:v>
                </c:pt>
                <c:pt idx="9">
                  <c:v>74</c:v>
                </c:pt>
                <c:pt idx="10">
                  <c:v>75</c:v>
                </c:pt>
              </c:strCache>
            </c:strRef>
          </c:cat>
          <c:val>
            <c:numRef>
              <c:extLst>
                <c:ext xmlns:c15="http://schemas.microsoft.com/office/drawing/2012/chart" uri="{02D57815-91ED-43cb-92C2-25804820EDAC}">
                  <c15:fullRef>
                    <c15:sqref>'Average_65_Year_Old_Woman_P '!$O$33:$O$43</c15:sqref>
                  </c15:fullRef>
                </c:ext>
              </c:extLst>
              <c:f>'Average_65_Year_Old_Woman_P '!$O$34:$O$43</c:f>
              <c:numCache>
                <c:formatCode>General</c:formatCode>
                <c:ptCount val="10"/>
                <c:pt idx="0">
                  <c:v>65.747500000000002</c:v>
                </c:pt>
                <c:pt idx="1">
                  <c:v>66.503596250000001</c:v>
                </c:pt>
                <c:pt idx="2">
                  <c:v>67.268387606874995</c:v>
                </c:pt>
                <c:pt idx="3">
                  <c:v>68.041974064354051</c:v>
                </c:pt>
                <c:pt idx="4">
                  <c:v>68.824456766094116</c:v>
                </c:pt>
                <c:pt idx="5">
                  <c:v>69.615938018904203</c:v>
                </c:pt>
                <c:pt idx="6">
                  <c:v>70.416521306121595</c:v>
                </c:pt>
                <c:pt idx="7">
                  <c:v>71.22631130114199</c:v>
                </c:pt>
                <c:pt idx="8">
                  <c:v>72.045413881105119</c:v>
                </c:pt>
                <c:pt idx="9">
                  <c:v>72.873936140737825</c:v>
                </c:pt>
              </c:numCache>
            </c:numRef>
          </c:val>
          <c:smooth val="0"/>
          <c:extLst>
            <c:ext xmlns:c16="http://schemas.microsoft.com/office/drawing/2014/chart" uri="{C3380CC4-5D6E-409C-BE32-E72D297353CC}">
              <c16:uniqueId val="{00000000-C214-48E1-BAE1-F741F21843A5}"/>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'Average_65_Year_Old_Woman_P '!$R$32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'Average_65_Year_Old_Woman_P '!$Q$33:$Q$43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'Average_65_Year_Old_Woman_P '!$R$33:$R$43</c:f>
              <c:numCache>
                <c:formatCode>General</c:formatCode>
                <c:ptCount val="11"/>
                <c:pt idx="0">
                  <c:v>65</c:v>
                </c:pt>
                <c:pt idx="1">
                  <c:v>65.799499999999995</c:v>
                </c:pt>
                <c:pt idx="2">
                  <c:v>66.608833849999996</c:v>
                </c:pt>
                <c:pt idx="3">
                  <c:v>67.428122506354995</c:v>
                </c:pt>
                <c:pt idx="4">
                  <c:v>68.257488413183168</c:v>
                </c:pt>
                <c:pt idx="5">
                  <c:v>69.097055520665322</c:v>
                </c:pt>
                <c:pt idx="6">
                  <c:v>69.946949303569511</c:v>
                </c:pt>
                <c:pt idx="7">
                  <c:v>70.807296780003412</c:v>
                </c:pt>
                <c:pt idx="8">
                  <c:v>71.678226530397453</c:v>
                </c:pt>
                <c:pt idx="9">
                  <c:v>72.55986871672134</c:v>
                </c:pt>
                <c:pt idx="10">
                  <c:v>73.452355101937016</c:v>
                </c:pt>
              </c:numCache>
            </c:numRef>
          </c:val>
          <c:smooth val="0"/>
          <c:extLst>
            <c:ext xmlns:c16="http://schemas.microsoft.com/office/drawing/2014/chart" uri="{C3380CC4-5D6E-409C-BE32-E72D297353CC}">
              <c16:uniqueId val="{00000000-9F9F-4E9F-A083-17705BDEFE80}"/>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'Average_65_Year_Old_Woman_P '!$U$32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'Average_65_Year_Old_Woman_P '!$T$33:$T$43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'Average_65_Year_Old_Woman_P '!$U$33:$U$43</c:f>
              <c:numCache>
                <c:formatCode>General</c:formatCode>
                <c:ptCount val="11"/>
                <c:pt idx="0">
                  <c:v>66.342285714285708</c:v>
                </c:pt>
                <c:pt idx="1">
                  <c:v>66.707168285714275</c:v>
                </c:pt>
                <c:pt idx="2">
                  <c:v>67.074057711285704</c:v>
                </c:pt>
                <c:pt idx="3">
                  <c:v>67.44296502869777</c:v>
                </c:pt>
                <c:pt idx="4">
                  <c:v>67.813901336355613</c:v>
                </c:pt>
                <c:pt idx="5">
                  <c:v>68.186877793705563</c:v>
                </c:pt>
                <c:pt idx="6">
                  <c:v>68.561905621570943</c:v>
                </c:pt>
                <c:pt idx="7">
                  <c:v>68.938996102489583</c:v>
                </c:pt>
                <c:pt idx="8">
                  <c:v>69.318160581053277</c:v>
                </c:pt>
                <c:pt idx="9">
                  <c:v>69.69941046424907</c:v>
                </c:pt>
                <c:pt idx="10">
                  <c:v>70.082757221802439</c:v>
                </c:pt>
              </c:numCache>
            </c:numRef>
          </c:val>
          <c:smooth val="0"/>
          <c:extLst>
            <c:ext xmlns:c16="http://schemas.microsoft.com/office/drawing/2014/chart" uri="{C3380CC4-5D6E-409C-BE32-E72D297353CC}">
              <c16:uniqueId val="{00000000-5993-4FEC-8CAD-A8A41B8095A6}"/>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'Average_65_Year_Old_Woman_P '!$X$32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'Average_65_Year_Old_Woman_P '!$W$33:$W$43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'Average_65_Year_Old_Woman_P '!$X$33:$X$43</c:f>
              <c:numCache>
                <c:formatCode>General</c:formatCode>
                <c:ptCount val="11"/>
                <c:pt idx="0">
                  <c:v>65.681818181818187</c:v>
                </c:pt>
                <c:pt idx="1">
                  <c:v>66.332068181818187</c:v>
                </c:pt>
                <c:pt idx="2">
                  <c:v>66.988755656818185</c:v>
                </c:pt>
                <c:pt idx="3">
                  <c:v>67.65194433782068</c:v>
                </c:pt>
                <c:pt idx="4">
                  <c:v>68.321698586765109</c:v>
                </c:pt>
                <c:pt idx="5">
                  <c:v>68.998083402774085</c:v>
                </c:pt>
                <c:pt idx="6">
                  <c:v>69.681164428461543</c:v>
                </c:pt>
                <c:pt idx="7">
                  <c:v>70.371007956303316</c:v>
                </c:pt>
                <c:pt idx="8">
                  <c:v>71.067680935070726</c:v>
                </c:pt>
                <c:pt idx="9">
                  <c:v>71.77125097632792</c:v>
                </c:pt>
                <c:pt idx="10">
                  <c:v>72.481786360993567</c:v>
                </c:pt>
              </c:numCache>
            </c:numRef>
          </c:val>
          <c:smooth val="0"/>
          <c:extLst>
            <c:ext xmlns:c16="http://schemas.microsoft.com/office/drawing/2014/chart" uri="{C3380CC4-5D6E-409C-BE32-E72D297353CC}">
              <c16:uniqueId val="{00000000-7468-4807-8986-6B151D3A75A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'Average_65_Year_Old_Woman_P '!$AA$32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'Average_65_Year_Old_Woman_P '!$Z$33:$Z$43</c:f>
              <c:numCache>
                <c:formatCode>General</c:formatCode>
                <c:ptCount val="11"/>
                <c:pt idx="0">
                  <c:v>65</c:v>
                </c:pt>
                <c:pt idx="1">
                  <c:v>66</c:v>
                </c:pt>
                <c:pt idx="2">
                  <c:v>67</c:v>
                </c:pt>
                <c:pt idx="3">
                  <c:v>68</c:v>
                </c:pt>
                <c:pt idx="4">
                  <c:v>69</c:v>
                </c:pt>
                <c:pt idx="5">
                  <c:v>70</c:v>
                </c:pt>
                <c:pt idx="6">
                  <c:v>71</c:v>
                </c:pt>
                <c:pt idx="7">
                  <c:v>72</c:v>
                </c:pt>
                <c:pt idx="8">
                  <c:v>73</c:v>
                </c:pt>
                <c:pt idx="9">
                  <c:v>74</c:v>
                </c:pt>
                <c:pt idx="10">
                  <c:v>75</c:v>
                </c:pt>
              </c:numCache>
            </c:numRef>
          </c:cat>
          <c:val>
            <c:numRef>
              <c:f>'Average_65_Year_Old_Woman_P '!$AA$33:$AA$43</c:f>
              <c:numCache>
                <c:formatCode>General</c:formatCode>
                <c:ptCount val="11"/>
                <c:pt idx="0">
                  <c:v>65</c:v>
                </c:pt>
                <c:pt idx="1">
                  <c:v>66.3</c:v>
                </c:pt>
                <c:pt idx="2">
                  <c:v>67.625999999999991</c:v>
                </c:pt>
                <c:pt idx="3">
                  <c:v>68.978519999999989</c:v>
                </c:pt>
                <c:pt idx="4">
                  <c:v>70.358090399999995</c:v>
                </c:pt>
                <c:pt idx="5">
                  <c:v>71.765252207999993</c:v>
                </c:pt>
                <c:pt idx="6">
                  <c:v>73.200557252159996</c:v>
                </c:pt>
                <c:pt idx="7">
                  <c:v>74.664568397203197</c:v>
                </c:pt>
                <c:pt idx="8">
                  <c:v>76.157859765147265</c:v>
                </c:pt>
                <c:pt idx="9">
                  <c:v>77.681016960450208</c:v>
                </c:pt>
                <c:pt idx="10">
                  <c:v>79.234637299659212</c:v>
                </c:pt>
              </c:numCache>
            </c:numRef>
          </c:val>
          <c:smooth val="0"/>
          <c:extLst>
            <c:ext xmlns:c16="http://schemas.microsoft.com/office/drawing/2014/chart" uri="{C3380CC4-5D6E-409C-BE32-E72D297353CC}">
              <c16:uniqueId val="{00000000-8F6B-480A-A6F4-61011BA2E4EE}"/>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Average_70_Year_Old_Man_Pro!$O$32</c:f>
              <c:strCache>
                <c:ptCount val="1"/>
                <c:pt idx="0">
                  <c:v>Vitality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Average_70_Year_Old_Man_Pro!$N$32:$N$43</c15:sqref>
                  </c15:fullRef>
                </c:ext>
              </c:extLst>
              <c:f>Average_70_Year_Old_Man_Pro!$N$33:$N$43</c:f>
              <c:strCache>
                <c:ptCount val="11"/>
                <c:pt idx="0">
                  <c:v>70</c:v>
                </c:pt>
                <c:pt idx="1">
                  <c:v>71</c:v>
                </c:pt>
                <c:pt idx="2">
                  <c:v>72</c:v>
                </c:pt>
                <c:pt idx="3">
                  <c:v>73</c:v>
                </c:pt>
                <c:pt idx="4">
                  <c:v>74</c:v>
                </c:pt>
                <c:pt idx="5">
                  <c:v>75</c:v>
                </c:pt>
                <c:pt idx="6">
                  <c:v>76</c:v>
                </c:pt>
                <c:pt idx="7">
                  <c:v>77</c:v>
                </c:pt>
                <c:pt idx="8">
                  <c:v>78</c:v>
                </c:pt>
                <c:pt idx="9">
                  <c:v>79</c:v>
                </c:pt>
                <c:pt idx="10">
                  <c:v>80</c:v>
                </c:pt>
              </c:strCache>
            </c:strRef>
          </c:cat>
          <c:val>
            <c:numRef>
              <c:extLst>
                <c:ext xmlns:c15="http://schemas.microsoft.com/office/drawing/2012/chart" uri="{02D57815-91ED-43cb-92C2-25804820EDAC}">
                  <c15:fullRef>
                    <c15:sqref>Average_70_Year_Old_Man_Pro!$O$33:$O$43</c15:sqref>
                  </c15:fullRef>
                </c:ext>
              </c:extLst>
              <c:f>Average_70_Year_Old_Man_Pro!$O$34:$O$43</c:f>
              <c:numCache>
                <c:formatCode>General</c:formatCode>
                <c:ptCount val="10"/>
                <c:pt idx="0">
                  <c:v>70.805000000000007</c:v>
                </c:pt>
                <c:pt idx="1">
                  <c:v>71.619257500000003</c:v>
                </c:pt>
                <c:pt idx="2">
                  <c:v>72.442878961250003</c:v>
                </c:pt>
                <c:pt idx="3">
                  <c:v>73.275972069304373</c:v>
                </c:pt>
                <c:pt idx="4">
                  <c:v>74.118645748101372</c:v>
                </c:pt>
                <c:pt idx="5">
                  <c:v>74.971010174204537</c:v>
                </c:pt>
                <c:pt idx="6">
                  <c:v>75.83317679120789</c:v>
                </c:pt>
                <c:pt idx="7">
                  <c:v>76.705258324306783</c:v>
                </c:pt>
                <c:pt idx="8">
                  <c:v>77.587368795036312</c:v>
                </c:pt>
                <c:pt idx="9">
                  <c:v>78.479623536179233</c:v>
                </c:pt>
              </c:numCache>
            </c:numRef>
          </c:val>
          <c:smooth val="0"/>
          <c:extLst>
            <c:ext xmlns:c16="http://schemas.microsoft.com/office/drawing/2014/chart" uri="{C3380CC4-5D6E-409C-BE32-E72D297353CC}">
              <c16:uniqueId val="{00000000-5F83-411E-9422-F1F242E662BD}"/>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Average_70_Year_Old_Man_Pro!$R$32</c:f>
              <c:strCache>
                <c:ptCount val="1"/>
                <c:pt idx="0">
                  <c:v>Strength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Average_70_Year_Old_Man_Pro!$Q$33:$Q$43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Average_70_Year_Old_Man_Pro!$R$33:$R$43</c:f>
              <c:numCache>
                <c:formatCode>General</c:formatCode>
                <c:ptCount val="11"/>
                <c:pt idx="0">
                  <c:v>70</c:v>
                </c:pt>
                <c:pt idx="1">
                  <c:v>70.861000000000004</c:v>
                </c:pt>
                <c:pt idx="2">
                  <c:v>71.732590299999998</c:v>
                </c:pt>
                <c:pt idx="3">
                  <c:v>72.614901160689996</c:v>
                </c:pt>
                <c:pt idx="4">
                  <c:v>73.508064444966479</c:v>
                </c:pt>
                <c:pt idx="5">
                  <c:v>74.412213637639567</c:v>
                </c:pt>
                <c:pt idx="6">
                  <c:v>75.327483865382533</c:v>
                </c:pt>
                <c:pt idx="7">
                  <c:v>76.254011916926743</c:v>
                </c:pt>
                <c:pt idx="8">
                  <c:v>77.191936263504942</c:v>
                </c:pt>
                <c:pt idx="9">
                  <c:v>78.141397079546053</c:v>
                </c:pt>
                <c:pt idx="10">
                  <c:v>79.102536263624472</c:v>
                </c:pt>
              </c:numCache>
            </c:numRef>
          </c:val>
          <c:smooth val="0"/>
          <c:extLst>
            <c:ext xmlns:c16="http://schemas.microsoft.com/office/drawing/2014/chart" uri="{C3380CC4-5D6E-409C-BE32-E72D297353CC}">
              <c16:uniqueId val="{00000000-F502-40EA-A2A2-BF91676DD6D7}"/>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Average_70_Year_Old_Man_Pro!$U$32</c:f>
              <c:strCache>
                <c:ptCount val="1"/>
                <c:pt idx="0">
                  <c:v>Metabolic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Average_70_Year_Old_Man_Pro!$T$33:$T$43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Average_70_Year_Old_Man_Pro!$U$33:$U$43</c:f>
              <c:numCache>
                <c:formatCode>General</c:formatCode>
                <c:ptCount val="11"/>
                <c:pt idx="0">
                  <c:v>70.507857142857148</c:v>
                </c:pt>
                <c:pt idx="1">
                  <c:v>70.895650357142856</c:v>
                </c:pt>
                <c:pt idx="2">
                  <c:v>71.285576434107142</c:v>
                </c:pt>
                <c:pt idx="3">
                  <c:v>71.677647104494724</c:v>
                </c:pt>
                <c:pt idx="4">
                  <c:v>72.071874163569447</c:v>
                </c:pt>
                <c:pt idx="5">
                  <c:v>72.468269471469085</c:v>
                </c:pt>
                <c:pt idx="6">
                  <c:v>72.866844953562165</c:v>
                </c:pt>
                <c:pt idx="7">
                  <c:v>73.267612600806757</c:v>
                </c:pt>
                <c:pt idx="8">
                  <c:v>73.670584470111194</c:v>
                </c:pt>
                <c:pt idx="9">
                  <c:v>74.075772684696801</c:v>
                </c:pt>
                <c:pt idx="10">
                  <c:v>74.483189434462631</c:v>
                </c:pt>
              </c:numCache>
            </c:numRef>
          </c:val>
          <c:smooth val="0"/>
          <c:extLst>
            <c:ext xmlns:c16="http://schemas.microsoft.com/office/drawing/2014/chart" uri="{C3380CC4-5D6E-409C-BE32-E72D297353CC}">
              <c16:uniqueId val="{00000000-90C5-4705-A701-DDE8E0EFF98F}"/>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Average_70_Year_Old_Man_Pro!$X$32</c:f>
              <c:strCache>
                <c:ptCount val="1"/>
                <c:pt idx="0">
                  <c:v>Mobility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Average_70_Year_Old_Man_Pro!$W$33:$W$43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Average_70_Year_Old_Man_Pro!$X$33:$X$43</c:f>
              <c:numCache>
                <c:formatCode>General</c:formatCode>
                <c:ptCount val="11"/>
                <c:pt idx="0">
                  <c:v>70</c:v>
                </c:pt>
                <c:pt idx="1">
                  <c:v>70.692999999999998</c:v>
                </c:pt>
                <c:pt idx="2">
                  <c:v>71.3928607</c:v>
                </c:pt>
                <c:pt idx="3">
                  <c:v>72.09965002093</c:v>
                </c:pt>
                <c:pt idx="4">
                  <c:v>72.813436556137205</c:v>
                </c:pt>
                <c:pt idx="5">
                  <c:v>73.534289578042959</c:v>
                </c:pt>
                <c:pt idx="6">
                  <c:v>74.262279044865579</c:v>
                </c:pt>
                <c:pt idx="7">
                  <c:v>74.997475607409754</c:v>
                </c:pt>
                <c:pt idx="8">
                  <c:v>75.739950615923107</c:v>
                </c:pt>
                <c:pt idx="9">
                  <c:v>76.489776127020747</c:v>
                </c:pt>
                <c:pt idx="10">
                  <c:v>77.247024910678249</c:v>
                </c:pt>
              </c:numCache>
            </c:numRef>
          </c:val>
          <c:smooth val="0"/>
          <c:extLst>
            <c:ext xmlns:c16="http://schemas.microsoft.com/office/drawing/2014/chart" uri="{C3380CC4-5D6E-409C-BE32-E72D297353CC}">
              <c16:uniqueId val="{00000000-9FC4-4206-AD6C-A4C407297823}"/>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Average_70_Year_Old_Man_Pro!$AA$32</c:f>
              <c:strCache>
                <c:ptCount val="1"/>
                <c:pt idx="0">
                  <c:v>Cognitive Decline of an average 60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Average_70_Year_Old_Man_Pro!$Z$33:$Z$43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Average_70_Year_Old_Man_Pro!$AA$33:$AA$43</c:f>
              <c:numCache>
                <c:formatCode>General</c:formatCode>
                <c:ptCount val="11"/>
                <c:pt idx="0">
                  <c:v>70</c:v>
                </c:pt>
                <c:pt idx="1">
                  <c:v>71.400000000000006</c:v>
                </c:pt>
                <c:pt idx="2">
                  <c:v>72.828000000000003</c:v>
                </c:pt>
                <c:pt idx="3">
                  <c:v>74.284559999999999</c:v>
                </c:pt>
                <c:pt idx="4">
                  <c:v>75.770251200000004</c:v>
                </c:pt>
                <c:pt idx="5">
                  <c:v>77.285656224000007</c:v>
                </c:pt>
                <c:pt idx="6">
                  <c:v>78.83136934848001</c:v>
                </c:pt>
                <c:pt idx="7">
                  <c:v>80.407996735449615</c:v>
                </c:pt>
                <c:pt idx="8">
                  <c:v>82.016156670158608</c:v>
                </c:pt>
                <c:pt idx="9">
                  <c:v>83.65647980356178</c:v>
                </c:pt>
                <c:pt idx="10">
                  <c:v>85.329609399633014</c:v>
                </c:pt>
              </c:numCache>
            </c:numRef>
          </c:val>
          <c:smooth val="0"/>
          <c:extLst>
            <c:ext xmlns:c16="http://schemas.microsoft.com/office/drawing/2014/chart" uri="{C3380CC4-5D6E-409C-BE32-E72D297353CC}">
              <c16:uniqueId val="{00000000-39C7-4F79-B2DC-177F3C9394B9}"/>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Average_70_Year_Old_Woman_Pro!$O$32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Average_70_Year_Old_Woman_Pro!$N$32:$N$43</c15:sqref>
                  </c15:fullRef>
                </c:ext>
              </c:extLst>
              <c:f>Average_70_Year_Old_Woman_Pro!$N$33:$N$43</c:f>
              <c:strCache>
                <c:ptCount val="11"/>
                <c:pt idx="0">
                  <c:v>70</c:v>
                </c:pt>
                <c:pt idx="1">
                  <c:v>71</c:v>
                </c:pt>
                <c:pt idx="2">
                  <c:v>72</c:v>
                </c:pt>
                <c:pt idx="3">
                  <c:v>73</c:v>
                </c:pt>
                <c:pt idx="4">
                  <c:v>74</c:v>
                </c:pt>
                <c:pt idx="5">
                  <c:v>75</c:v>
                </c:pt>
                <c:pt idx="6">
                  <c:v>76</c:v>
                </c:pt>
                <c:pt idx="7">
                  <c:v>77</c:v>
                </c:pt>
                <c:pt idx="8">
                  <c:v>78</c:v>
                </c:pt>
                <c:pt idx="9">
                  <c:v>79</c:v>
                </c:pt>
                <c:pt idx="10">
                  <c:v>80</c:v>
                </c:pt>
              </c:strCache>
            </c:strRef>
          </c:cat>
          <c:val>
            <c:numRef>
              <c:extLst>
                <c:ext xmlns:c15="http://schemas.microsoft.com/office/drawing/2012/chart" uri="{02D57815-91ED-43cb-92C2-25804820EDAC}">
                  <c15:fullRef>
                    <c15:sqref>Average_70_Year_Old_Woman_Pro!$O$33:$O$43</c15:sqref>
                  </c15:fullRef>
                </c:ext>
              </c:extLst>
              <c:f>Average_70_Year_Old_Woman_Pro!$O$34:$O$43</c:f>
              <c:numCache>
                <c:formatCode>General</c:formatCode>
                <c:ptCount val="10"/>
                <c:pt idx="0">
                  <c:v>70.805000000000007</c:v>
                </c:pt>
                <c:pt idx="1">
                  <c:v>71.619257500000003</c:v>
                </c:pt>
                <c:pt idx="2">
                  <c:v>72.442878961250003</c:v>
                </c:pt>
                <c:pt idx="3">
                  <c:v>73.275972069304373</c:v>
                </c:pt>
                <c:pt idx="4">
                  <c:v>74.118645748101372</c:v>
                </c:pt>
                <c:pt idx="5">
                  <c:v>74.971010174204537</c:v>
                </c:pt>
                <c:pt idx="6">
                  <c:v>75.83317679120789</c:v>
                </c:pt>
                <c:pt idx="7">
                  <c:v>76.705258324306783</c:v>
                </c:pt>
                <c:pt idx="8">
                  <c:v>77.587368795036312</c:v>
                </c:pt>
                <c:pt idx="9">
                  <c:v>78.479623536179233</c:v>
                </c:pt>
              </c:numCache>
            </c:numRef>
          </c:val>
          <c:smooth val="0"/>
          <c:extLst>
            <c:ext xmlns:c16="http://schemas.microsoft.com/office/drawing/2014/chart" uri="{C3380CC4-5D6E-409C-BE32-E72D297353CC}">
              <c16:uniqueId val="{00000000-4AE2-44FC-BE5C-991D1EB9E252}"/>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Average_70_Year_Old_Woman_Pro!$Q$33:$Q$43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Average_70_Year_Old_Woman_Pro!$R$33:$R$43</c:f>
              <c:numCache>
                <c:formatCode>General</c:formatCode>
                <c:ptCount val="11"/>
                <c:pt idx="0">
                  <c:v>70</c:v>
                </c:pt>
                <c:pt idx="1">
                  <c:v>70.861000000000004</c:v>
                </c:pt>
                <c:pt idx="2">
                  <c:v>71.732590299999998</c:v>
                </c:pt>
                <c:pt idx="3">
                  <c:v>72.614901160689996</c:v>
                </c:pt>
                <c:pt idx="4">
                  <c:v>73.508064444966479</c:v>
                </c:pt>
                <c:pt idx="5">
                  <c:v>74.412213637639567</c:v>
                </c:pt>
                <c:pt idx="6">
                  <c:v>75.327483865382533</c:v>
                </c:pt>
                <c:pt idx="7">
                  <c:v>76.254011916926743</c:v>
                </c:pt>
                <c:pt idx="8">
                  <c:v>77.191936263504942</c:v>
                </c:pt>
                <c:pt idx="9">
                  <c:v>78.141397079546053</c:v>
                </c:pt>
                <c:pt idx="10">
                  <c:v>79.102536263624472</c:v>
                </c:pt>
              </c:numCache>
            </c:numRef>
          </c:val>
          <c:smooth val="0"/>
          <c:extLst>
            <c:ext xmlns:c16="http://schemas.microsoft.com/office/drawing/2014/chart" uri="{C3380CC4-5D6E-409C-BE32-E72D297353CC}">
              <c16:uniqueId val="{00000000-EE3B-4E29-B40B-4E601AEECAE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Average_70_Year_Old_Woman_Pro!$T$33:$T$43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Average_70_Year_Old_Woman_Pro!$U$33:$U$43</c:f>
              <c:numCache>
                <c:formatCode>General</c:formatCode>
                <c:ptCount val="11"/>
                <c:pt idx="0">
                  <c:v>70.11571428571429</c:v>
                </c:pt>
                <c:pt idx="1">
                  <c:v>70.501350714285721</c:v>
                </c:pt>
                <c:pt idx="2">
                  <c:v>70.889108143214287</c:v>
                </c:pt>
                <c:pt idx="3">
                  <c:v>71.278998238001961</c:v>
                </c:pt>
                <c:pt idx="4">
                  <c:v>71.671032728310976</c:v>
                </c:pt>
                <c:pt idx="5">
                  <c:v>72.065223408316683</c:v>
                </c:pt>
                <c:pt idx="6">
                  <c:v>72.461582137062422</c:v>
                </c:pt>
                <c:pt idx="7">
                  <c:v>72.860120838816272</c:v>
                </c:pt>
                <c:pt idx="8">
                  <c:v>73.260851503429762</c:v>
                </c:pt>
                <c:pt idx="9">
                  <c:v>73.66378618669863</c:v>
                </c:pt>
                <c:pt idx="10">
                  <c:v>74.068937010725477</c:v>
                </c:pt>
              </c:numCache>
            </c:numRef>
          </c:val>
          <c:smooth val="0"/>
          <c:extLst>
            <c:ext xmlns:c16="http://schemas.microsoft.com/office/drawing/2014/chart" uri="{C3380CC4-5D6E-409C-BE32-E72D297353CC}">
              <c16:uniqueId val="{00000000-12CD-49F3-AAB0-FC27610DA335}"/>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Average_70_Year_Old_Woman_Pro!$W$33:$W$43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Average_70_Year_Old_Woman_Pro!$X$33:$X$43</c:f>
              <c:numCache>
                <c:formatCode>General</c:formatCode>
                <c:ptCount val="11"/>
                <c:pt idx="0">
                  <c:v>70</c:v>
                </c:pt>
                <c:pt idx="1">
                  <c:v>70.692999999999998</c:v>
                </c:pt>
                <c:pt idx="2">
                  <c:v>71.3928607</c:v>
                </c:pt>
                <c:pt idx="3">
                  <c:v>72.09965002093</c:v>
                </c:pt>
                <c:pt idx="4">
                  <c:v>72.813436556137205</c:v>
                </c:pt>
                <c:pt idx="5">
                  <c:v>73.534289578042959</c:v>
                </c:pt>
                <c:pt idx="6">
                  <c:v>74.262279044865579</c:v>
                </c:pt>
                <c:pt idx="7">
                  <c:v>74.997475607409754</c:v>
                </c:pt>
                <c:pt idx="8">
                  <c:v>75.739950615923107</c:v>
                </c:pt>
                <c:pt idx="9">
                  <c:v>76.489776127020747</c:v>
                </c:pt>
                <c:pt idx="10">
                  <c:v>77.247024910678249</c:v>
                </c:pt>
              </c:numCache>
            </c:numRef>
          </c:val>
          <c:smooth val="0"/>
          <c:extLst>
            <c:ext xmlns:c16="http://schemas.microsoft.com/office/drawing/2014/chart" uri="{C3380CC4-5D6E-409C-BE32-E72D297353CC}">
              <c16:uniqueId val="{00000000-031C-42E6-A624-249F9D5C2843}"/>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Average_70_Year_Old_Woman_Pro!$AA$32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Average_70_Year_Old_Woman_Pro!$Z$33:$Z$43</c:f>
              <c:numCache>
                <c:formatCode>General</c:formatCode>
                <c:ptCount val="11"/>
                <c:pt idx="0">
                  <c:v>70</c:v>
                </c:pt>
                <c:pt idx="1">
                  <c:v>71</c:v>
                </c:pt>
                <c:pt idx="2">
                  <c:v>72</c:v>
                </c:pt>
                <c:pt idx="3">
                  <c:v>73</c:v>
                </c:pt>
                <c:pt idx="4">
                  <c:v>74</c:v>
                </c:pt>
                <c:pt idx="5">
                  <c:v>75</c:v>
                </c:pt>
                <c:pt idx="6">
                  <c:v>76</c:v>
                </c:pt>
                <c:pt idx="7">
                  <c:v>77</c:v>
                </c:pt>
                <c:pt idx="8">
                  <c:v>78</c:v>
                </c:pt>
                <c:pt idx="9">
                  <c:v>79</c:v>
                </c:pt>
                <c:pt idx="10">
                  <c:v>80</c:v>
                </c:pt>
              </c:numCache>
            </c:numRef>
          </c:cat>
          <c:val>
            <c:numRef>
              <c:f>Average_70_Year_Old_Woman_Pro!$AA$33:$AA$43</c:f>
              <c:numCache>
                <c:formatCode>General</c:formatCode>
                <c:ptCount val="11"/>
                <c:pt idx="0">
                  <c:v>70</c:v>
                </c:pt>
                <c:pt idx="1">
                  <c:v>71.400000000000006</c:v>
                </c:pt>
                <c:pt idx="2">
                  <c:v>72.828000000000003</c:v>
                </c:pt>
                <c:pt idx="3">
                  <c:v>74.284559999999999</c:v>
                </c:pt>
                <c:pt idx="4">
                  <c:v>75.770251200000004</c:v>
                </c:pt>
                <c:pt idx="5">
                  <c:v>77.285656224000007</c:v>
                </c:pt>
                <c:pt idx="6">
                  <c:v>78.83136934848001</c:v>
                </c:pt>
                <c:pt idx="7">
                  <c:v>80.407996735449615</c:v>
                </c:pt>
                <c:pt idx="8">
                  <c:v>82.016156670158608</c:v>
                </c:pt>
                <c:pt idx="9">
                  <c:v>83.65647980356178</c:v>
                </c:pt>
                <c:pt idx="10">
                  <c:v>85.329609399633014</c:v>
                </c:pt>
              </c:numCache>
            </c:numRef>
          </c:val>
          <c:smooth val="0"/>
          <c:extLst>
            <c:ext xmlns:c16="http://schemas.microsoft.com/office/drawing/2014/chart" uri="{C3380CC4-5D6E-409C-BE32-E72D297353CC}">
              <c16:uniqueId val="{00000000-FBAB-4B0E-89ED-4203951B1A60}"/>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Average_75_Year_Old_Man_Pro!$O$32</c:f>
              <c:strCache>
                <c:ptCount val="1"/>
                <c:pt idx="0">
                  <c:v>Vitality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Average_75_Year_Old_Man_Pro!$N$32:$N$43</c15:sqref>
                  </c15:fullRef>
                </c:ext>
              </c:extLst>
              <c:f>Average_75_Year_Old_Man_Pro!$N$33:$N$43</c:f>
              <c:strCache>
                <c:ptCount val="11"/>
                <c:pt idx="0">
                  <c:v>75</c:v>
                </c:pt>
                <c:pt idx="1">
                  <c:v>76</c:v>
                </c:pt>
                <c:pt idx="2">
                  <c:v>77</c:v>
                </c:pt>
                <c:pt idx="3">
                  <c:v>78</c:v>
                </c:pt>
                <c:pt idx="4">
                  <c:v>79</c:v>
                </c:pt>
                <c:pt idx="5">
                  <c:v>80</c:v>
                </c:pt>
                <c:pt idx="6">
                  <c:v>81</c:v>
                </c:pt>
                <c:pt idx="7">
                  <c:v>82</c:v>
                </c:pt>
                <c:pt idx="8">
                  <c:v>83</c:v>
                </c:pt>
                <c:pt idx="9">
                  <c:v>84</c:v>
                </c:pt>
                <c:pt idx="10">
                  <c:v>85</c:v>
                </c:pt>
              </c:strCache>
            </c:strRef>
          </c:cat>
          <c:val>
            <c:numRef>
              <c:extLst>
                <c:ext xmlns:c15="http://schemas.microsoft.com/office/drawing/2012/chart" uri="{02D57815-91ED-43cb-92C2-25804820EDAC}">
                  <c15:fullRef>
                    <c15:sqref>Average_75_Year_Old_Man_Pro!$O$33:$O$43</c15:sqref>
                  </c15:fullRef>
                </c:ext>
              </c:extLst>
              <c:f>Average_75_Year_Old_Man_Pro!$O$34:$O$43</c:f>
              <c:numCache>
                <c:formatCode>General</c:formatCode>
                <c:ptCount val="10"/>
                <c:pt idx="0">
                  <c:v>75.862499999999997</c:v>
                </c:pt>
                <c:pt idx="1">
                  <c:v>76.734918749999991</c:v>
                </c:pt>
                <c:pt idx="2">
                  <c:v>77.617370315624996</c:v>
                </c:pt>
                <c:pt idx="3">
                  <c:v>78.509970074254682</c:v>
                </c:pt>
                <c:pt idx="4">
                  <c:v>79.412834730108614</c:v>
                </c:pt>
                <c:pt idx="5">
                  <c:v>80.326082329504857</c:v>
                </c:pt>
                <c:pt idx="6">
                  <c:v>81.249832276294157</c:v>
                </c:pt>
                <c:pt idx="7">
                  <c:v>82.184205347471533</c:v>
                </c:pt>
                <c:pt idx="8">
                  <c:v>83.129323708967462</c:v>
                </c:pt>
                <c:pt idx="9">
                  <c:v>84.085310931620583</c:v>
                </c:pt>
              </c:numCache>
            </c:numRef>
          </c:val>
          <c:smooth val="0"/>
          <c:extLst>
            <c:ext xmlns:c16="http://schemas.microsoft.com/office/drawing/2014/chart" uri="{C3380CC4-5D6E-409C-BE32-E72D297353CC}">
              <c16:uniqueId val="{00000000-BFBE-49DC-B398-ECDDA53305A7}"/>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Average_75_Year_Old_Man_Pro!$R$32</c:f>
              <c:strCache>
                <c:ptCount val="1"/>
                <c:pt idx="0">
                  <c:v>Strength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Average_75_Year_Old_Man_Pro!$Q$33:$Q$43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Average_75_Year_Old_Man_Pro!$R$33:$R$43</c:f>
              <c:numCache>
                <c:formatCode>General</c:formatCode>
                <c:ptCount val="11"/>
                <c:pt idx="0">
                  <c:v>75</c:v>
                </c:pt>
                <c:pt idx="1">
                  <c:v>75.922499999999999</c:v>
                </c:pt>
                <c:pt idx="2">
                  <c:v>76.85634675</c:v>
                </c:pt>
                <c:pt idx="3">
                  <c:v>77.801679815024997</c:v>
                </c:pt>
                <c:pt idx="4">
                  <c:v>78.758640476749804</c:v>
                </c:pt>
                <c:pt idx="5">
                  <c:v>79.727371754613827</c:v>
                </c:pt>
                <c:pt idx="6">
                  <c:v>80.708018427195583</c:v>
                </c:pt>
                <c:pt idx="7">
                  <c:v>81.700727053850088</c:v>
                </c:pt>
                <c:pt idx="8">
                  <c:v>82.705645996612446</c:v>
                </c:pt>
                <c:pt idx="9">
                  <c:v>83.72292544237078</c:v>
                </c:pt>
                <c:pt idx="10">
                  <c:v>84.752717425311943</c:v>
                </c:pt>
              </c:numCache>
            </c:numRef>
          </c:val>
          <c:smooth val="0"/>
          <c:extLst>
            <c:ext xmlns:c16="http://schemas.microsoft.com/office/drawing/2014/chart" uri="{C3380CC4-5D6E-409C-BE32-E72D297353CC}">
              <c16:uniqueId val="{00000000-09DE-444F-A4F6-580B8FC11601}"/>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Average_75_Year_Old_Man_Pro!$U$32</c:f>
              <c:strCache>
                <c:ptCount val="1"/>
                <c:pt idx="0">
                  <c:v>Metabolic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Average_75_Year_Old_Man_Pro!$T$33:$T$43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Average_75_Year_Old_Man_Pro!$U$33:$U$43</c:f>
              <c:numCache>
                <c:formatCode>General</c:formatCode>
                <c:ptCount val="11"/>
                <c:pt idx="0">
                  <c:v>76.838999999999999</c:v>
                </c:pt>
                <c:pt idx="1">
                  <c:v>77.261614499999993</c:v>
                </c:pt>
                <c:pt idx="2">
                  <c:v>77.686553379749995</c:v>
                </c:pt>
                <c:pt idx="3">
                  <c:v>78.113829423338615</c:v>
                </c:pt>
                <c:pt idx="4">
                  <c:v>78.543455485166973</c:v>
                </c:pt>
                <c:pt idx="5">
                  <c:v>78.975444490335391</c:v>
                </c:pt>
                <c:pt idx="6">
                  <c:v>79.40980943503223</c:v>
                </c:pt>
                <c:pt idx="7">
                  <c:v>79.846563386924913</c:v>
                </c:pt>
                <c:pt idx="8">
                  <c:v>80.285719485553003</c:v>
                </c:pt>
                <c:pt idx="9">
                  <c:v>80.727290942723542</c:v>
                </c:pt>
                <c:pt idx="10">
                  <c:v>81.171291042908521</c:v>
                </c:pt>
              </c:numCache>
            </c:numRef>
          </c:val>
          <c:smooth val="0"/>
          <c:extLst>
            <c:ext xmlns:c16="http://schemas.microsoft.com/office/drawing/2014/chart" uri="{C3380CC4-5D6E-409C-BE32-E72D297353CC}">
              <c16:uniqueId val="{00000000-7AC1-4232-BB34-33174916A3C1}"/>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Average_75_Year_Old_Man_Pro!$X$32</c:f>
              <c:strCache>
                <c:ptCount val="1"/>
                <c:pt idx="0">
                  <c:v>Mobility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Average_75_Year_Old_Man_Pro!$W$33:$W$43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Average_75_Year_Old_Man_Pro!$X$33:$X$43</c:f>
              <c:numCache>
                <c:formatCode>General</c:formatCode>
                <c:ptCount val="11"/>
                <c:pt idx="0">
                  <c:v>73.5</c:v>
                </c:pt>
                <c:pt idx="1">
                  <c:v>74.227649999999997</c:v>
                </c:pt>
                <c:pt idx="2">
                  <c:v>74.962503734999999</c:v>
                </c:pt>
                <c:pt idx="3">
                  <c:v>75.704632521976492</c:v>
                </c:pt>
                <c:pt idx="4">
                  <c:v>76.45410838394406</c:v>
                </c:pt>
                <c:pt idx="5">
                  <c:v>77.2110040569451</c:v>
                </c:pt>
                <c:pt idx="6">
                  <c:v>77.975392997108855</c:v>
                </c:pt>
                <c:pt idx="7">
                  <c:v>78.747349387780233</c:v>
                </c:pt>
                <c:pt idx="8">
                  <c:v>79.526948146719263</c:v>
                </c:pt>
                <c:pt idx="9">
                  <c:v>80.314264933371788</c:v>
                </c:pt>
                <c:pt idx="10">
                  <c:v>81.109376156212164</c:v>
                </c:pt>
              </c:numCache>
            </c:numRef>
          </c:val>
          <c:smooth val="0"/>
          <c:extLst>
            <c:ext xmlns:c16="http://schemas.microsoft.com/office/drawing/2014/chart" uri="{C3380CC4-5D6E-409C-BE32-E72D297353CC}">
              <c16:uniqueId val="{00000000-9974-42CE-A329-C0A5DBF540E3}"/>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Average_75_Year_Old_Man_Pro!$AA$32</c:f>
              <c:strCache>
                <c:ptCount val="1"/>
                <c:pt idx="0">
                  <c:v>Cognitive Decline of an average 60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Average_75_Year_Old_Man_Pro!$Z$33:$Z$43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Average_75_Year_Old_Man_Pro!$AA$33:$AA$43</c:f>
              <c:numCache>
                <c:formatCode>General</c:formatCode>
                <c:ptCount val="11"/>
                <c:pt idx="0">
                  <c:v>75</c:v>
                </c:pt>
                <c:pt idx="1">
                  <c:v>76.5</c:v>
                </c:pt>
                <c:pt idx="2">
                  <c:v>78.03</c:v>
                </c:pt>
                <c:pt idx="3">
                  <c:v>79.590599999999995</c:v>
                </c:pt>
                <c:pt idx="4">
                  <c:v>81.182411999999999</c:v>
                </c:pt>
                <c:pt idx="5">
                  <c:v>82.806060239999994</c:v>
                </c:pt>
                <c:pt idx="6">
                  <c:v>84.462181444799995</c:v>
                </c:pt>
                <c:pt idx="7">
                  <c:v>86.151425073695989</c:v>
                </c:pt>
                <c:pt idx="8">
                  <c:v>87.874453575169909</c:v>
                </c:pt>
                <c:pt idx="9">
                  <c:v>89.631942646673309</c:v>
                </c:pt>
                <c:pt idx="10">
                  <c:v>91.424581499606774</c:v>
                </c:pt>
              </c:numCache>
            </c:numRef>
          </c:val>
          <c:smooth val="0"/>
          <c:extLst>
            <c:ext xmlns:c16="http://schemas.microsoft.com/office/drawing/2014/chart" uri="{C3380CC4-5D6E-409C-BE32-E72D297353CC}">
              <c16:uniqueId val="{00000000-B1CD-4631-9EB8-667F0BDAB5F4}"/>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28894595014656"/>
          <c:y val="0.19499652536483669"/>
          <c:w val="0.8837110540498534"/>
          <c:h val="0.72106431449369734"/>
        </c:manualLayout>
      </c:layout>
      <c:lineChart>
        <c:grouping val="standard"/>
        <c:varyColors val="0"/>
        <c:ser>
          <c:idx val="0"/>
          <c:order val="0"/>
          <c:tx>
            <c:strRef>
              <c:f>Average_75_Year_Old_Woman_P!$O$32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Average_75_Year_Old_Woman_P!$N$32:$N$43</c15:sqref>
                  </c15:fullRef>
                </c:ext>
              </c:extLst>
              <c:f>Average_75_Year_Old_Woman_P!$N$33:$N$43</c:f>
              <c:strCache>
                <c:ptCount val="11"/>
                <c:pt idx="0">
                  <c:v>75</c:v>
                </c:pt>
                <c:pt idx="1">
                  <c:v>76</c:v>
                </c:pt>
                <c:pt idx="2">
                  <c:v>77</c:v>
                </c:pt>
                <c:pt idx="3">
                  <c:v>78</c:v>
                </c:pt>
                <c:pt idx="4">
                  <c:v>79</c:v>
                </c:pt>
                <c:pt idx="5">
                  <c:v>80</c:v>
                </c:pt>
                <c:pt idx="6">
                  <c:v>81</c:v>
                </c:pt>
                <c:pt idx="7">
                  <c:v>82</c:v>
                </c:pt>
                <c:pt idx="8">
                  <c:v>83</c:v>
                </c:pt>
                <c:pt idx="9">
                  <c:v>84</c:v>
                </c:pt>
                <c:pt idx="10">
                  <c:v>85</c:v>
                </c:pt>
              </c:strCache>
            </c:strRef>
          </c:cat>
          <c:val>
            <c:numRef>
              <c:extLst>
                <c:ext xmlns:c15="http://schemas.microsoft.com/office/drawing/2012/chart" uri="{02D57815-91ED-43cb-92C2-25804820EDAC}">
                  <c15:fullRef>
                    <c15:sqref>Average_75_Year_Old_Woman_P!$O$33:$O$43</c15:sqref>
                  </c15:fullRef>
                </c:ext>
              </c:extLst>
              <c:f>Average_75_Year_Old_Woman_P!$O$34:$O$43</c:f>
              <c:numCache>
                <c:formatCode>General</c:formatCode>
                <c:ptCount val="10"/>
                <c:pt idx="0">
                  <c:v>75.862499999999997</c:v>
                </c:pt>
                <c:pt idx="1">
                  <c:v>76.734918749999991</c:v>
                </c:pt>
                <c:pt idx="2">
                  <c:v>77.617370315624996</c:v>
                </c:pt>
                <c:pt idx="3">
                  <c:v>78.509970074254682</c:v>
                </c:pt>
                <c:pt idx="4">
                  <c:v>79.412834730108614</c:v>
                </c:pt>
                <c:pt idx="5">
                  <c:v>80.326082329504857</c:v>
                </c:pt>
                <c:pt idx="6">
                  <c:v>81.249832276294157</c:v>
                </c:pt>
                <c:pt idx="7">
                  <c:v>82.184205347471533</c:v>
                </c:pt>
                <c:pt idx="8">
                  <c:v>83.129323708967462</c:v>
                </c:pt>
                <c:pt idx="9">
                  <c:v>84.085310931620583</c:v>
                </c:pt>
              </c:numCache>
            </c:numRef>
          </c:val>
          <c:smooth val="0"/>
          <c:extLst>
            <c:ext xmlns:c16="http://schemas.microsoft.com/office/drawing/2014/chart" uri="{C3380CC4-5D6E-409C-BE32-E72D297353CC}">
              <c16:uniqueId val="{00000000-7AF7-43AC-B843-67F5DDB84C17}"/>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Average_75_Year_Old_Woman_P!$R$32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Average_75_Year_Old_Woman_P!$Q$33:$Q$43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Average_75_Year_Old_Woman_P!$R$33:$R$43</c:f>
              <c:numCache>
                <c:formatCode>General</c:formatCode>
                <c:ptCount val="11"/>
                <c:pt idx="0">
                  <c:v>75</c:v>
                </c:pt>
                <c:pt idx="1">
                  <c:v>75.922499999999999</c:v>
                </c:pt>
                <c:pt idx="2">
                  <c:v>76.85634675</c:v>
                </c:pt>
                <c:pt idx="3">
                  <c:v>77.801679815024997</c:v>
                </c:pt>
                <c:pt idx="4">
                  <c:v>78.758640476749804</c:v>
                </c:pt>
                <c:pt idx="5">
                  <c:v>79.727371754613827</c:v>
                </c:pt>
                <c:pt idx="6">
                  <c:v>80.708018427195583</c:v>
                </c:pt>
                <c:pt idx="7">
                  <c:v>81.700727053850088</c:v>
                </c:pt>
                <c:pt idx="8">
                  <c:v>82.705645996612446</c:v>
                </c:pt>
                <c:pt idx="9">
                  <c:v>83.72292544237078</c:v>
                </c:pt>
                <c:pt idx="10">
                  <c:v>84.752717425311943</c:v>
                </c:pt>
              </c:numCache>
            </c:numRef>
          </c:val>
          <c:smooth val="0"/>
          <c:extLst>
            <c:ext xmlns:c16="http://schemas.microsoft.com/office/drawing/2014/chart" uri="{C3380CC4-5D6E-409C-BE32-E72D297353CC}">
              <c16:uniqueId val="{00000000-27A7-4EA3-9406-C301B0413AED}"/>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Average_75_Year_Old_Woman_P!$U$32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Average_75_Year_Old_Woman_P!$T$33:$T$43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Average_75_Year_Old_Woman_P!$U$33:$U$43</c:f>
              <c:numCache>
                <c:formatCode>General</c:formatCode>
                <c:ptCount val="11"/>
                <c:pt idx="0">
                  <c:v>76.79185714285714</c:v>
                </c:pt>
                <c:pt idx="1">
                  <c:v>77.214212357142856</c:v>
                </c:pt>
                <c:pt idx="2">
                  <c:v>77.638890525107144</c:v>
                </c:pt>
                <c:pt idx="3">
                  <c:v>78.065904422995231</c:v>
                </c:pt>
                <c:pt idx="4">
                  <c:v>78.495266897321699</c:v>
                </c:pt>
                <c:pt idx="5">
                  <c:v>78.926990865256968</c:v>
                </c:pt>
                <c:pt idx="6">
                  <c:v>79.361089315015874</c:v>
                </c:pt>
                <c:pt idx="7">
                  <c:v>79.797575306248461</c:v>
                </c:pt>
                <c:pt idx="8">
                  <c:v>80.236461970432828</c:v>
                </c:pt>
                <c:pt idx="9">
                  <c:v>80.677762511270203</c:v>
                </c:pt>
                <c:pt idx="10">
                  <c:v>81.121490205082182</c:v>
                </c:pt>
              </c:numCache>
            </c:numRef>
          </c:val>
          <c:smooth val="0"/>
          <c:extLst>
            <c:ext xmlns:c16="http://schemas.microsoft.com/office/drawing/2014/chart" uri="{C3380CC4-5D6E-409C-BE32-E72D297353CC}">
              <c16:uniqueId val="{00000000-5A29-4C3D-868E-5C6F4166B955}"/>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Average_75_Year_Old_Woman_P!$X$32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Average_75_Year_Old_Woman_P!$W$33:$W$43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Average_75_Year_Old_Woman_P!$X$33:$X$43</c:f>
              <c:numCache>
                <c:formatCode>General</c:formatCode>
                <c:ptCount val="11"/>
                <c:pt idx="0">
                  <c:v>76.5</c:v>
                </c:pt>
                <c:pt idx="1">
                  <c:v>77.257350000000002</c:v>
                </c:pt>
                <c:pt idx="2">
                  <c:v>78.022197765000001</c:v>
                </c:pt>
                <c:pt idx="3">
                  <c:v>78.794617522873494</c:v>
                </c:pt>
                <c:pt idx="4">
                  <c:v>79.574684236349938</c:v>
                </c:pt>
                <c:pt idx="5">
                  <c:v>80.362473610289797</c:v>
                </c:pt>
                <c:pt idx="6">
                  <c:v>81.158062099031667</c:v>
                </c:pt>
                <c:pt idx="7">
                  <c:v>81.961526913812079</c:v>
                </c:pt>
                <c:pt idx="8">
                  <c:v>82.772946030258822</c:v>
                </c:pt>
                <c:pt idx="9">
                  <c:v>83.592398195958381</c:v>
                </c:pt>
                <c:pt idx="10">
                  <c:v>84.419962938098365</c:v>
                </c:pt>
              </c:numCache>
            </c:numRef>
          </c:val>
          <c:smooth val="0"/>
          <c:extLst>
            <c:ext xmlns:c16="http://schemas.microsoft.com/office/drawing/2014/chart" uri="{C3380CC4-5D6E-409C-BE32-E72D297353CC}">
              <c16:uniqueId val="{00000000-B9C4-4AA1-9644-D0C6CE46C52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Average_75_Year_Old_Woman_P!$AA$32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Average_75_Year_Old_Woman_P!$Z$33:$Z$43</c:f>
              <c:numCache>
                <c:formatCode>General</c:formatCode>
                <c:ptCount val="11"/>
                <c:pt idx="0">
                  <c:v>75</c:v>
                </c:pt>
                <c:pt idx="1">
                  <c:v>76</c:v>
                </c:pt>
                <c:pt idx="2">
                  <c:v>77</c:v>
                </c:pt>
                <c:pt idx="3">
                  <c:v>78</c:v>
                </c:pt>
                <c:pt idx="4">
                  <c:v>79</c:v>
                </c:pt>
                <c:pt idx="5">
                  <c:v>80</c:v>
                </c:pt>
                <c:pt idx="6">
                  <c:v>81</c:v>
                </c:pt>
                <c:pt idx="7">
                  <c:v>82</c:v>
                </c:pt>
                <c:pt idx="8">
                  <c:v>83</c:v>
                </c:pt>
                <c:pt idx="9">
                  <c:v>84</c:v>
                </c:pt>
                <c:pt idx="10">
                  <c:v>85</c:v>
                </c:pt>
              </c:numCache>
            </c:numRef>
          </c:cat>
          <c:val>
            <c:numRef>
              <c:f>Average_75_Year_Old_Woman_P!$AA$33:$AA$43</c:f>
              <c:numCache>
                <c:formatCode>General</c:formatCode>
                <c:ptCount val="11"/>
                <c:pt idx="0">
                  <c:v>75</c:v>
                </c:pt>
                <c:pt idx="1">
                  <c:v>76.5</c:v>
                </c:pt>
                <c:pt idx="2">
                  <c:v>78.03</c:v>
                </c:pt>
                <c:pt idx="3">
                  <c:v>79.590599999999995</c:v>
                </c:pt>
                <c:pt idx="4">
                  <c:v>81.182411999999999</c:v>
                </c:pt>
                <c:pt idx="5">
                  <c:v>82.806060239999994</c:v>
                </c:pt>
                <c:pt idx="6">
                  <c:v>84.462181444799995</c:v>
                </c:pt>
                <c:pt idx="7">
                  <c:v>86.151425073695989</c:v>
                </c:pt>
                <c:pt idx="8">
                  <c:v>87.874453575169909</c:v>
                </c:pt>
                <c:pt idx="9">
                  <c:v>89.631942646673309</c:v>
                </c:pt>
                <c:pt idx="10">
                  <c:v>91.424581499606774</c:v>
                </c:pt>
              </c:numCache>
            </c:numRef>
          </c:val>
          <c:smooth val="0"/>
          <c:extLst>
            <c:ext xmlns:c16="http://schemas.microsoft.com/office/drawing/2014/chart" uri="{C3380CC4-5D6E-409C-BE32-E72D297353CC}">
              <c16:uniqueId val="{00000000-90E2-4EA1-B52D-2A68EC72DC66}"/>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02283734734691"/>
          <c:y val="0.19499639073621033"/>
          <c:w val="0.79805023200437586"/>
          <c:h val="0.5918251123256506"/>
        </c:manualLayout>
      </c:layout>
      <c:lineChart>
        <c:grouping val="standard"/>
        <c:varyColors val="0"/>
        <c:ser>
          <c:idx val="0"/>
          <c:order val="0"/>
          <c:tx>
            <c:strRef>
              <c:f>'Average_55_Year_Old_Man_Pro '!$O$32</c:f>
              <c:strCache>
                <c:ptCount val="1"/>
                <c:pt idx="0">
                  <c:v>Vitality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'Average_55_Year_Old_Man_Pro '!$N$32:$N$43</c15:sqref>
                  </c15:fullRef>
                </c:ext>
              </c:extLst>
              <c:f>'Average_55_Year_Old_Man_Pro '!$N$33:$N$43</c:f>
              <c:strCache>
                <c:ptCount val="11"/>
                <c:pt idx="0">
                  <c:v>55</c:v>
                </c:pt>
                <c:pt idx="1">
                  <c:v>56</c:v>
                </c:pt>
                <c:pt idx="2">
                  <c:v>57</c:v>
                </c:pt>
                <c:pt idx="3">
                  <c:v>58</c:v>
                </c:pt>
                <c:pt idx="4">
                  <c:v>59</c:v>
                </c:pt>
                <c:pt idx="5">
                  <c:v>60</c:v>
                </c:pt>
                <c:pt idx="6">
                  <c:v>61</c:v>
                </c:pt>
                <c:pt idx="7">
                  <c:v>62</c:v>
                </c:pt>
                <c:pt idx="8">
                  <c:v>63</c:v>
                </c:pt>
                <c:pt idx="9">
                  <c:v>64</c:v>
                </c:pt>
                <c:pt idx="10">
                  <c:v>65</c:v>
                </c:pt>
              </c:strCache>
            </c:strRef>
          </c:cat>
          <c:val>
            <c:numRef>
              <c:extLst>
                <c:ext xmlns:c15="http://schemas.microsoft.com/office/drawing/2012/chart" uri="{02D57815-91ED-43cb-92C2-25804820EDAC}">
                  <c15:fullRef>
                    <c15:sqref>'Average_55_Year_Old_Man_Pro '!$O$33:$O$43</c15:sqref>
                  </c15:fullRef>
                </c:ext>
              </c:extLst>
              <c:f>'Average_55_Year_Old_Man_Pro '!$O$34:$O$43</c:f>
              <c:numCache>
                <c:formatCode>General</c:formatCode>
                <c:ptCount val="10"/>
                <c:pt idx="0">
                  <c:v>55.632500000000007</c:v>
                </c:pt>
                <c:pt idx="1">
                  <c:v>56.272273750000011</c:v>
                </c:pt>
                <c:pt idx="2">
                  <c:v>56.919404898125009</c:v>
                </c:pt>
                <c:pt idx="3">
                  <c:v>57.573978054453448</c:v>
                </c:pt>
                <c:pt idx="4">
                  <c:v>58.23607880207966</c:v>
                </c:pt>
                <c:pt idx="5">
                  <c:v>58.905793708303577</c:v>
                </c:pt>
                <c:pt idx="6">
                  <c:v>59.583210335949069</c:v>
                </c:pt>
                <c:pt idx="7">
                  <c:v>60.268417254812483</c:v>
                </c:pt>
                <c:pt idx="8">
                  <c:v>60.961504053242827</c:v>
                </c:pt>
                <c:pt idx="9">
                  <c:v>61.662561349855117</c:v>
                </c:pt>
              </c:numCache>
            </c:numRef>
          </c:val>
          <c:smooth val="0"/>
          <c:extLst>
            <c:ext xmlns:c16="http://schemas.microsoft.com/office/drawing/2014/chart" uri="{C3380CC4-5D6E-409C-BE32-E72D297353CC}">
              <c16:uniqueId val="{00000000-1EFC-41A1-9D30-10B8E9AE3F17}"/>
            </c:ext>
          </c:extLst>
        </c:ser>
        <c:ser>
          <c:idx val="1"/>
          <c:order val="1"/>
          <c:tx>
            <c:strRef>
              <c:f>'Arthur, 53'!$O$32</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'Arthur, 53'!$O$33:$O$43</c15:sqref>
                  </c15:fullRef>
                </c:ext>
              </c:extLst>
              <c:f>'Arthur, 53'!$O$34:$O$43</c:f>
              <c:numCache>
                <c:formatCode>General</c:formatCode>
                <c:ptCount val="10"/>
                <c:pt idx="0">
                  <c:v>72.455650724637678</c:v>
                </c:pt>
                <c:pt idx="1">
                  <c:v>73.288890707971007</c:v>
                </c:pt>
                <c:pt idx="2">
                  <c:v>74.131712951112675</c:v>
                </c:pt>
                <c:pt idx="3">
                  <c:v>74.984227650050471</c:v>
                </c:pt>
                <c:pt idx="4">
                  <c:v>75.846546268026046</c:v>
                </c:pt>
                <c:pt idx="5">
                  <c:v>76.718781550108346</c:v>
                </c:pt>
                <c:pt idx="6">
                  <c:v>77.601047537934591</c:v>
                </c:pt>
                <c:pt idx="7">
                  <c:v>78.493459584620837</c:v>
                </c:pt>
                <c:pt idx="8">
                  <c:v>79.396134369843978</c:v>
                </c:pt>
                <c:pt idx="9">
                  <c:v>80.309189915097178</c:v>
                </c:pt>
              </c:numCache>
            </c:numRef>
          </c:val>
          <c:smooth val="0"/>
          <c:extLst>
            <c:ext xmlns:c16="http://schemas.microsoft.com/office/drawing/2014/chart" uri="{C3380CC4-5D6E-409C-BE32-E72D297353CC}">
              <c16:uniqueId val="{00000001-1EFC-41A1-9D30-10B8E9AE3F17}"/>
            </c:ext>
          </c:extLst>
        </c:ser>
        <c:ser>
          <c:idx val="2"/>
          <c:order val="2"/>
          <c:tx>
            <c:strRef>
              <c:f>'Arthur, 53'!$P$32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'Arthur, 53'!$P$33:$P$43</c15:sqref>
                  </c15:fullRef>
                </c:ext>
              </c:extLst>
              <c:f>'Arthur, 53'!$P$34:$P$43</c:f>
              <c:numCache>
                <c:formatCode>General</c:formatCode>
                <c:ptCount val="10"/>
                <c:pt idx="0">
                  <c:v>70.662865072548456</c:v>
                </c:pt>
                <c:pt idx="1">
                  <c:v>69.723867278439087</c:v>
                </c:pt>
                <c:pt idx="2">
                  <c:v>68.784869484329718</c:v>
                </c:pt>
                <c:pt idx="3">
                  <c:v>67.87496279456785</c:v>
                </c:pt>
                <c:pt idx="4">
                  <c:v>66.993245937225595</c:v>
                </c:pt>
                <c:pt idx="5">
                  <c:v>66.138845562693845</c:v>
                </c:pt>
                <c:pt idx="6">
                  <c:v>65.310915378620436</c:v>
                </c:pt>
                <c:pt idx="7">
                  <c:v>64.508635311648902</c:v>
                </c:pt>
                <c:pt idx="8">
                  <c:v>63.731210695127409</c:v>
                </c:pt>
                <c:pt idx="9">
                  <c:v>62.977871481983229</c:v>
                </c:pt>
              </c:numCache>
            </c:numRef>
          </c:val>
          <c:smooth val="0"/>
          <c:extLst>
            <c:ext xmlns:c16="http://schemas.microsoft.com/office/drawing/2014/chart" uri="{C3380CC4-5D6E-409C-BE32-E72D297353CC}">
              <c16:uniqueId val="{00000000-23AA-42DF-B54F-2F1F30410A46}"/>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3497803434933269"/>
          <c:y val="0.4301624662077056"/>
          <c:w val="0.31002894917305113"/>
          <c:h val="0.38835112644834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163991054007"/>
          <c:y val="0.17701875024896863"/>
          <c:w val="0.84624544981678462"/>
          <c:h val="0.61144022987037094"/>
        </c:manualLayout>
      </c:layout>
      <c:lineChart>
        <c:grouping val="standard"/>
        <c:varyColors val="0"/>
        <c:ser>
          <c:idx val="0"/>
          <c:order val="0"/>
          <c:tx>
            <c:strRef>
              <c:f>'Average_55_Year_Old_Man_Pro '!$R$32</c:f>
              <c:strCache>
                <c:ptCount val="1"/>
                <c:pt idx="0">
                  <c:v>Strength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'!$Q$33:$Q$43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'!$R$33:$R$43</c:f>
              <c:numCache>
                <c:formatCode>General</c:formatCode>
                <c:ptCount val="11"/>
                <c:pt idx="0">
                  <c:v>55.000000000000007</c:v>
                </c:pt>
                <c:pt idx="1">
                  <c:v>55.676500000000004</c:v>
                </c:pt>
                <c:pt idx="2">
                  <c:v>56.361320950000007</c:v>
                </c:pt>
                <c:pt idx="3">
                  <c:v>57.054565197685008</c:v>
                </c:pt>
                <c:pt idx="4">
                  <c:v>57.756336349616532</c:v>
                </c:pt>
                <c:pt idx="5">
                  <c:v>58.466739286716816</c:v>
                </c:pt>
                <c:pt idx="6">
                  <c:v>59.185880179943432</c:v>
                </c:pt>
                <c:pt idx="7">
                  <c:v>59.913866506156737</c:v>
                </c:pt>
                <c:pt idx="8">
                  <c:v>60.650807064182466</c:v>
                </c:pt>
                <c:pt idx="9">
                  <c:v>61.396811991071907</c:v>
                </c:pt>
                <c:pt idx="10">
                  <c:v>62.151992778562089</c:v>
                </c:pt>
              </c:numCache>
            </c:numRef>
          </c:val>
          <c:smooth val="0"/>
          <c:extLst>
            <c:ext xmlns:c16="http://schemas.microsoft.com/office/drawing/2014/chart" uri="{C3380CC4-5D6E-409C-BE32-E72D297353CC}">
              <c16:uniqueId val="{00000000-3D0F-40EA-A11A-8673A9604B68}"/>
            </c:ext>
          </c:extLst>
        </c:ser>
        <c:ser>
          <c:idx val="1"/>
          <c:order val="1"/>
          <c:tx>
            <c:strRef>
              <c:f>'Arthur, 53'!$R$32</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'Arthur, 53'!$R$33:$R$43</c:f>
              <c:numCache>
                <c:formatCode>General</c:formatCode>
                <c:ptCount val="11"/>
                <c:pt idx="0">
                  <c:v>72.083333333333329</c:v>
                </c:pt>
                <c:pt idx="1">
                  <c:v>72.969958333333324</c:v>
                </c:pt>
                <c:pt idx="2">
                  <c:v>73.86748882083333</c:v>
                </c:pt>
                <c:pt idx="3">
                  <c:v>74.77605893332958</c:v>
                </c:pt>
                <c:pt idx="4">
                  <c:v>75.695804458209537</c:v>
                </c:pt>
                <c:pt idx="5">
                  <c:v>76.626862853045509</c:v>
                </c:pt>
                <c:pt idx="6">
                  <c:v>77.569373266137973</c:v>
                </c:pt>
                <c:pt idx="7">
                  <c:v>78.523476557311469</c:v>
                </c:pt>
                <c:pt idx="8">
                  <c:v>79.489315318966405</c:v>
                </c:pt>
                <c:pt idx="9">
                  <c:v>80.467033897389697</c:v>
                </c:pt>
                <c:pt idx="10">
                  <c:v>81.456778414327587</c:v>
                </c:pt>
              </c:numCache>
            </c:numRef>
          </c:val>
          <c:smooth val="0"/>
          <c:extLst>
            <c:ext xmlns:c16="http://schemas.microsoft.com/office/drawing/2014/chart" uri="{C3380CC4-5D6E-409C-BE32-E72D297353CC}">
              <c16:uniqueId val="{00000001-3D0F-40EA-A11A-8673A9604B68}"/>
            </c:ext>
          </c:extLst>
        </c:ser>
        <c:ser>
          <c:idx val="2"/>
          <c:order val="2"/>
          <c:tx>
            <c:strRef>
              <c:f>'Arthur, 53'!$S$32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'Arthur, 53'!$S$33:$S$43</c:f>
              <c:numCache>
                <c:formatCode>General</c:formatCode>
                <c:ptCount val="11"/>
                <c:pt idx="0" formatCode="0.0">
                  <c:v>72.083333333333329</c:v>
                </c:pt>
                <c:pt idx="1">
                  <c:v>71.114314347910778</c:v>
                </c:pt>
                <c:pt idx="2">
                  <c:v>70.225851613971912</c:v>
                </c:pt>
                <c:pt idx="3">
                  <c:v>69.337388880033046</c:v>
                </c:pt>
                <c:pt idx="4">
                  <c:v>68.499939000496823</c:v>
                </c:pt>
                <c:pt idx="5">
                  <c:v>67.710572970898681</c:v>
                </c:pt>
                <c:pt idx="6">
                  <c:v>66.966529961389156</c:v>
                </c:pt>
                <c:pt idx="7">
                  <c:v>66.265207660653928</c:v>
                </c:pt>
                <c:pt idx="8">
                  <c:v>65.604153174256979</c:v>
                </c:pt>
                <c:pt idx="9">
                  <c:v>64.981054445573449</c:v>
                </c:pt>
                <c:pt idx="10">
                  <c:v>64.393732169306659</c:v>
                </c:pt>
              </c:numCache>
            </c:numRef>
          </c:val>
          <c:smooth val="0"/>
          <c:extLst>
            <c:ext xmlns:c16="http://schemas.microsoft.com/office/drawing/2014/chart" uri="{C3380CC4-5D6E-409C-BE32-E72D297353CC}">
              <c16:uniqueId val="{00000000-7E23-46A1-BE1F-203176EF77B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b"/>
      <c:layout>
        <c:manualLayout>
          <c:xMode val="edge"/>
          <c:yMode val="edge"/>
          <c:x val="0.37749474561139201"/>
          <c:y val="0.54241861450940221"/>
          <c:w val="0.5204539735762207"/>
          <c:h val="0.22755994543451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6943221377857"/>
          <c:y val="5.2869044474333347E-2"/>
          <c:w val="0.86124515981529692"/>
          <c:h val="0.73410087428823578"/>
        </c:manualLayout>
      </c:layout>
      <c:lineChart>
        <c:grouping val="standard"/>
        <c:varyColors val="0"/>
        <c:ser>
          <c:idx val="0"/>
          <c:order val="0"/>
          <c:tx>
            <c:strRef>
              <c:f>'Average_55_Year_Old_Man_Pro '!$U$32</c:f>
              <c:strCache>
                <c:ptCount val="1"/>
                <c:pt idx="0">
                  <c:v>Metabolic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'!$T$33:$T$43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'!$U$33:$U$43</c:f>
              <c:numCache>
                <c:formatCode>General</c:formatCode>
                <c:ptCount val="11"/>
                <c:pt idx="0">
                  <c:v>56.830857142857141</c:v>
                </c:pt>
                <c:pt idx="1">
                  <c:v>57.143426857142856</c:v>
                </c:pt>
                <c:pt idx="2">
                  <c:v>57.457715704857144</c:v>
                </c:pt>
                <c:pt idx="3">
                  <c:v>57.773733141233855</c:v>
                </c:pt>
                <c:pt idx="4">
                  <c:v>58.091488673510639</c:v>
                </c:pt>
                <c:pt idx="5">
                  <c:v>58.410991861214946</c:v>
                </c:pt>
                <c:pt idx="6">
                  <c:v>58.732252316451628</c:v>
                </c:pt>
                <c:pt idx="7">
                  <c:v>59.05527970419211</c:v>
                </c:pt>
                <c:pt idx="8">
                  <c:v>59.380083742565169</c:v>
                </c:pt>
                <c:pt idx="9">
                  <c:v>59.706674203149277</c:v>
                </c:pt>
                <c:pt idx="10">
                  <c:v>60.035060911266598</c:v>
                </c:pt>
              </c:numCache>
            </c:numRef>
          </c:val>
          <c:smooth val="0"/>
          <c:extLst>
            <c:ext xmlns:c16="http://schemas.microsoft.com/office/drawing/2014/chart" uri="{C3380CC4-5D6E-409C-BE32-E72D297353CC}">
              <c16:uniqueId val="{00000000-29B6-447B-93C7-93969BD62648}"/>
            </c:ext>
          </c:extLst>
        </c:ser>
        <c:ser>
          <c:idx val="1"/>
          <c:order val="1"/>
          <c:tx>
            <c:strRef>
              <c:f>'Arthur, 53'!$U$32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'Arthur, 53'!$U$33:$U$43</c:f>
              <c:numCache>
                <c:formatCode>General</c:formatCode>
                <c:ptCount val="11"/>
                <c:pt idx="0">
                  <c:v>57.387285714285717</c:v>
                </c:pt>
                <c:pt idx="1">
                  <c:v>57.702915785714289</c:v>
                </c:pt>
                <c:pt idx="2">
                  <c:v>58.020281822535715</c:v>
                </c:pt>
                <c:pt idx="3">
                  <c:v>58.339393372559663</c:v>
                </c:pt>
                <c:pt idx="4">
                  <c:v>58.660260036108738</c:v>
                </c:pt>
                <c:pt idx="5">
                  <c:v>58.982891466307336</c:v>
                </c:pt>
                <c:pt idx="6">
                  <c:v>59.30729736937203</c:v>
                </c:pt>
                <c:pt idx="7">
                  <c:v>59.633487504903577</c:v>
                </c:pt>
                <c:pt idx="8">
                  <c:v>59.961471686180545</c:v>
                </c:pt>
                <c:pt idx="9">
                  <c:v>60.291259780454538</c:v>
                </c:pt>
                <c:pt idx="10">
                  <c:v>60.62286170924704</c:v>
                </c:pt>
              </c:numCache>
            </c:numRef>
          </c:val>
          <c:smooth val="0"/>
          <c:extLst>
            <c:ext xmlns:c16="http://schemas.microsoft.com/office/drawing/2014/chart" uri="{C3380CC4-5D6E-409C-BE32-E72D297353CC}">
              <c16:uniqueId val="{00000001-29B6-447B-93C7-93969BD62648}"/>
            </c:ext>
          </c:extLst>
        </c:ser>
        <c:ser>
          <c:idx val="2"/>
          <c:order val="2"/>
          <c:tx>
            <c:strRef>
              <c:f>'Arthur, 53'!$V$32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'Arthur, 53'!$V$33:$V$43</c:f>
              <c:numCache>
                <c:formatCode>General</c:formatCode>
                <c:ptCount val="11"/>
                <c:pt idx="0" formatCode="0.0">
                  <c:v>57.387285714285717</c:v>
                </c:pt>
                <c:pt idx="1">
                  <c:v>56.418266728863159</c:v>
                </c:pt>
                <c:pt idx="2">
                  <c:v>55.479268934753797</c:v>
                </c:pt>
                <c:pt idx="3">
                  <c:v>54.540271140644435</c:v>
                </c:pt>
                <c:pt idx="4">
                  <c:v>53.63036445088256</c:v>
                </c:pt>
                <c:pt idx="5">
                  <c:v>52.748647593540312</c:v>
                </c:pt>
                <c:pt idx="6">
                  <c:v>51.894247219008562</c:v>
                </c:pt>
                <c:pt idx="7">
                  <c:v>51.066317034935153</c:v>
                </c:pt>
                <c:pt idx="8">
                  <c:v>50.264036967963627</c:v>
                </c:pt>
                <c:pt idx="9">
                  <c:v>49.486612351442133</c:v>
                </c:pt>
                <c:pt idx="10">
                  <c:v>48.733273138297953</c:v>
                </c:pt>
              </c:numCache>
            </c:numRef>
          </c:val>
          <c:smooth val="0"/>
          <c:extLst>
            <c:ext xmlns:c16="http://schemas.microsoft.com/office/drawing/2014/chart" uri="{C3380CC4-5D6E-409C-BE32-E72D297353CC}">
              <c16:uniqueId val="{00000000-C6EB-487C-B8DF-DC0565F74C1C}"/>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372512068928683"/>
          <c:y val="0.49158788031084122"/>
          <c:w val="0.29506332342402236"/>
          <c:h val="0.388270548574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8102326266711"/>
          <c:y val="5.0946169190878555E-2"/>
          <c:w val="0.85011919003399428"/>
          <c:h val="0.74377176699694758"/>
        </c:manualLayout>
      </c:layout>
      <c:lineChart>
        <c:grouping val="standard"/>
        <c:varyColors val="0"/>
        <c:ser>
          <c:idx val="0"/>
          <c:order val="0"/>
          <c:tx>
            <c:strRef>
              <c:f>'Average_55_Year_Old_Man_Pro '!$X$32</c:f>
              <c:strCache>
                <c:ptCount val="1"/>
                <c:pt idx="0">
                  <c:v>Mobility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'!$W$33:$W$43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'!$X$33:$X$43</c:f>
              <c:numCache>
                <c:formatCode>General</c:formatCode>
                <c:ptCount val="11"/>
                <c:pt idx="0">
                  <c:v>55</c:v>
                </c:pt>
                <c:pt idx="1">
                  <c:v>55.544499999999999</c:v>
                </c:pt>
                <c:pt idx="2">
                  <c:v>56.09439055</c:v>
                </c:pt>
                <c:pt idx="3">
                  <c:v>56.649725016444997</c:v>
                </c:pt>
                <c:pt idx="4">
                  <c:v>57.210557294107801</c:v>
                </c:pt>
                <c:pt idx="5">
                  <c:v>57.776941811319467</c:v>
                </c:pt>
                <c:pt idx="6">
                  <c:v>58.348933535251533</c:v>
                </c:pt>
                <c:pt idx="7">
                  <c:v>58.92658797725052</c:v>
                </c:pt>
                <c:pt idx="8">
                  <c:v>59.509961198225298</c:v>
                </c:pt>
                <c:pt idx="9">
                  <c:v>60.099109814087726</c:v>
                </c:pt>
                <c:pt idx="10">
                  <c:v>60.694091001247195</c:v>
                </c:pt>
              </c:numCache>
            </c:numRef>
          </c:val>
          <c:smooth val="0"/>
          <c:extLst>
            <c:ext xmlns:c16="http://schemas.microsoft.com/office/drawing/2014/chart" uri="{C3380CC4-5D6E-409C-BE32-E72D297353CC}">
              <c16:uniqueId val="{00000000-ACE5-4A1E-8C1A-219DA6ACAE8D}"/>
            </c:ext>
          </c:extLst>
        </c:ser>
        <c:ser>
          <c:idx val="1"/>
          <c:order val="1"/>
          <c:tx>
            <c:strRef>
              <c:f>'Arthur, 53'!$U$32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'Arthur, 53'!$X$33:$X$43</c:f>
              <c:numCache>
                <c:formatCode>General</c:formatCode>
                <c:ptCount val="11"/>
                <c:pt idx="0">
                  <c:v>73.75</c:v>
                </c:pt>
                <c:pt idx="1">
                  <c:v>74.480125000000001</c:v>
                </c:pt>
                <c:pt idx="2">
                  <c:v>75.217478237500004</c:v>
                </c:pt>
                <c:pt idx="3">
                  <c:v>75.962131272051252</c:v>
                </c:pt>
                <c:pt idx="4">
                  <c:v>76.714156371644563</c:v>
                </c:pt>
                <c:pt idx="5">
                  <c:v>77.473626519723851</c:v>
                </c:pt>
                <c:pt idx="6">
                  <c:v>78.240615422269116</c:v>
                </c:pt>
                <c:pt idx="7">
                  <c:v>79.015197514949577</c:v>
                </c:pt>
                <c:pt idx="8">
                  <c:v>79.797447970347577</c:v>
                </c:pt>
                <c:pt idx="9">
                  <c:v>80.58744270525402</c:v>
                </c:pt>
                <c:pt idx="10">
                  <c:v>81.385258388036036</c:v>
                </c:pt>
              </c:numCache>
            </c:numRef>
          </c:val>
          <c:smooth val="0"/>
          <c:extLst>
            <c:ext xmlns:c16="http://schemas.microsoft.com/office/drawing/2014/chart" uri="{C3380CC4-5D6E-409C-BE32-E72D297353CC}">
              <c16:uniqueId val="{00000001-ACE5-4A1E-8C1A-219DA6ACAE8D}"/>
            </c:ext>
          </c:extLst>
        </c:ser>
        <c:ser>
          <c:idx val="2"/>
          <c:order val="2"/>
          <c:tx>
            <c:strRef>
              <c:f>'Arthur, 53'!$Y$32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'Arthur, 53'!$Y$33:$Y$43</c:f>
              <c:numCache>
                <c:formatCode>General</c:formatCode>
                <c:ptCount val="11"/>
                <c:pt idx="0" formatCode="0.0">
                  <c:v>73.75</c:v>
                </c:pt>
                <c:pt idx="1">
                  <c:v>72.800005861213577</c:v>
                </c:pt>
                <c:pt idx="2">
                  <c:v>71.897516997485013</c:v>
                </c:pt>
                <c:pt idx="3">
                  <c:v>70.995028133756449</c:v>
                </c:pt>
                <c:pt idx="4">
                  <c:v>70.137669002894299</c:v>
                </c:pt>
                <c:pt idx="5">
                  <c:v>69.323182853740235</c:v>
                </c:pt>
                <c:pt idx="6">
                  <c:v>68.549425785921144</c:v>
                </c:pt>
                <c:pt idx="7">
                  <c:v>67.814361106648434</c:v>
                </c:pt>
                <c:pt idx="8">
                  <c:v>67.116053969710435</c:v>
                </c:pt>
                <c:pt idx="9">
                  <c:v>66.452666282546616</c:v>
                </c:pt>
                <c:pt idx="10">
                  <c:v>65.822451867997898</c:v>
                </c:pt>
              </c:numCache>
            </c:numRef>
          </c:val>
          <c:smooth val="0"/>
          <c:extLst>
            <c:ext xmlns:c16="http://schemas.microsoft.com/office/drawing/2014/chart" uri="{C3380CC4-5D6E-409C-BE32-E72D297353CC}">
              <c16:uniqueId val="{00000000-CD3C-42C3-B63F-BDDF822C48F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5835479163231581"/>
          <c:y val="0.4594735440956052"/>
          <c:w val="0.30097764880924577"/>
          <c:h val="0.37378931157806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03285579637324"/>
          <c:y val="5.1225732405134304E-2"/>
          <c:w val="0.8444944155507329"/>
          <c:h val="0.7336335251700955"/>
        </c:manualLayout>
      </c:layout>
      <c:lineChart>
        <c:grouping val="standard"/>
        <c:varyColors val="0"/>
        <c:ser>
          <c:idx val="1"/>
          <c:order val="0"/>
          <c:tx>
            <c:strRef>
              <c:f>'Average_55_Year_Old_Man_Pro '!$AA$32</c:f>
              <c:strCache>
                <c:ptCount val="1"/>
                <c:pt idx="0">
                  <c:v>Cognitive Decline of an average 50 Year old Man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'Average_55_Year_Old_Man_Pro '!$Z$33:$Z$43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'!$AA$33:$AA$43</c:f>
              <c:numCache>
                <c:formatCode>General</c:formatCode>
                <c:ptCount val="11"/>
                <c:pt idx="0">
                  <c:v>55</c:v>
                </c:pt>
                <c:pt idx="1">
                  <c:v>56.1</c:v>
                </c:pt>
                <c:pt idx="2">
                  <c:v>57.222000000000001</c:v>
                </c:pt>
                <c:pt idx="3">
                  <c:v>58.366440000000004</c:v>
                </c:pt>
                <c:pt idx="4">
                  <c:v>59.533768800000004</c:v>
                </c:pt>
                <c:pt idx="5">
                  <c:v>60.724444176000006</c:v>
                </c:pt>
                <c:pt idx="6">
                  <c:v>61.938933059520004</c:v>
                </c:pt>
                <c:pt idx="7">
                  <c:v>63.177711720710406</c:v>
                </c:pt>
                <c:pt idx="8">
                  <c:v>64.441265955124607</c:v>
                </c:pt>
                <c:pt idx="9">
                  <c:v>65.730091274227092</c:v>
                </c:pt>
                <c:pt idx="10">
                  <c:v>67.044693099711637</c:v>
                </c:pt>
              </c:numCache>
            </c:numRef>
          </c:val>
          <c:smooth val="0"/>
          <c:extLst>
            <c:ext xmlns:c16="http://schemas.microsoft.com/office/drawing/2014/chart" uri="{C3380CC4-5D6E-409C-BE32-E72D297353CC}">
              <c16:uniqueId val="{00000000-ABBA-4645-AFEF-27C301C477CC}"/>
            </c:ext>
          </c:extLst>
        </c:ser>
        <c:ser>
          <c:idx val="0"/>
          <c:order val="1"/>
          <c:tx>
            <c:strRef>
              <c:f>'Arthur, 53'!$AA$32</c:f>
              <c:strCache>
                <c:ptCount val="1"/>
                <c:pt idx="0">
                  <c:v>Cognitive Decline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'Arthur, 53'!$AA$33:$AA$43</c:f>
              <c:numCache>
                <c:formatCode>General</c:formatCode>
                <c:ptCount val="11"/>
                <c:pt idx="0">
                  <c:v>45.5</c:v>
                </c:pt>
                <c:pt idx="1">
                  <c:v>46.41</c:v>
                </c:pt>
                <c:pt idx="2">
                  <c:v>47.338199999999993</c:v>
                </c:pt>
                <c:pt idx="3">
                  <c:v>48.284963999999995</c:v>
                </c:pt>
                <c:pt idx="4">
                  <c:v>49.250663279999998</c:v>
                </c:pt>
                <c:pt idx="5">
                  <c:v>50.235676545600001</c:v>
                </c:pt>
                <c:pt idx="6">
                  <c:v>51.240390076512</c:v>
                </c:pt>
                <c:pt idx="7">
                  <c:v>52.265197878042237</c:v>
                </c:pt>
                <c:pt idx="8">
                  <c:v>53.310501835603084</c:v>
                </c:pt>
                <c:pt idx="9">
                  <c:v>54.376711872315148</c:v>
                </c:pt>
                <c:pt idx="10">
                  <c:v>55.464246109761454</c:v>
                </c:pt>
              </c:numCache>
            </c:numRef>
          </c:val>
          <c:smooth val="0"/>
          <c:extLst>
            <c:ext xmlns:c16="http://schemas.microsoft.com/office/drawing/2014/chart" uri="{C3380CC4-5D6E-409C-BE32-E72D297353CC}">
              <c16:uniqueId val="{00000001-ABBA-4645-AFEF-27C301C477CC}"/>
            </c:ext>
          </c:extLst>
        </c:ser>
        <c:ser>
          <c:idx val="2"/>
          <c:order val="2"/>
          <c:tx>
            <c:strRef>
              <c:f>'Arthur, 53'!$AB$32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'Arthur, 53'!$AB$33:$AB$43</c:f>
              <c:numCache>
                <c:formatCode>General</c:formatCode>
                <c:ptCount val="11"/>
                <c:pt idx="0" formatCode="0.0">
                  <c:v>45.5</c:v>
                </c:pt>
                <c:pt idx="1">
                  <c:v>44.534009969239399</c:v>
                </c:pt>
                <c:pt idx="2">
                  <c:v>43.600873229710537</c:v>
                </c:pt>
                <c:pt idx="3">
                  <c:v>42.667736490181674</c:v>
                </c:pt>
                <c:pt idx="4">
                  <c:v>41.766335702460339</c:v>
                </c:pt>
                <c:pt idx="5">
                  <c:v>40.895591527801777</c:v>
                </c:pt>
                <c:pt idx="6">
                  <c:v>40.054461335738743</c:v>
                </c:pt>
                <c:pt idx="7">
                  <c:v>39.2419379556341</c:v>
                </c:pt>
                <c:pt idx="8">
                  <c:v>38.45704847069311</c:v>
                </c:pt>
                <c:pt idx="9">
                  <c:v>37.698853052991289</c:v>
                </c:pt>
                <c:pt idx="10">
                  <c:v>36.966443838122963</c:v>
                </c:pt>
              </c:numCache>
            </c:numRef>
          </c:val>
          <c:smooth val="0"/>
          <c:extLst>
            <c:ext xmlns:c16="http://schemas.microsoft.com/office/drawing/2014/chart" uri="{C3380CC4-5D6E-409C-BE32-E72D297353CC}">
              <c16:uniqueId val="{00000000-33BA-4C87-B2DA-C9EB8C6FFC4D}"/>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40459167525189083"/>
          <c:y val="0.51626554510302902"/>
          <c:w val="0.45817320862012972"/>
          <c:h val="0.221288990314802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51931614777317"/>
          <c:y val="0.19499652536483669"/>
          <c:w val="0.81448068385222683"/>
          <c:h val="0.62793699888980303"/>
        </c:manualLayout>
      </c:layout>
      <c:lineChart>
        <c:grouping val="standard"/>
        <c:varyColors val="0"/>
        <c:ser>
          <c:idx val="0"/>
          <c:order val="0"/>
          <c:tx>
            <c:strRef>
              <c:f>[1]Average_45_Year_Old_Man_Pro!$O$32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[1]Average_45_Year_Old_Man_Pro!$N$32:$N$43</c15:sqref>
                  </c15:fullRef>
                </c:ext>
              </c:extLst>
              <c:f>[1]Average_45_Year_Old_Man_Pro!$N$33:$N$43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[1]Average_45_Year_Old_Man_Pro!$O$33:$O$43</c15:sqref>
                  </c15:fullRef>
                </c:ext>
              </c:extLst>
              <c:f>[1]Average_45_Year_Old_Man_Pro!$O$34:$O$43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27F2-47B2-939C-6CDB6FDF8659}"/>
            </c:ext>
          </c:extLst>
        </c:ser>
        <c:ser>
          <c:idx val="1"/>
          <c:order val="1"/>
          <c:tx>
            <c:strRef>
              <c:f>[1]Persona_1.3!$O$32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[1]Persona_1.3!$O$33:$O$43</c15:sqref>
                  </c15:fullRef>
                </c:ext>
              </c:extLst>
              <c:f>[1]Persona_1.3!$O$34:$O$43</c:f>
              <c:numCache>
                <c:formatCode>General</c:formatCode>
                <c:ptCount val="10"/>
                <c:pt idx="0">
                  <c:v>80.337427215189877</c:v>
                </c:pt>
                <c:pt idx="1">
                  <c:v>81.261307628164559</c:v>
                </c:pt>
                <c:pt idx="2">
                  <c:v>82.195812665888454</c:v>
                </c:pt>
                <c:pt idx="3">
                  <c:v>83.141064511546176</c:v>
                </c:pt>
                <c:pt idx="4">
                  <c:v>84.097186753428957</c:v>
                </c:pt>
                <c:pt idx="5">
                  <c:v>85.064304401093395</c:v>
                </c:pt>
                <c:pt idx="6">
                  <c:v>86.042543901705969</c:v>
                </c:pt>
                <c:pt idx="7">
                  <c:v>87.032033156575594</c:v>
                </c:pt>
                <c:pt idx="8">
                  <c:v>88.032901537876214</c:v>
                </c:pt>
                <c:pt idx="9">
                  <c:v>89.045279905561785</c:v>
                </c:pt>
              </c:numCache>
            </c:numRef>
          </c:val>
          <c:smooth val="0"/>
          <c:extLst>
            <c:ext xmlns:c16="http://schemas.microsoft.com/office/drawing/2014/chart" uri="{C3380CC4-5D6E-409C-BE32-E72D297353CC}">
              <c16:uniqueId val="{00000001-27F2-47B2-939C-6CDB6FDF8659}"/>
            </c:ext>
          </c:extLst>
        </c:ser>
        <c:ser>
          <c:idx val="2"/>
          <c:order val="2"/>
          <c:tx>
            <c:strRef>
              <c:f>[1]Persona_1.3!$P$32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[1]Persona_1.3!$P$33:$P$43</c15:sqref>
                  </c15:fullRef>
                </c:ext>
              </c:extLst>
              <c:f>[1]Persona_1.3!$P$34:$P$43</c:f>
              <c:numCache>
                <c:formatCode>General</c:formatCode>
                <c:ptCount val="10"/>
                <c:pt idx="0">
                  <c:v>78.455031647488838</c:v>
                </c:pt>
                <c:pt idx="1">
                  <c:v>77.516033853379469</c:v>
                </c:pt>
                <c:pt idx="2">
                  <c:v>76.5770360592701</c:v>
                </c:pt>
                <c:pt idx="3">
                  <c:v>75.667129369508231</c:v>
                </c:pt>
                <c:pt idx="4">
                  <c:v>74.785412512165976</c:v>
                </c:pt>
                <c:pt idx="5">
                  <c:v>73.931012137634227</c:v>
                </c:pt>
                <c:pt idx="6">
                  <c:v>73.103081953560817</c:v>
                </c:pt>
                <c:pt idx="7">
                  <c:v>72.300801886589284</c:v>
                </c:pt>
                <c:pt idx="8">
                  <c:v>71.523377270067783</c:v>
                </c:pt>
                <c:pt idx="9">
                  <c:v>70.77003805692361</c:v>
                </c:pt>
              </c:numCache>
            </c:numRef>
          </c:val>
          <c:smooth val="0"/>
          <c:extLst>
            <c:ext xmlns:c16="http://schemas.microsoft.com/office/drawing/2014/chart" uri="{C3380CC4-5D6E-409C-BE32-E72D297353CC}">
              <c16:uniqueId val="{00000002-27F2-47B2-939C-6CDB6FDF865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0772984498407933"/>
          <c:y val="0.59179251394982635"/>
          <c:w val="0.53684219715371306"/>
          <c:h val="0.20734142356852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808846841094"/>
          <c:y val="4.9524448309344521E-2"/>
          <c:w val="0.84114914457383672"/>
          <c:h val="0.75092215798972572"/>
        </c:manualLayout>
      </c:layout>
      <c:lineChart>
        <c:grouping val="standard"/>
        <c:varyColors val="0"/>
        <c:ser>
          <c:idx val="0"/>
          <c:order val="0"/>
          <c:tx>
            <c:strRef>
              <c:f>[1]Average_45_Year_Old_Man_Pro!$R$32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086B-4B02-8EA3-4D5B03F587BD}"/>
            </c:ext>
          </c:extLst>
        </c:ser>
        <c:ser>
          <c:idx val="1"/>
          <c:order val="1"/>
          <c:tx>
            <c:strRef>
              <c:f>[1]Persona_1.3!$R$32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[1]Persona_1.3!$R$33:$R$43</c:f>
              <c:numCache>
                <c:formatCode>General</c:formatCode>
                <c:ptCount val="11"/>
                <c:pt idx="0">
                  <c:v>52.678571428571431</c:v>
                </c:pt>
                <c:pt idx="1">
                  <c:v>53.326517857142861</c:v>
                </c:pt>
                <c:pt idx="2">
                  <c:v>53.982434026785718</c:v>
                </c:pt>
                <c:pt idx="3">
                  <c:v>54.64641796531518</c:v>
                </c:pt>
                <c:pt idx="4">
                  <c:v>55.318568906288554</c:v>
                </c:pt>
                <c:pt idx="5">
                  <c:v>55.998987303835904</c:v>
                </c:pt>
                <c:pt idx="6">
                  <c:v>56.687774847673083</c:v>
                </c:pt>
                <c:pt idx="7">
                  <c:v>57.38503447829946</c:v>
                </c:pt>
                <c:pt idx="8">
                  <c:v>58.090870402382542</c:v>
                </c:pt>
                <c:pt idx="9">
                  <c:v>58.805388108331847</c:v>
                </c:pt>
                <c:pt idx="10">
                  <c:v>59.52869438206433</c:v>
                </c:pt>
              </c:numCache>
            </c:numRef>
          </c:val>
          <c:smooth val="0"/>
          <c:extLst>
            <c:ext xmlns:c16="http://schemas.microsoft.com/office/drawing/2014/chart" uri="{C3380CC4-5D6E-409C-BE32-E72D297353CC}">
              <c16:uniqueId val="{00000001-086B-4B02-8EA3-4D5B03F587BD}"/>
            </c:ext>
          </c:extLst>
        </c:ser>
        <c:ser>
          <c:idx val="2"/>
          <c:order val="2"/>
          <c:tx>
            <c:strRef>
              <c:f>[1]Persona_1.3!$S$32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[1]Persona_1.3!$S$33:$S$43</c:f>
              <c:numCache>
                <c:formatCode>General</c:formatCode>
                <c:ptCount val="11"/>
                <c:pt idx="0" formatCode="0.0">
                  <c:v>52.678571428571431</c:v>
                </c:pt>
                <c:pt idx="1">
                  <c:v>51.709552443148873</c:v>
                </c:pt>
                <c:pt idx="2">
                  <c:v>50.82108970921</c:v>
                </c:pt>
                <c:pt idx="3">
                  <c:v>49.932626975271127</c:v>
                </c:pt>
                <c:pt idx="4">
                  <c:v>49.095177095734904</c:v>
                </c:pt>
                <c:pt idx="5">
                  <c:v>48.305811066136769</c:v>
                </c:pt>
                <c:pt idx="6">
                  <c:v>47.561768056627237</c:v>
                </c:pt>
                <c:pt idx="7">
                  <c:v>46.860445755892002</c:v>
                </c:pt>
                <c:pt idx="8">
                  <c:v>46.199391269495059</c:v>
                </c:pt>
                <c:pt idx="9">
                  <c:v>45.576292540811536</c:v>
                </c:pt>
                <c:pt idx="10">
                  <c:v>44.988970264544747</c:v>
                </c:pt>
              </c:numCache>
            </c:numRef>
          </c:val>
          <c:smooth val="0"/>
          <c:extLst>
            <c:ext xmlns:c16="http://schemas.microsoft.com/office/drawing/2014/chart" uri="{C3380CC4-5D6E-409C-BE32-E72D297353CC}">
              <c16:uniqueId val="{00000002-086B-4B02-8EA3-4D5B03F587BD}"/>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Chronologcial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1627746316616894"/>
          <c:y val="0.51463098259412399"/>
          <c:w val="0.34222264634130406"/>
          <c:h val="0.383129855554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1258441780592"/>
          <c:y val="4.9853170458231642E-2"/>
          <c:w val="0.83606004730054961"/>
          <c:h val="0.7492688855907208"/>
        </c:manualLayout>
      </c:layout>
      <c:lineChart>
        <c:grouping val="standard"/>
        <c:varyColors val="0"/>
        <c:ser>
          <c:idx val="0"/>
          <c:order val="0"/>
          <c:tx>
            <c:strRef>
              <c:f>[1]Average_45_Year_Old_Man_Pro!$U$32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[1]Average_45_Year_Old_Man_Pro!$U$33:$U$43</c:f>
              <c:numCache>
                <c:formatCode>General</c:formatCode>
                <c:ptCount val="11"/>
                <c:pt idx="0">
                  <c:v>46.337142857142858</c:v>
                </c:pt>
                <c:pt idx="1">
                  <c:v>46.591997142857146</c:v>
                </c:pt>
                <c:pt idx="2">
                  <c:v>46.848253127142861</c:v>
                </c:pt>
                <c:pt idx="3">
                  <c:v>47.105918519342147</c:v>
                </c:pt>
                <c:pt idx="4">
                  <c:v>47.365001071198527</c:v>
                </c:pt>
                <c:pt idx="5">
                  <c:v>47.625508577090116</c:v>
                </c:pt>
                <c:pt idx="6">
                  <c:v>47.887448874264109</c:v>
                </c:pt>
                <c:pt idx="7">
                  <c:v>48.150829843072565</c:v>
                </c:pt>
                <c:pt idx="8">
                  <c:v>48.415659407209461</c:v>
                </c:pt>
                <c:pt idx="9">
                  <c:v>48.681945533949111</c:v>
                </c:pt>
                <c:pt idx="10">
                  <c:v>48.949696234385833</c:v>
                </c:pt>
              </c:numCache>
            </c:numRef>
          </c:val>
          <c:smooth val="0"/>
          <c:extLst>
            <c:ext xmlns:c16="http://schemas.microsoft.com/office/drawing/2014/chart" uri="{C3380CC4-5D6E-409C-BE32-E72D297353CC}">
              <c16:uniqueId val="{00000000-10D0-476D-8D12-1A114203B261}"/>
            </c:ext>
          </c:extLst>
        </c:ser>
        <c:ser>
          <c:idx val="1"/>
          <c:order val="1"/>
          <c:tx>
            <c:strRef>
              <c:f>[1]Persona_1.3!$U$32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[1]Persona_1.3!$U$33:$U$43</c:f>
              <c:numCache>
                <c:formatCode>General</c:formatCode>
                <c:ptCount val="11"/>
                <c:pt idx="0">
                  <c:v>51.429107142857141</c:v>
                </c:pt>
                <c:pt idx="1">
                  <c:v>51.711967232142854</c:v>
                </c:pt>
                <c:pt idx="2">
                  <c:v>51.996383051919636</c:v>
                </c:pt>
                <c:pt idx="3">
                  <c:v>52.282363158705195</c:v>
                </c:pt>
                <c:pt idx="4">
                  <c:v>52.569916156078072</c:v>
                </c:pt>
                <c:pt idx="5">
                  <c:v>52.859050694936499</c:v>
                </c:pt>
                <c:pt idx="6">
                  <c:v>53.149775473758652</c:v>
                </c:pt>
                <c:pt idx="7">
                  <c:v>53.442099238864323</c:v>
                </c:pt>
                <c:pt idx="8">
                  <c:v>53.736030784678078</c:v>
                </c:pt>
                <c:pt idx="9">
                  <c:v>54.031578953993808</c:v>
                </c:pt>
                <c:pt idx="10">
                  <c:v>54.328752638240772</c:v>
                </c:pt>
              </c:numCache>
            </c:numRef>
          </c:val>
          <c:smooth val="0"/>
          <c:extLst>
            <c:ext xmlns:c16="http://schemas.microsoft.com/office/drawing/2014/chart" uri="{C3380CC4-5D6E-409C-BE32-E72D297353CC}">
              <c16:uniqueId val="{00000001-10D0-476D-8D12-1A114203B261}"/>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[1]Persona_1.3!$V$33:$V$43</c:f>
              <c:numCache>
                <c:formatCode>General</c:formatCode>
                <c:ptCount val="11"/>
                <c:pt idx="0" formatCode="0.0">
                  <c:v>51.429107142857141</c:v>
                </c:pt>
                <c:pt idx="1">
                  <c:v>50.460088157434583</c:v>
                </c:pt>
                <c:pt idx="2">
                  <c:v>49.521090363325222</c:v>
                </c:pt>
                <c:pt idx="3">
                  <c:v>48.58209256921586</c:v>
                </c:pt>
                <c:pt idx="4">
                  <c:v>47.672185879453984</c:v>
                </c:pt>
                <c:pt idx="5">
                  <c:v>46.790469022111736</c:v>
                </c:pt>
                <c:pt idx="6">
                  <c:v>45.936068647579987</c:v>
                </c:pt>
                <c:pt idx="7">
                  <c:v>45.108138463506577</c:v>
                </c:pt>
                <c:pt idx="8">
                  <c:v>44.305858396535051</c:v>
                </c:pt>
                <c:pt idx="9">
                  <c:v>43.528433780013557</c:v>
                </c:pt>
                <c:pt idx="10">
                  <c:v>42.775094566869377</c:v>
                </c:pt>
              </c:numCache>
            </c:numRef>
          </c:val>
          <c:smooth val="0"/>
          <c:extLst>
            <c:ext xmlns:c16="http://schemas.microsoft.com/office/drawing/2014/chart" uri="{C3380CC4-5D6E-409C-BE32-E72D297353CC}">
              <c16:uniqueId val="{00000002-10D0-476D-8D12-1A114203B261}"/>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679615216774494"/>
          <c:y val="0.41955386230033304"/>
          <c:w val="0.33675755896273846"/>
          <c:h val="0.38572971805514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82075408953011"/>
          <c:y val="4.7962816285933914E-2"/>
          <c:w val="0.83601402983810025"/>
          <c:h val="0.75877621689767438"/>
        </c:manualLayout>
      </c:layout>
      <c:lineChart>
        <c:grouping val="standard"/>
        <c:varyColors val="0"/>
        <c:ser>
          <c:idx val="0"/>
          <c:order val="0"/>
          <c:tx>
            <c:strRef>
              <c:f>[1]Average_45_Year_Old_Man_Pro!$X$32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[1]Average_45_Year_Old_Man_Pro!$X$33:$X$43</c:f>
              <c:numCache>
                <c:formatCode>General</c:formatCode>
                <c:ptCount val="11"/>
                <c:pt idx="0">
                  <c:v>45</c:v>
                </c:pt>
                <c:pt idx="1">
                  <c:v>45.445500000000003</c:v>
                </c:pt>
                <c:pt idx="2">
                  <c:v>45.89541045</c:v>
                </c:pt>
                <c:pt idx="3">
                  <c:v>46.349775013455002</c:v>
                </c:pt>
                <c:pt idx="4">
                  <c:v>46.808637786088205</c:v>
                </c:pt>
                <c:pt idx="5">
                  <c:v>47.272043300170481</c:v>
                </c:pt>
                <c:pt idx="6">
                  <c:v>47.740036528842168</c:v>
                </c:pt>
                <c:pt idx="7">
                  <c:v>48.212662890477702</c:v>
                </c:pt>
                <c:pt idx="8">
                  <c:v>48.689968253093433</c:v>
                </c:pt>
                <c:pt idx="9">
                  <c:v>49.171998938799057</c:v>
                </c:pt>
                <c:pt idx="10">
                  <c:v>49.65880172829317</c:v>
                </c:pt>
              </c:numCache>
            </c:numRef>
          </c:val>
          <c:smooth val="0"/>
          <c:extLst>
            <c:ext xmlns:c16="http://schemas.microsoft.com/office/drawing/2014/chart" uri="{C3380CC4-5D6E-409C-BE32-E72D297353CC}">
              <c16:uniqueId val="{00000000-C0E7-4253-8BA8-4219BAF9AF42}"/>
            </c:ext>
          </c:extLst>
        </c:ser>
        <c:ser>
          <c:idx val="1"/>
          <c:order val="1"/>
          <c:tx>
            <c:strRef>
              <c:f>[1]Persona_1.3!$X$32</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[1]Persona_1.3!$X$33:$X$43</c:f>
              <c:numCache>
                <c:formatCode>General</c:formatCode>
                <c:ptCount val="11"/>
                <c:pt idx="0">
                  <c:v>60.25</c:v>
                </c:pt>
                <c:pt idx="1">
                  <c:v>60.846474999999998</c:v>
                </c:pt>
                <c:pt idx="2">
                  <c:v>61.448855102499998</c:v>
                </c:pt>
                <c:pt idx="3">
                  <c:v>62.05719876801475</c:v>
                </c:pt>
                <c:pt idx="4">
                  <c:v>62.671565035818098</c:v>
                </c:pt>
                <c:pt idx="5">
                  <c:v>63.292013529672694</c:v>
                </c:pt>
                <c:pt idx="6">
                  <c:v>63.918604463616454</c:v>
                </c:pt>
                <c:pt idx="7">
                  <c:v>64.551398647806252</c:v>
                </c:pt>
                <c:pt idx="8">
                  <c:v>65.190457494419533</c:v>
                </c:pt>
                <c:pt idx="9">
                  <c:v>65.835843023614288</c:v>
                </c:pt>
                <c:pt idx="10">
                  <c:v>66.487617869548075</c:v>
                </c:pt>
              </c:numCache>
            </c:numRef>
          </c:val>
          <c:smooth val="0"/>
          <c:extLst>
            <c:ext xmlns:c16="http://schemas.microsoft.com/office/drawing/2014/chart" uri="{C3380CC4-5D6E-409C-BE32-E72D297353CC}">
              <c16:uniqueId val="{00000001-C0E7-4253-8BA8-4219BAF9AF42}"/>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[1]Persona_1.3!$Y$33:$Y$43</c:f>
              <c:numCache>
                <c:formatCode>General</c:formatCode>
                <c:ptCount val="11"/>
                <c:pt idx="0" formatCode="0.0">
                  <c:v>60.25</c:v>
                </c:pt>
                <c:pt idx="1">
                  <c:v>59.300005861213577</c:v>
                </c:pt>
                <c:pt idx="2">
                  <c:v>58.397516997485013</c:v>
                </c:pt>
                <c:pt idx="3">
                  <c:v>57.495028133756449</c:v>
                </c:pt>
                <c:pt idx="4">
                  <c:v>56.637669002894292</c:v>
                </c:pt>
                <c:pt idx="5">
                  <c:v>55.823182853740221</c:v>
                </c:pt>
                <c:pt idx="6">
                  <c:v>55.04942578592113</c:v>
                </c:pt>
                <c:pt idx="7">
                  <c:v>54.31436110664842</c:v>
                </c:pt>
                <c:pt idx="8">
                  <c:v>53.616053969710421</c:v>
                </c:pt>
                <c:pt idx="9">
                  <c:v>52.952666282546595</c:v>
                </c:pt>
                <c:pt idx="10">
                  <c:v>52.322451867997877</c:v>
                </c:pt>
              </c:numCache>
            </c:numRef>
          </c:val>
          <c:smooth val="0"/>
          <c:extLst>
            <c:ext xmlns:c16="http://schemas.microsoft.com/office/drawing/2014/chart" uri="{C3380CC4-5D6E-409C-BE32-E72D297353CC}">
              <c16:uniqueId val="{00000002-C0E7-4253-8BA8-4219BAF9AF42}"/>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1058397148726684"/>
          <c:y val="0.50108886236113703"/>
          <c:w val="0.3252988167180636"/>
          <c:h val="0.3713209328363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9265255390361"/>
          <c:y val="4.8279394271582482E-2"/>
          <c:w val="0.84462666038115397"/>
          <c:h val="0.78845538424108053"/>
        </c:manualLayout>
      </c:layout>
      <c:lineChart>
        <c:grouping val="standard"/>
        <c:varyColors val="0"/>
        <c:ser>
          <c:idx val="1"/>
          <c:order val="0"/>
          <c:tx>
            <c:strRef>
              <c:f>[1]Average_45_Year_Old_Man_Pro!$AA$32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[1]Average_45_Year_Old_Man_Pro!$Z$33:$Z$43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E26D-48C5-BDDA-69D1080F8EF8}"/>
            </c:ext>
          </c:extLst>
        </c:ser>
        <c:ser>
          <c:idx val="0"/>
          <c:order val="1"/>
          <c:tx>
            <c:strRef>
              <c:f>[1]Persona_1.3!$AA$32</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[1]Persona_1.3!$AA$33:$AA$43</c:f>
              <c:numCache>
                <c:formatCode>General</c:formatCode>
                <c:ptCount val="11"/>
                <c:pt idx="0">
                  <c:v>64.5</c:v>
                </c:pt>
                <c:pt idx="1">
                  <c:v>65.790000000000006</c:v>
                </c:pt>
                <c:pt idx="2">
                  <c:v>67.105800000000002</c:v>
                </c:pt>
                <c:pt idx="3">
                  <c:v>68.447916000000006</c:v>
                </c:pt>
                <c:pt idx="4">
                  <c:v>69.816874320000011</c:v>
                </c:pt>
                <c:pt idx="5">
                  <c:v>71.213211806400011</c:v>
                </c:pt>
                <c:pt idx="6">
                  <c:v>72.637476042528007</c:v>
                </c:pt>
                <c:pt idx="7">
                  <c:v>74.090225563378567</c:v>
                </c:pt>
                <c:pt idx="8">
                  <c:v>75.572030074646136</c:v>
                </c:pt>
                <c:pt idx="9">
                  <c:v>77.083470676139058</c:v>
                </c:pt>
                <c:pt idx="10">
                  <c:v>78.625140089661841</c:v>
                </c:pt>
              </c:numCache>
            </c:numRef>
          </c:val>
          <c:smooth val="0"/>
          <c:extLst>
            <c:ext xmlns:c16="http://schemas.microsoft.com/office/drawing/2014/chart" uri="{C3380CC4-5D6E-409C-BE32-E72D297353CC}">
              <c16:uniqueId val="{00000001-E26D-48C5-BDDA-69D1080F8EF8}"/>
            </c:ext>
          </c:extLst>
        </c:ser>
        <c:ser>
          <c:idx val="2"/>
          <c:order val="2"/>
          <c:tx>
            <c:strRef>
              <c:f>[1]Persona_1.3!$AB$32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[1]Persona_1.3!$AB$33:$AB$43</c:f>
              <c:numCache>
                <c:formatCode>General</c:formatCode>
                <c:ptCount val="11"/>
                <c:pt idx="0" formatCode="0.0">
                  <c:v>64.5</c:v>
                </c:pt>
                <c:pt idx="1">
                  <c:v>63.534009969239399</c:v>
                </c:pt>
                <c:pt idx="2">
                  <c:v>62.600873229710537</c:v>
                </c:pt>
                <c:pt idx="3">
                  <c:v>61.667736490181674</c:v>
                </c:pt>
                <c:pt idx="4">
                  <c:v>60.766335702460339</c:v>
                </c:pt>
                <c:pt idx="5">
                  <c:v>59.895591527801777</c:v>
                </c:pt>
                <c:pt idx="6">
                  <c:v>59.054461335738743</c:v>
                </c:pt>
                <c:pt idx="7">
                  <c:v>58.2419379556341</c:v>
                </c:pt>
                <c:pt idx="8">
                  <c:v>57.45704847069311</c:v>
                </c:pt>
                <c:pt idx="9">
                  <c:v>56.698853052991289</c:v>
                </c:pt>
                <c:pt idx="10">
                  <c:v>55.966443838122963</c:v>
                </c:pt>
              </c:numCache>
            </c:numRef>
          </c:val>
          <c:smooth val="0"/>
          <c:extLst>
            <c:ext xmlns:c16="http://schemas.microsoft.com/office/drawing/2014/chart" uri="{C3380CC4-5D6E-409C-BE32-E72D297353CC}">
              <c16:uniqueId val="{00000002-E26D-48C5-BDDA-69D1080F8EF8}"/>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layout>
            <c:manualLayout>
              <c:xMode val="edge"/>
              <c:yMode val="edge"/>
              <c:x val="3.0446814079809884E-2"/>
              <c:y val="0.31789129982506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31018176769800071"/>
          <c:y val="0.5835897060175409"/>
          <c:w val="0.53825421760511061"/>
          <c:h val="0.22059216620819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65495811777908"/>
          <c:y val="0.13844290418608379"/>
          <c:w val="0.8615784538999306"/>
          <c:h val="0.68336186992213865"/>
        </c:manualLayout>
      </c:layout>
      <c:lineChart>
        <c:grouping val="standard"/>
        <c:varyColors val="0"/>
        <c:ser>
          <c:idx val="0"/>
          <c:order val="0"/>
          <c:tx>
            <c:strRef>
              <c:f>Average_45_Year_Old_Woman_P!$O$32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[1]Average_50_Year_Old_Woman_Pro!$N$32:$N$43</c:f>
              <c:strCache>
                <c:ptCount val="12"/>
                <c:pt idx="0">
                  <c:v>Chronological Age</c:v>
                </c:pt>
                <c:pt idx="1">
                  <c:v>50</c:v>
                </c:pt>
                <c:pt idx="2">
                  <c:v>51</c:v>
                </c:pt>
                <c:pt idx="3">
                  <c:v>52</c:v>
                </c:pt>
                <c:pt idx="4">
                  <c:v>53</c:v>
                </c:pt>
                <c:pt idx="5">
                  <c:v>54</c:v>
                </c:pt>
                <c:pt idx="6">
                  <c:v>55</c:v>
                </c:pt>
                <c:pt idx="7">
                  <c:v>56</c:v>
                </c:pt>
                <c:pt idx="8">
                  <c:v>57</c:v>
                </c:pt>
                <c:pt idx="9">
                  <c:v>58</c:v>
                </c:pt>
                <c:pt idx="10">
                  <c:v>59</c:v>
                </c:pt>
                <c:pt idx="11">
                  <c:v>60</c:v>
                </c:pt>
              </c:strCache>
            </c:strRef>
          </c:cat>
          <c:val>
            <c:numRef>
              <c:f>Average_45_Year_Old_Woman_P!$O$33:$O$43</c:f>
              <c:numCache>
                <c:formatCode>General</c:formatCode>
                <c:ptCount val="11"/>
                <c:pt idx="0" formatCode="0.0">
                  <c:v>45.000000000000007</c:v>
                </c:pt>
                <c:pt idx="1">
                  <c:v>45.517500000000005</c:v>
                </c:pt>
                <c:pt idx="2">
                  <c:v>46.040951250000006</c:v>
                </c:pt>
                <c:pt idx="3">
                  <c:v>46.570422189375009</c:v>
                </c:pt>
                <c:pt idx="4">
                  <c:v>47.105982044552825</c:v>
                </c:pt>
                <c:pt idx="5">
                  <c:v>47.647700838065184</c:v>
                </c:pt>
                <c:pt idx="6">
                  <c:v>48.195649397702937</c:v>
                </c:pt>
                <c:pt idx="7">
                  <c:v>48.749899365776521</c:v>
                </c:pt>
                <c:pt idx="8">
                  <c:v>49.310523208482948</c:v>
                </c:pt>
                <c:pt idx="9">
                  <c:v>49.877594225380506</c:v>
                </c:pt>
                <c:pt idx="10">
                  <c:v>50.451186558972381</c:v>
                </c:pt>
              </c:numCache>
            </c:numRef>
          </c:val>
          <c:smooth val="0"/>
          <c:extLst>
            <c:ext xmlns:c16="http://schemas.microsoft.com/office/drawing/2014/chart" uri="{C3380CC4-5D6E-409C-BE32-E72D297353CC}">
              <c16:uniqueId val="{00000000-9933-4926-B1EE-DE0F8838DFFB}"/>
            </c:ext>
          </c:extLst>
        </c:ser>
        <c:ser>
          <c:idx val="1"/>
          <c:order val="1"/>
          <c:tx>
            <c:strRef>
              <c:f>[1]Persona_1.4!$O$32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[1]Persona_1.4!$O$33:$O$43</c:f>
              <c:numCache>
                <c:formatCode>General</c:formatCode>
                <c:ptCount val="11"/>
                <c:pt idx="0" formatCode="0.0">
                  <c:v>19</c:v>
                </c:pt>
                <c:pt idx="1">
                  <c:v>19.218499999999999</c:v>
                </c:pt>
                <c:pt idx="2">
                  <c:v>19.439512749999999</c:v>
                </c:pt>
                <c:pt idx="3">
                  <c:v>19.663067146625</c:v>
                </c:pt>
                <c:pt idx="4">
                  <c:v>19.889192418811188</c:v>
                </c:pt>
                <c:pt idx="5">
                  <c:v>20.117918131627516</c:v>
                </c:pt>
                <c:pt idx="6">
                  <c:v>20.34927419014123</c:v>
                </c:pt>
                <c:pt idx="7">
                  <c:v>20.583290843327855</c:v>
                </c:pt>
                <c:pt idx="8">
                  <c:v>20.819998688026125</c:v>
                </c:pt>
                <c:pt idx="9">
                  <c:v>21.059428672938424</c:v>
                </c:pt>
                <c:pt idx="10">
                  <c:v>21.301612102677215</c:v>
                </c:pt>
              </c:numCache>
            </c:numRef>
          </c:val>
          <c:smooth val="0"/>
          <c:extLst>
            <c:ext xmlns:c16="http://schemas.microsoft.com/office/drawing/2014/chart" uri="{C3380CC4-5D6E-409C-BE32-E72D297353CC}">
              <c16:uniqueId val="{00000001-9933-4926-B1EE-DE0F8838DFFB}"/>
            </c:ext>
          </c:extLst>
        </c:ser>
        <c:ser>
          <c:idx val="2"/>
          <c:order val="2"/>
          <c:tx>
            <c:strRef>
              <c:f>[1]Persona_1.4!$P$32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[1]Persona_1.4!$P$33:$P$43</c:f>
              <c:numCache>
                <c:formatCode>General</c:formatCode>
                <c:ptCount val="11"/>
                <c:pt idx="0" formatCode="0.0">
                  <c:v>19</c:v>
                </c:pt>
                <c:pt idx="1">
                  <c:v>18.030981014577442</c:v>
                </c:pt>
                <c:pt idx="2">
                  <c:v>17.09198322046808</c:v>
                </c:pt>
                <c:pt idx="3">
                  <c:v>16.152985426358718</c:v>
                </c:pt>
                <c:pt idx="4">
                  <c:v>15.243078736596843</c:v>
                </c:pt>
                <c:pt idx="5">
                  <c:v>14.361361879254593</c:v>
                </c:pt>
                <c:pt idx="6">
                  <c:v>13.50696150472284</c:v>
                </c:pt>
                <c:pt idx="7">
                  <c:v>12.679031320649427</c:v>
                </c:pt>
                <c:pt idx="8">
                  <c:v>11.876751253677897</c:v>
                </c:pt>
                <c:pt idx="9">
                  <c:v>11.099326637156404</c:v>
                </c:pt>
                <c:pt idx="10">
                  <c:v>10.345987424012225</c:v>
                </c:pt>
              </c:numCache>
            </c:numRef>
          </c:val>
          <c:smooth val="0"/>
          <c:extLst>
            <c:ext xmlns:c16="http://schemas.microsoft.com/office/drawing/2014/chart" uri="{C3380CC4-5D6E-409C-BE32-E72D297353CC}">
              <c16:uniqueId val="{00000002-9933-4926-B1EE-DE0F8838DFFB}"/>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6817347682993466"/>
          <c:y val="0.20485893870607907"/>
          <c:w val="0.28529065627585237"/>
          <c:h val="0.55054909905107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94017094017094"/>
          <c:y val="5.1474768704372335E-2"/>
          <c:w val="0.79660048166232755"/>
          <c:h val="0.79354748851397838"/>
        </c:manualLayout>
      </c:layout>
      <c:lineChart>
        <c:grouping val="standard"/>
        <c:varyColors val="0"/>
        <c:ser>
          <c:idx val="0"/>
          <c:order val="0"/>
          <c:tx>
            <c:strRef>
              <c:f>[1]Average_50_Year_Old_Woman_Pro!$R$32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5C1A-4802-A182-4DCB88179E51}"/>
            </c:ext>
          </c:extLst>
        </c:ser>
        <c:ser>
          <c:idx val="1"/>
          <c:order val="1"/>
          <c:tx>
            <c:strRef>
              <c:f>[1]Persona_1.4!$R$32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[1]Persona_1.4!$R$33:$R$43</c:f>
              <c:numCache>
                <c:formatCode>General</c:formatCode>
                <c:ptCount val="11"/>
                <c:pt idx="0">
                  <c:v>29.999999999999993</c:v>
                </c:pt>
                <c:pt idx="1">
                  <c:v>30.368999999999993</c:v>
                </c:pt>
                <c:pt idx="2">
                  <c:v>30.742538699999994</c:v>
                </c:pt>
                <c:pt idx="3">
                  <c:v>31.120671926009994</c:v>
                </c:pt>
                <c:pt idx="4">
                  <c:v>31.503456190699918</c:v>
                </c:pt>
                <c:pt idx="5">
                  <c:v>31.890948701845527</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1-5C1A-4802-A182-4DCB88179E51}"/>
            </c:ext>
          </c:extLst>
        </c:ser>
        <c:ser>
          <c:idx val="2"/>
          <c:order val="2"/>
          <c:tx>
            <c:strRef>
              <c:f>[1]Persona_1.4!$S$32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[1]Persona_1.4!$S$33:$S$43</c:f>
              <c:numCache>
                <c:formatCode>General</c:formatCode>
                <c:ptCount val="11"/>
                <c:pt idx="0" formatCode="0.0">
                  <c:v>29.999999999999993</c:v>
                </c:pt>
                <c:pt idx="1">
                  <c:v>29.030981014577435</c:v>
                </c:pt>
                <c:pt idx="2">
                  <c:v>28.142518280638562</c:v>
                </c:pt>
                <c:pt idx="3">
                  <c:v>27.254055546699689</c:v>
                </c:pt>
                <c:pt idx="4">
                  <c:v>26.416605667163466</c:v>
                </c:pt>
                <c:pt idx="5">
                  <c:v>25.627239637565332</c:v>
                </c:pt>
                <c:pt idx="6">
                  <c:v>24.883196628055799</c:v>
                </c:pt>
                <c:pt idx="7">
                  <c:v>24.181874327320568</c:v>
                </c:pt>
                <c:pt idx="8">
                  <c:v>23.520819840923622</c:v>
                </c:pt>
                <c:pt idx="9">
                  <c:v>22.897721112240099</c:v>
                </c:pt>
                <c:pt idx="10">
                  <c:v>22.310398835973313</c:v>
                </c:pt>
              </c:numCache>
            </c:numRef>
          </c:val>
          <c:smooth val="0"/>
          <c:extLst>
            <c:ext xmlns:c16="http://schemas.microsoft.com/office/drawing/2014/chart" uri="{C3380CC4-5D6E-409C-BE32-E72D297353CC}">
              <c16:uniqueId val="{00000002-5C1A-4802-A182-4DCB88179E51}"/>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Chronologicla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2022637423337498"/>
          <c:y val="0.54463710999195403"/>
          <c:w val="0.5471471902784808"/>
          <c:h val="0.37314345740084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13373832702233"/>
          <c:y val="5.1829984295180848E-2"/>
          <c:w val="0.86473697129316773"/>
          <c:h val="0.73932671477666545"/>
        </c:manualLayout>
      </c:layout>
      <c:lineChart>
        <c:grouping val="standard"/>
        <c:varyColors val="0"/>
        <c:ser>
          <c:idx val="0"/>
          <c:order val="0"/>
          <c:tx>
            <c:strRef>
              <c:f>[1]Average_50_Year_Old_Woman_Pro!$U$32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63C6-4467-B840-2013E4244FB6}"/>
            </c:ext>
          </c:extLst>
        </c:ser>
        <c:ser>
          <c:idx val="1"/>
          <c:order val="1"/>
          <c:tx>
            <c:strRef>
              <c:f>[1]Persona_1.4!$U$32</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[1]Persona_1.4!$U$33:$U$43</c:f>
              <c:numCache>
                <c:formatCode>General</c:formatCode>
                <c:ptCount val="11"/>
                <c:pt idx="0">
                  <c:v>43.880460526315787</c:v>
                </c:pt>
                <c:pt idx="1">
                  <c:v>44.121803059210521</c:v>
                </c:pt>
                <c:pt idx="2">
                  <c:v>44.364472976036176</c:v>
                </c:pt>
                <c:pt idx="3">
                  <c:v>44.608477577404372</c:v>
                </c:pt>
                <c:pt idx="4">
                  <c:v>44.853824204080098</c:v>
                </c:pt>
                <c:pt idx="5">
                  <c:v>45.100520237202538</c:v>
                </c:pt>
                <c:pt idx="6">
                  <c:v>45.348573098507153</c:v>
                </c:pt>
                <c:pt idx="7">
                  <c:v>45.597990250548939</c:v>
                </c:pt>
                <c:pt idx="8">
                  <c:v>45.848779196926955</c:v>
                </c:pt>
                <c:pt idx="9">
                  <c:v>46.100947482510051</c:v>
                </c:pt>
                <c:pt idx="10">
                  <c:v>46.354502693663854</c:v>
                </c:pt>
              </c:numCache>
            </c:numRef>
          </c:val>
          <c:smooth val="0"/>
          <c:extLst>
            <c:ext xmlns:c16="http://schemas.microsoft.com/office/drawing/2014/chart" uri="{C3380CC4-5D6E-409C-BE32-E72D297353CC}">
              <c16:uniqueId val="{00000001-63C6-4467-B840-2013E4244FB6}"/>
            </c:ext>
          </c:extLst>
        </c:ser>
        <c:ser>
          <c:idx val="2"/>
          <c:order val="2"/>
          <c:tx>
            <c:strRef>
              <c:f>[1]Persona_1.4!$V$32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[1]Persona_1.4!$V$33:$V$43</c:f>
              <c:numCache>
                <c:formatCode>General</c:formatCode>
                <c:ptCount val="11"/>
                <c:pt idx="0" formatCode="0.0">
                  <c:v>43.880460526315787</c:v>
                </c:pt>
                <c:pt idx="1">
                  <c:v>42.911441540893229</c:v>
                </c:pt>
                <c:pt idx="2">
                  <c:v>41.972443746783867</c:v>
                </c:pt>
                <c:pt idx="3">
                  <c:v>41.033445952674505</c:v>
                </c:pt>
                <c:pt idx="4">
                  <c:v>40.12353926291263</c:v>
                </c:pt>
                <c:pt idx="5">
                  <c:v>39.241822405570382</c:v>
                </c:pt>
                <c:pt idx="6">
                  <c:v>38.387422031038632</c:v>
                </c:pt>
                <c:pt idx="7">
                  <c:v>37.559491846965216</c:v>
                </c:pt>
                <c:pt idx="8">
                  <c:v>36.757211779993689</c:v>
                </c:pt>
                <c:pt idx="9">
                  <c:v>35.979787163472196</c:v>
                </c:pt>
                <c:pt idx="10">
                  <c:v>35.226447950328016</c:v>
                </c:pt>
              </c:numCache>
            </c:numRef>
          </c:val>
          <c:smooth val="0"/>
          <c:extLst>
            <c:ext xmlns:c16="http://schemas.microsoft.com/office/drawing/2014/chart" uri="{C3380CC4-5D6E-409C-BE32-E72D297353CC}">
              <c16:uniqueId val="{00000002-63C6-4467-B840-2013E4244FB6}"/>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011365013292298"/>
          <c:y val="0.44463485460706231"/>
          <c:w val="0.34117944481782114"/>
          <c:h val="0.39545627959514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58819759626919"/>
          <c:y val="4.9881847506514636E-2"/>
          <c:w val="0.86387797960411083"/>
          <c:h val="0.74912465748631196"/>
        </c:manualLayout>
      </c:layout>
      <c:lineChart>
        <c:grouping val="standard"/>
        <c:varyColors val="0"/>
        <c:ser>
          <c:idx val="0"/>
          <c:order val="0"/>
          <c:tx>
            <c:strRef>
              <c:f>[1]Average_50_Year_Old_Woman_Pro!$X$32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DADE-4ABC-9007-8D7634C168D2}"/>
            </c:ext>
          </c:extLst>
        </c:ser>
        <c:ser>
          <c:idx val="1"/>
          <c:order val="1"/>
          <c:tx>
            <c:strRef>
              <c:f>[1]Persona_1.4!$X$32</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[1]Persona_1.4!$X$33:$X$43</c:f>
              <c:numCache>
                <c:formatCode>General</c:formatCode>
                <c:ptCount val="11"/>
                <c:pt idx="0">
                  <c:v>34.089285714285708</c:v>
                </c:pt>
                <c:pt idx="1">
                  <c:v>34.426769642857138</c:v>
                </c:pt>
                <c:pt idx="2">
                  <c:v>34.767594662321422</c:v>
                </c:pt>
                <c:pt idx="3">
                  <c:v>35.111793849478403</c:v>
                </c:pt>
                <c:pt idx="4">
                  <c:v>35.45940060858824</c:v>
                </c:pt>
                <c:pt idx="5">
                  <c:v>35.810448674613262</c:v>
                </c:pt>
                <c:pt idx="6">
                  <c:v>36.164972116491931</c:v>
                </c:pt>
                <c:pt idx="7">
                  <c:v>36.523005340445202</c:v>
                </c:pt>
                <c:pt idx="8">
                  <c:v>36.884583093315612</c:v>
                </c:pt>
                <c:pt idx="9">
                  <c:v>37.249740465939439</c:v>
                </c:pt>
                <c:pt idx="10">
                  <c:v>37.61851289655224</c:v>
                </c:pt>
              </c:numCache>
            </c:numRef>
          </c:val>
          <c:smooth val="0"/>
          <c:extLst>
            <c:ext xmlns:c16="http://schemas.microsoft.com/office/drawing/2014/chart" uri="{C3380CC4-5D6E-409C-BE32-E72D297353CC}">
              <c16:uniqueId val="{00000001-DADE-4ABC-9007-8D7634C168D2}"/>
            </c:ext>
          </c:extLst>
        </c:ser>
        <c:ser>
          <c:idx val="2"/>
          <c:order val="2"/>
          <c:tx>
            <c:strRef>
              <c:f>[1]Persona_1.4!$Y$32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[1]Persona_1.4!$Y$33:$Y$43</c:f>
              <c:numCache>
                <c:formatCode>General</c:formatCode>
                <c:ptCount val="11"/>
                <c:pt idx="0" formatCode="0.0">
                  <c:v>34.089285714285708</c:v>
                </c:pt>
                <c:pt idx="1">
                  <c:v>33.139291575499286</c:v>
                </c:pt>
                <c:pt idx="2">
                  <c:v>32.236802711770721</c:v>
                </c:pt>
                <c:pt idx="3">
                  <c:v>31.334313848042161</c:v>
                </c:pt>
                <c:pt idx="4">
                  <c:v>30.476954717180007</c:v>
                </c:pt>
                <c:pt idx="5">
                  <c:v>29.662468568025936</c:v>
                </c:pt>
                <c:pt idx="6">
                  <c:v>28.888711500206842</c:v>
                </c:pt>
                <c:pt idx="7">
                  <c:v>28.153646820934135</c:v>
                </c:pt>
                <c:pt idx="8">
                  <c:v>27.45533968399614</c:v>
                </c:pt>
                <c:pt idx="9">
                  <c:v>26.791951996832314</c:v>
                </c:pt>
                <c:pt idx="10">
                  <c:v>26.161737582283596</c:v>
                </c:pt>
              </c:numCache>
            </c:numRef>
          </c:val>
          <c:smooth val="0"/>
          <c:extLst>
            <c:ext xmlns:c16="http://schemas.microsoft.com/office/drawing/2014/chart" uri="{C3380CC4-5D6E-409C-BE32-E72D297353CC}">
              <c16:uniqueId val="{00000002-DADE-4ABC-9007-8D7634C168D2}"/>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6390755791597789"/>
          <c:y val="0.52890719119851404"/>
          <c:w val="0.29958775786447295"/>
          <c:h val="0.47109277031809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84522449960931"/>
          <c:y val="5.0220221242182971E-2"/>
          <c:w val="0.85716495361743905"/>
          <c:h val="0.76168941255642131"/>
        </c:manualLayout>
      </c:layout>
      <c:lineChart>
        <c:grouping val="standard"/>
        <c:varyColors val="0"/>
        <c:ser>
          <c:idx val="1"/>
          <c:order val="0"/>
          <c:tx>
            <c:strRef>
              <c:f>[1]Average_50_Year_Old_Woman_Pro!$AA$32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4776-4E93-8529-4B78DC436D81}"/>
            </c:ext>
          </c:extLst>
        </c:ser>
        <c:ser>
          <c:idx val="0"/>
          <c:order val="1"/>
          <c:tx>
            <c:strRef>
              <c:f>[1]Persona_1.4!$AA$32</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[1]Persona_1.4!$AA$33:$AA$43</c:f>
              <c:numCache>
                <c:formatCode>General</c:formatCode>
                <c:ptCount val="11"/>
                <c:pt idx="0">
                  <c:v>31.6</c:v>
                </c:pt>
                <c:pt idx="1">
                  <c:v>32.231999999999999</c:v>
                </c:pt>
                <c:pt idx="2">
                  <c:v>32.876640000000002</c:v>
                </c:pt>
                <c:pt idx="3">
                  <c:v>33.5341728</c:v>
                </c:pt>
                <c:pt idx="4">
                  <c:v>34.204856255999999</c:v>
                </c:pt>
                <c:pt idx="5">
                  <c:v>34.888953381119997</c:v>
                </c:pt>
                <c:pt idx="6">
                  <c:v>35.586732448742396</c:v>
                </c:pt>
                <c:pt idx="7">
                  <c:v>36.298467097717243</c:v>
                </c:pt>
                <c:pt idx="8">
                  <c:v>37.024436439671589</c:v>
                </c:pt>
                <c:pt idx="9">
                  <c:v>37.76492516846502</c:v>
                </c:pt>
                <c:pt idx="10">
                  <c:v>38.520223671834323</c:v>
                </c:pt>
              </c:numCache>
            </c:numRef>
          </c:val>
          <c:smooth val="0"/>
          <c:extLst>
            <c:ext xmlns:c16="http://schemas.microsoft.com/office/drawing/2014/chart" uri="{C3380CC4-5D6E-409C-BE32-E72D297353CC}">
              <c16:uniqueId val="{00000001-4776-4E93-8529-4B78DC436D81}"/>
            </c:ext>
          </c:extLst>
        </c:ser>
        <c:ser>
          <c:idx val="2"/>
          <c:order val="2"/>
          <c:tx>
            <c:strRef>
              <c:f>[1]Persona_1.4!$AB$32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[1]Persona_1.4!$AB$33:$AB$43</c:f>
              <c:numCache>
                <c:formatCode>General</c:formatCode>
                <c:ptCount val="11"/>
                <c:pt idx="0" formatCode="0.0">
                  <c:v>31.6</c:v>
                </c:pt>
                <c:pt idx="1">
                  <c:v>30.634009969239401</c:v>
                </c:pt>
                <c:pt idx="2">
                  <c:v>29.700873229710535</c:v>
                </c:pt>
                <c:pt idx="3">
                  <c:v>28.767736490181669</c:v>
                </c:pt>
                <c:pt idx="4">
                  <c:v>27.866335702460333</c:v>
                </c:pt>
                <c:pt idx="5">
                  <c:v>26.995591527801771</c:v>
                </c:pt>
                <c:pt idx="6">
                  <c:v>26.154461335738734</c:v>
                </c:pt>
                <c:pt idx="7">
                  <c:v>25.341937955634094</c:v>
                </c:pt>
                <c:pt idx="8">
                  <c:v>24.557048470693104</c:v>
                </c:pt>
                <c:pt idx="9">
                  <c:v>23.798853052991287</c:v>
                </c:pt>
                <c:pt idx="10">
                  <c:v>23.066443838122961</c:v>
                </c:pt>
              </c:numCache>
            </c:numRef>
          </c:val>
          <c:smooth val="0"/>
          <c:extLst>
            <c:ext xmlns:c16="http://schemas.microsoft.com/office/drawing/2014/chart" uri="{C3380CC4-5D6E-409C-BE32-E72D297353CC}">
              <c16:uniqueId val="{00000002-4776-4E93-8529-4B78DC436D81}"/>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1773696714880163"/>
          <c:y val="0.56767848705930779"/>
          <c:w val="0.52484174298689634"/>
          <c:h val="0.22604979173731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02283734734691"/>
          <c:y val="0.19499639073621033"/>
          <c:w val="0.79805023200437586"/>
          <c:h val="0.5918251123256506"/>
        </c:manualLayout>
      </c:layout>
      <c:lineChart>
        <c:grouping val="standard"/>
        <c:varyColors val="0"/>
        <c:ser>
          <c:idx val="0"/>
          <c:order val="0"/>
          <c:tx>
            <c:strRef>
              <c:f>'Average_55_Year_Old_Man_Pro '!$O$32</c:f>
              <c:strCache>
                <c:ptCount val="1"/>
                <c:pt idx="0">
                  <c:v>Vitality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'Average_55_Year_Old_Man_Pro '!$N$32:$N$43</c15:sqref>
                  </c15:fullRef>
                </c:ext>
              </c:extLst>
              <c:f>'Average_55_Year_Old_Man_Pro '!$N$33:$N$43</c:f>
              <c:strCache>
                <c:ptCount val="11"/>
                <c:pt idx="0">
                  <c:v>55</c:v>
                </c:pt>
                <c:pt idx="1">
                  <c:v>56</c:v>
                </c:pt>
                <c:pt idx="2">
                  <c:v>57</c:v>
                </c:pt>
                <c:pt idx="3">
                  <c:v>58</c:v>
                </c:pt>
                <c:pt idx="4">
                  <c:v>59</c:v>
                </c:pt>
                <c:pt idx="5">
                  <c:v>60</c:v>
                </c:pt>
                <c:pt idx="6">
                  <c:v>61</c:v>
                </c:pt>
                <c:pt idx="7">
                  <c:v>62</c:v>
                </c:pt>
                <c:pt idx="8">
                  <c:v>63</c:v>
                </c:pt>
                <c:pt idx="9">
                  <c:v>64</c:v>
                </c:pt>
                <c:pt idx="10">
                  <c:v>65</c:v>
                </c:pt>
              </c:strCache>
            </c:strRef>
          </c:cat>
          <c:val>
            <c:numRef>
              <c:extLst>
                <c:ext xmlns:c15="http://schemas.microsoft.com/office/drawing/2012/chart" uri="{02D57815-91ED-43cb-92C2-25804820EDAC}">
                  <c15:fullRef>
                    <c15:sqref>'Average_55_Year_Old_Man_Pro '!$O$33:$O$43</c15:sqref>
                  </c15:fullRef>
                </c:ext>
              </c:extLst>
              <c:f>'Average_55_Year_Old_Man_Pro '!$O$34:$O$43</c:f>
              <c:numCache>
                <c:formatCode>General</c:formatCode>
                <c:ptCount val="10"/>
                <c:pt idx="0">
                  <c:v>55.632500000000007</c:v>
                </c:pt>
                <c:pt idx="1">
                  <c:v>56.272273750000011</c:v>
                </c:pt>
                <c:pt idx="2">
                  <c:v>56.919404898125009</c:v>
                </c:pt>
                <c:pt idx="3">
                  <c:v>57.573978054453448</c:v>
                </c:pt>
                <c:pt idx="4">
                  <c:v>58.23607880207966</c:v>
                </c:pt>
                <c:pt idx="5">
                  <c:v>58.905793708303577</c:v>
                </c:pt>
                <c:pt idx="6">
                  <c:v>59.583210335949069</c:v>
                </c:pt>
                <c:pt idx="7">
                  <c:v>60.268417254812483</c:v>
                </c:pt>
                <c:pt idx="8">
                  <c:v>60.961504053242827</c:v>
                </c:pt>
                <c:pt idx="9">
                  <c:v>61.662561349855117</c:v>
                </c:pt>
              </c:numCache>
            </c:numRef>
          </c:val>
          <c:smooth val="0"/>
          <c:extLst>
            <c:ext xmlns:c16="http://schemas.microsoft.com/office/drawing/2014/chart" uri="{C3380CC4-5D6E-409C-BE32-E72D297353CC}">
              <c16:uniqueId val="{00000000-D239-4A1A-BC70-6C48FF57E7B8}"/>
            </c:ext>
          </c:extLst>
        </c:ser>
        <c:ser>
          <c:idx val="1"/>
          <c:order val="1"/>
          <c:tx>
            <c:strRef>
              <c:f>'Tyson,59'!$O$32</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'Tyson,59'!$O$33:$O$43</c15:sqref>
                  </c15:fullRef>
                </c:ext>
              </c:extLst>
              <c:f>'Tyson,59'!$O$34:$O$43</c:f>
              <c:numCache>
                <c:formatCode>General</c:formatCode>
                <c:ptCount val="10"/>
                <c:pt idx="0">
                  <c:v>94.060704347826089</c:v>
                </c:pt>
                <c:pt idx="1">
                  <c:v>95.142402447826086</c:v>
                </c:pt>
                <c:pt idx="2">
                  <c:v>96.23654007597608</c:v>
                </c:pt>
                <c:pt idx="3">
                  <c:v>97.343260286849812</c:v>
                </c:pt>
                <c:pt idx="4">
                  <c:v>98.462707780148591</c:v>
                </c:pt>
                <c:pt idx="5">
                  <c:v>99.595028919620304</c:v>
                </c:pt>
                <c:pt idx="6">
                  <c:v>100.74037175219594</c:v>
                </c:pt>
                <c:pt idx="7">
                  <c:v>101.89888602734619</c:v>
                </c:pt>
                <c:pt idx="8">
                  <c:v>103.07072321666068</c:v>
                </c:pt>
                <c:pt idx="9">
                  <c:v>104.25603653365228</c:v>
                </c:pt>
              </c:numCache>
            </c:numRef>
          </c:val>
          <c:smooth val="0"/>
          <c:extLst>
            <c:ext xmlns:c16="http://schemas.microsoft.com/office/drawing/2014/chart" uri="{C3380CC4-5D6E-409C-BE32-E72D297353CC}">
              <c16:uniqueId val="{00000001-D239-4A1A-BC70-6C48FF57E7B8}"/>
            </c:ext>
          </c:extLst>
        </c:ser>
        <c:ser>
          <c:idx val="2"/>
          <c:order val="2"/>
          <c:tx>
            <c:strRef>
              <c:f>'Tyson,59'!$P$32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'Tyson,59'!$P$33:$P$43</c15:sqref>
                  </c15:fullRef>
                </c:ext>
              </c:extLst>
              <c:f>'Tyson,59'!$P$34:$P$43</c:f>
              <c:numCache>
                <c:formatCode>General</c:formatCode>
                <c:ptCount val="10"/>
                <c:pt idx="0">
                  <c:v>92.022285362403537</c:v>
                </c:pt>
                <c:pt idx="1">
                  <c:v>91.083287568294168</c:v>
                </c:pt>
                <c:pt idx="2">
                  <c:v>90.144289774184799</c:v>
                </c:pt>
                <c:pt idx="3">
                  <c:v>89.23438308442293</c:v>
                </c:pt>
                <c:pt idx="4">
                  <c:v>88.352666227080675</c:v>
                </c:pt>
                <c:pt idx="5">
                  <c:v>87.498265852548926</c:v>
                </c:pt>
                <c:pt idx="6">
                  <c:v>86.670335668475516</c:v>
                </c:pt>
                <c:pt idx="7">
                  <c:v>85.868055601503983</c:v>
                </c:pt>
                <c:pt idx="8">
                  <c:v>85.090630984982482</c:v>
                </c:pt>
                <c:pt idx="9">
                  <c:v>84.337291771838309</c:v>
                </c:pt>
              </c:numCache>
            </c:numRef>
          </c:val>
          <c:smooth val="0"/>
          <c:extLst>
            <c:ext xmlns:c16="http://schemas.microsoft.com/office/drawing/2014/chart" uri="{C3380CC4-5D6E-409C-BE32-E72D297353CC}">
              <c16:uniqueId val="{00000002-D239-4A1A-BC70-6C48FF57E7B8}"/>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3497803434933269"/>
          <c:y val="0.4301624662077056"/>
          <c:w val="0.31002894917305113"/>
          <c:h val="0.38835112644834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163991054007"/>
          <c:y val="0.17701875024896863"/>
          <c:w val="0.84624544981678462"/>
          <c:h val="0.61144022987037094"/>
        </c:manualLayout>
      </c:layout>
      <c:lineChart>
        <c:grouping val="standard"/>
        <c:varyColors val="0"/>
        <c:ser>
          <c:idx val="0"/>
          <c:order val="0"/>
          <c:tx>
            <c:strRef>
              <c:f>'Average_55_Year_Old_Man_Pro '!$R$32</c:f>
              <c:strCache>
                <c:ptCount val="1"/>
                <c:pt idx="0">
                  <c:v>Strength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'!$Q$33:$Q$43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'!$R$33:$R$43</c:f>
              <c:numCache>
                <c:formatCode>General</c:formatCode>
                <c:ptCount val="11"/>
                <c:pt idx="0">
                  <c:v>55.000000000000007</c:v>
                </c:pt>
                <c:pt idx="1">
                  <c:v>55.676500000000004</c:v>
                </c:pt>
                <c:pt idx="2">
                  <c:v>56.361320950000007</c:v>
                </c:pt>
                <c:pt idx="3">
                  <c:v>57.054565197685008</c:v>
                </c:pt>
                <c:pt idx="4">
                  <c:v>57.756336349616532</c:v>
                </c:pt>
                <c:pt idx="5">
                  <c:v>58.466739286716816</c:v>
                </c:pt>
                <c:pt idx="6">
                  <c:v>59.185880179943432</c:v>
                </c:pt>
                <c:pt idx="7">
                  <c:v>59.913866506156737</c:v>
                </c:pt>
                <c:pt idx="8">
                  <c:v>60.650807064182466</c:v>
                </c:pt>
                <c:pt idx="9">
                  <c:v>61.396811991071907</c:v>
                </c:pt>
                <c:pt idx="10">
                  <c:v>62.151992778562089</c:v>
                </c:pt>
              </c:numCache>
            </c:numRef>
          </c:val>
          <c:smooth val="0"/>
          <c:extLst>
            <c:ext xmlns:c16="http://schemas.microsoft.com/office/drawing/2014/chart" uri="{C3380CC4-5D6E-409C-BE32-E72D297353CC}">
              <c16:uniqueId val="{00000000-35B1-4833-9E5D-3D6410DA04BE}"/>
            </c:ext>
          </c:extLst>
        </c:ser>
        <c:ser>
          <c:idx val="1"/>
          <c:order val="1"/>
          <c:tx>
            <c:strRef>
              <c:f>'Tyson,59'!$R$32</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'Tyson,59'!$R$33:$R$43</c:f>
              <c:numCache>
                <c:formatCode>General</c:formatCode>
                <c:ptCount val="11"/>
                <c:pt idx="0">
                  <c:v>42.5</c:v>
                </c:pt>
                <c:pt idx="1">
                  <c:v>43.022750000000002</c:v>
                </c:pt>
                <c:pt idx="2">
                  <c:v>43.551929825000002</c:v>
                </c:pt>
                <c:pt idx="3">
                  <c:v>44.087618561847499</c:v>
                </c:pt>
                <c:pt idx="4">
                  <c:v>44.629896270158227</c:v>
                </c:pt>
                <c:pt idx="5">
                  <c:v>45.178843994281173</c:v>
                </c:pt>
                <c:pt idx="6">
                  <c:v>45.734543775410835</c:v>
                </c:pt>
                <c:pt idx="7">
                  <c:v>46.297078663848389</c:v>
                </c:pt>
                <c:pt idx="8">
                  <c:v>46.866532731413727</c:v>
                </c:pt>
                <c:pt idx="9">
                  <c:v>47.442991084010117</c:v>
                </c:pt>
                <c:pt idx="10">
                  <c:v>48.026539874343442</c:v>
                </c:pt>
              </c:numCache>
            </c:numRef>
          </c:val>
          <c:smooth val="0"/>
          <c:extLst>
            <c:ext xmlns:c16="http://schemas.microsoft.com/office/drawing/2014/chart" uri="{C3380CC4-5D6E-409C-BE32-E72D297353CC}">
              <c16:uniqueId val="{00000001-35B1-4833-9E5D-3D6410DA04BE}"/>
            </c:ext>
          </c:extLst>
        </c:ser>
        <c:ser>
          <c:idx val="2"/>
          <c:order val="2"/>
          <c:tx>
            <c:strRef>
              <c:f>'Tyson,59'!$S$32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'Tyson,59'!$S$33:$S$43</c:f>
              <c:numCache>
                <c:formatCode>General</c:formatCode>
                <c:ptCount val="11"/>
                <c:pt idx="0" formatCode="0.0">
                  <c:v>42.5</c:v>
                </c:pt>
                <c:pt idx="1">
                  <c:v>41.530981014577442</c:v>
                </c:pt>
                <c:pt idx="2">
                  <c:v>40.642518280638569</c:v>
                </c:pt>
                <c:pt idx="3">
                  <c:v>39.754055546699696</c:v>
                </c:pt>
                <c:pt idx="4">
                  <c:v>38.916605667163473</c:v>
                </c:pt>
                <c:pt idx="5">
                  <c:v>38.127239637565339</c:v>
                </c:pt>
                <c:pt idx="6">
                  <c:v>37.383196628055806</c:v>
                </c:pt>
                <c:pt idx="7">
                  <c:v>36.681874327320571</c:v>
                </c:pt>
                <c:pt idx="8">
                  <c:v>36.020819840923629</c:v>
                </c:pt>
                <c:pt idx="9">
                  <c:v>35.397721112240106</c:v>
                </c:pt>
                <c:pt idx="10">
                  <c:v>34.810398835973317</c:v>
                </c:pt>
              </c:numCache>
            </c:numRef>
          </c:val>
          <c:smooth val="0"/>
          <c:extLst>
            <c:ext xmlns:c16="http://schemas.microsoft.com/office/drawing/2014/chart" uri="{C3380CC4-5D6E-409C-BE32-E72D297353CC}">
              <c16:uniqueId val="{00000002-35B1-4833-9E5D-3D6410DA04B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b"/>
      <c:layout>
        <c:manualLayout>
          <c:xMode val="edge"/>
          <c:yMode val="edge"/>
          <c:x val="0.37749474561139201"/>
          <c:y val="0.54241861450940221"/>
          <c:w val="0.5204539735762207"/>
          <c:h val="0.22755994543451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6943221377857"/>
          <c:y val="5.2869044474333347E-2"/>
          <c:w val="0.86124515981529692"/>
          <c:h val="0.73410087428823578"/>
        </c:manualLayout>
      </c:layout>
      <c:lineChart>
        <c:grouping val="standard"/>
        <c:varyColors val="0"/>
        <c:ser>
          <c:idx val="0"/>
          <c:order val="0"/>
          <c:tx>
            <c:strRef>
              <c:f>'Average_55_Year_Old_Man_Pro '!$U$32</c:f>
              <c:strCache>
                <c:ptCount val="1"/>
                <c:pt idx="0">
                  <c:v>Metabolic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'!$T$33:$T$43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'!$U$33:$U$43</c:f>
              <c:numCache>
                <c:formatCode>General</c:formatCode>
                <c:ptCount val="11"/>
                <c:pt idx="0">
                  <c:v>56.830857142857141</c:v>
                </c:pt>
                <c:pt idx="1">
                  <c:v>57.143426857142856</c:v>
                </c:pt>
                <c:pt idx="2">
                  <c:v>57.457715704857144</c:v>
                </c:pt>
                <c:pt idx="3">
                  <c:v>57.773733141233855</c:v>
                </c:pt>
                <c:pt idx="4">
                  <c:v>58.091488673510639</c:v>
                </c:pt>
                <c:pt idx="5">
                  <c:v>58.410991861214946</c:v>
                </c:pt>
                <c:pt idx="6">
                  <c:v>58.732252316451628</c:v>
                </c:pt>
                <c:pt idx="7">
                  <c:v>59.05527970419211</c:v>
                </c:pt>
                <c:pt idx="8">
                  <c:v>59.380083742565169</c:v>
                </c:pt>
                <c:pt idx="9">
                  <c:v>59.706674203149277</c:v>
                </c:pt>
                <c:pt idx="10">
                  <c:v>60.035060911266598</c:v>
                </c:pt>
              </c:numCache>
            </c:numRef>
          </c:val>
          <c:smooth val="0"/>
          <c:extLst>
            <c:ext xmlns:c16="http://schemas.microsoft.com/office/drawing/2014/chart" uri="{C3380CC4-5D6E-409C-BE32-E72D297353CC}">
              <c16:uniqueId val="{00000000-0EE5-4782-8E58-662038EA7C6E}"/>
            </c:ext>
          </c:extLst>
        </c:ser>
        <c:ser>
          <c:idx val="1"/>
          <c:order val="1"/>
          <c:tx>
            <c:strRef>
              <c:f>'Tyson,59'!$U$32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'Tyson,59'!$U$33:$U$43</c:f>
              <c:numCache>
                <c:formatCode>General</c:formatCode>
                <c:ptCount val="11"/>
                <c:pt idx="0">
                  <c:v>63.589999999999996</c:v>
                </c:pt>
                <c:pt idx="1">
                  <c:v>63.939744999999995</c:v>
                </c:pt>
                <c:pt idx="2">
                  <c:v>64.291413597499997</c:v>
                </c:pt>
                <c:pt idx="3">
                  <c:v>64.64501637228625</c:v>
                </c:pt>
                <c:pt idx="4">
                  <c:v>65.000563962333828</c:v>
                </c:pt>
                <c:pt idx="5">
                  <c:v>65.358067064126658</c:v>
                </c:pt>
                <c:pt idx="6">
                  <c:v>65.717536432979358</c:v>
                </c:pt>
                <c:pt idx="7">
                  <c:v>66.078982883360752</c:v>
                </c:pt>
                <c:pt idx="8">
                  <c:v>66.442417289219236</c:v>
                </c:pt>
                <c:pt idx="9">
                  <c:v>66.807850584309946</c:v>
                </c:pt>
                <c:pt idx="10">
                  <c:v>67.175293762523651</c:v>
                </c:pt>
              </c:numCache>
            </c:numRef>
          </c:val>
          <c:smooth val="0"/>
          <c:extLst>
            <c:ext xmlns:c16="http://schemas.microsoft.com/office/drawing/2014/chart" uri="{C3380CC4-5D6E-409C-BE32-E72D297353CC}">
              <c16:uniqueId val="{00000001-0EE5-4782-8E58-662038EA7C6E}"/>
            </c:ext>
          </c:extLst>
        </c:ser>
        <c:ser>
          <c:idx val="2"/>
          <c:order val="2"/>
          <c:tx>
            <c:strRef>
              <c:f>'Tyson,59'!$V$32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'Tyson,59'!$V$33:$V$43</c:f>
              <c:numCache>
                <c:formatCode>General</c:formatCode>
                <c:ptCount val="11"/>
                <c:pt idx="0" formatCode="0.0">
                  <c:v>63.589999999999996</c:v>
                </c:pt>
                <c:pt idx="1">
                  <c:v>62.620981014577438</c:v>
                </c:pt>
                <c:pt idx="2">
                  <c:v>61.681983220468076</c:v>
                </c:pt>
                <c:pt idx="3">
                  <c:v>60.742985426358715</c:v>
                </c:pt>
                <c:pt idx="4">
                  <c:v>59.833078736596839</c:v>
                </c:pt>
                <c:pt idx="5">
                  <c:v>58.951361879254591</c:v>
                </c:pt>
                <c:pt idx="6">
                  <c:v>58.096961504722842</c:v>
                </c:pt>
                <c:pt idx="7">
                  <c:v>57.269031320649432</c:v>
                </c:pt>
                <c:pt idx="8">
                  <c:v>56.466751253677906</c:v>
                </c:pt>
                <c:pt idx="9">
                  <c:v>55.689326637156412</c:v>
                </c:pt>
                <c:pt idx="10">
                  <c:v>54.935987424012232</c:v>
                </c:pt>
              </c:numCache>
            </c:numRef>
          </c:val>
          <c:smooth val="0"/>
          <c:extLst>
            <c:ext xmlns:c16="http://schemas.microsoft.com/office/drawing/2014/chart" uri="{C3380CC4-5D6E-409C-BE32-E72D297353CC}">
              <c16:uniqueId val="{00000002-0EE5-4782-8E58-662038EA7C6E}"/>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372512068928683"/>
          <c:y val="0.49158788031084122"/>
          <c:w val="0.29506332342402236"/>
          <c:h val="0.388270548574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8102326266711"/>
          <c:y val="5.0946169190878555E-2"/>
          <c:w val="0.85011919003399428"/>
          <c:h val="0.74377176699694758"/>
        </c:manualLayout>
      </c:layout>
      <c:lineChart>
        <c:grouping val="standard"/>
        <c:varyColors val="0"/>
        <c:ser>
          <c:idx val="0"/>
          <c:order val="0"/>
          <c:tx>
            <c:strRef>
              <c:f>'Average_55_Year_Old_Man_Pro '!$X$32</c:f>
              <c:strCache>
                <c:ptCount val="1"/>
                <c:pt idx="0">
                  <c:v>Mobility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'!$W$33:$W$43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'!$X$33:$X$43</c:f>
              <c:numCache>
                <c:formatCode>General</c:formatCode>
                <c:ptCount val="11"/>
                <c:pt idx="0">
                  <c:v>55</c:v>
                </c:pt>
                <c:pt idx="1">
                  <c:v>55.544499999999999</c:v>
                </c:pt>
                <c:pt idx="2">
                  <c:v>56.09439055</c:v>
                </c:pt>
                <c:pt idx="3">
                  <c:v>56.649725016444997</c:v>
                </c:pt>
                <c:pt idx="4">
                  <c:v>57.210557294107801</c:v>
                </c:pt>
                <c:pt idx="5">
                  <c:v>57.776941811319467</c:v>
                </c:pt>
                <c:pt idx="6">
                  <c:v>58.348933535251533</c:v>
                </c:pt>
                <c:pt idx="7">
                  <c:v>58.92658797725052</c:v>
                </c:pt>
                <c:pt idx="8">
                  <c:v>59.509961198225298</c:v>
                </c:pt>
                <c:pt idx="9">
                  <c:v>60.099109814087726</c:v>
                </c:pt>
                <c:pt idx="10">
                  <c:v>60.694091001247195</c:v>
                </c:pt>
              </c:numCache>
            </c:numRef>
          </c:val>
          <c:smooth val="0"/>
          <c:extLst>
            <c:ext xmlns:c16="http://schemas.microsoft.com/office/drawing/2014/chart" uri="{C3380CC4-5D6E-409C-BE32-E72D297353CC}">
              <c16:uniqueId val="{00000000-A167-458D-B9C5-3A784C0EE04C}"/>
            </c:ext>
          </c:extLst>
        </c:ser>
        <c:ser>
          <c:idx val="1"/>
          <c:order val="1"/>
          <c:tx>
            <c:strRef>
              <c:f>'Tyson,59'!$U$32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'Tyson,59'!$X$33:$X$43</c:f>
              <c:numCache>
                <c:formatCode>General</c:formatCode>
                <c:ptCount val="11"/>
                <c:pt idx="0">
                  <c:v>78.25</c:v>
                </c:pt>
                <c:pt idx="1">
                  <c:v>79.024675000000002</c:v>
                </c:pt>
                <c:pt idx="2">
                  <c:v>79.807019282500008</c:v>
                </c:pt>
                <c:pt idx="3">
                  <c:v>80.597108773396755</c:v>
                </c:pt>
                <c:pt idx="4">
                  <c:v>81.395020150253387</c:v>
                </c:pt>
                <c:pt idx="5">
                  <c:v>82.200830849740896</c:v>
                </c:pt>
                <c:pt idx="6">
                  <c:v>83.014619075153334</c:v>
                </c:pt>
                <c:pt idx="7">
                  <c:v>83.836463803997347</c:v>
                </c:pt>
                <c:pt idx="8">
                  <c:v>84.666444795656915</c:v>
                </c:pt>
                <c:pt idx="9">
                  <c:v>85.504642599133916</c:v>
                </c:pt>
                <c:pt idx="10">
                  <c:v>86.351138560865337</c:v>
                </c:pt>
              </c:numCache>
            </c:numRef>
          </c:val>
          <c:smooth val="0"/>
          <c:extLst>
            <c:ext xmlns:c16="http://schemas.microsoft.com/office/drawing/2014/chart" uri="{C3380CC4-5D6E-409C-BE32-E72D297353CC}">
              <c16:uniqueId val="{00000001-A167-458D-B9C5-3A784C0EE04C}"/>
            </c:ext>
          </c:extLst>
        </c:ser>
        <c:ser>
          <c:idx val="2"/>
          <c:order val="2"/>
          <c:tx>
            <c:strRef>
              <c:f>'Tyson,59'!$Y$32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'Tyson,59'!$Y$33:$Y$43</c:f>
              <c:numCache>
                <c:formatCode>General</c:formatCode>
                <c:ptCount val="11"/>
                <c:pt idx="0" formatCode="0.0">
                  <c:v>78.25</c:v>
                </c:pt>
                <c:pt idx="1">
                  <c:v>77.300005861213577</c:v>
                </c:pt>
                <c:pt idx="2">
                  <c:v>76.397516997485013</c:v>
                </c:pt>
                <c:pt idx="3">
                  <c:v>75.495028133756449</c:v>
                </c:pt>
                <c:pt idx="4">
                  <c:v>74.637669002894299</c:v>
                </c:pt>
                <c:pt idx="5">
                  <c:v>73.823182853740235</c:v>
                </c:pt>
                <c:pt idx="6">
                  <c:v>73.049425785921144</c:v>
                </c:pt>
                <c:pt idx="7">
                  <c:v>72.314361106648434</c:v>
                </c:pt>
                <c:pt idx="8">
                  <c:v>71.616053969710435</c:v>
                </c:pt>
                <c:pt idx="9">
                  <c:v>70.952666282546616</c:v>
                </c:pt>
                <c:pt idx="10">
                  <c:v>70.322451867997898</c:v>
                </c:pt>
              </c:numCache>
            </c:numRef>
          </c:val>
          <c:smooth val="0"/>
          <c:extLst>
            <c:ext xmlns:c16="http://schemas.microsoft.com/office/drawing/2014/chart" uri="{C3380CC4-5D6E-409C-BE32-E72D297353CC}">
              <c16:uniqueId val="{00000002-A167-458D-B9C5-3A784C0EE04C}"/>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5835479163231581"/>
          <c:y val="0.4594735440956052"/>
          <c:w val="0.30097764880924577"/>
          <c:h val="0.37378931157806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03285579637324"/>
          <c:y val="5.1225732405134304E-2"/>
          <c:w val="0.8444944155507329"/>
          <c:h val="0.7336335251700955"/>
        </c:manualLayout>
      </c:layout>
      <c:lineChart>
        <c:grouping val="standard"/>
        <c:varyColors val="0"/>
        <c:ser>
          <c:idx val="1"/>
          <c:order val="0"/>
          <c:tx>
            <c:strRef>
              <c:f>'Average_55_Year_Old_Man_Pro '!$AA$32</c:f>
              <c:strCache>
                <c:ptCount val="1"/>
                <c:pt idx="0">
                  <c:v>Cognitive Decline of an average 50 Year old Man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'Average_55_Year_Old_Man_Pro '!$Z$33:$Z$43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'!$AA$33:$AA$43</c:f>
              <c:numCache>
                <c:formatCode>General</c:formatCode>
                <c:ptCount val="11"/>
                <c:pt idx="0">
                  <c:v>55</c:v>
                </c:pt>
                <c:pt idx="1">
                  <c:v>56.1</c:v>
                </c:pt>
                <c:pt idx="2">
                  <c:v>57.222000000000001</c:v>
                </c:pt>
                <c:pt idx="3">
                  <c:v>58.366440000000004</c:v>
                </c:pt>
                <c:pt idx="4">
                  <c:v>59.533768800000004</c:v>
                </c:pt>
                <c:pt idx="5">
                  <c:v>60.724444176000006</c:v>
                </c:pt>
                <c:pt idx="6">
                  <c:v>61.938933059520004</c:v>
                </c:pt>
                <c:pt idx="7">
                  <c:v>63.177711720710406</c:v>
                </c:pt>
                <c:pt idx="8">
                  <c:v>64.441265955124607</c:v>
                </c:pt>
                <c:pt idx="9">
                  <c:v>65.730091274227092</c:v>
                </c:pt>
                <c:pt idx="10">
                  <c:v>67.044693099711637</c:v>
                </c:pt>
              </c:numCache>
            </c:numRef>
          </c:val>
          <c:smooth val="0"/>
          <c:extLst>
            <c:ext xmlns:c16="http://schemas.microsoft.com/office/drawing/2014/chart" uri="{C3380CC4-5D6E-409C-BE32-E72D297353CC}">
              <c16:uniqueId val="{00000000-8023-4C7C-96C9-1AFE08C5A89E}"/>
            </c:ext>
          </c:extLst>
        </c:ser>
        <c:ser>
          <c:idx val="0"/>
          <c:order val="1"/>
          <c:tx>
            <c:strRef>
              <c:f>'Tyson,59'!$AA$32</c:f>
              <c:strCache>
                <c:ptCount val="1"/>
                <c:pt idx="0">
                  <c:v>Cognitive Decline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'Tyson,59'!$AA$33:$AA$43</c:f>
              <c:numCache>
                <c:formatCode>General</c:formatCode>
                <c:ptCount val="11"/>
                <c:pt idx="0">
                  <c:v>71</c:v>
                </c:pt>
                <c:pt idx="1">
                  <c:v>72.42</c:v>
                </c:pt>
                <c:pt idx="2">
                  <c:v>73.868400000000008</c:v>
                </c:pt>
                <c:pt idx="3">
                  <c:v>75.345768000000007</c:v>
                </c:pt>
                <c:pt idx="4">
                  <c:v>76.85268336</c:v>
                </c:pt>
                <c:pt idx="5">
                  <c:v>78.389737027199999</c:v>
                </c:pt>
                <c:pt idx="6">
                  <c:v>79.957531767744001</c:v>
                </c:pt>
                <c:pt idx="7">
                  <c:v>81.556682403098876</c:v>
                </c:pt>
                <c:pt idx="8">
                  <c:v>83.187816051160851</c:v>
                </c:pt>
                <c:pt idx="9">
                  <c:v>84.851572372184066</c:v>
                </c:pt>
                <c:pt idx="10">
                  <c:v>86.548603819627743</c:v>
                </c:pt>
              </c:numCache>
            </c:numRef>
          </c:val>
          <c:smooth val="0"/>
          <c:extLst>
            <c:ext xmlns:c16="http://schemas.microsoft.com/office/drawing/2014/chart" uri="{C3380CC4-5D6E-409C-BE32-E72D297353CC}">
              <c16:uniqueId val="{00000001-8023-4C7C-96C9-1AFE08C5A89E}"/>
            </c:ext>
          </c:extLst>
        </c:ser>
        <c:ser>
          <c:idx val="2"/>
          <c:order val="2"/>
          <c:tx>
            <c:strRef>
              <c:f>'Tyson,59'!$AB$32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'Tyson,59'!$AB$33:$AB$43</c:f>
              <c:numCache>
                <c:formatCode>General</c:formatCode>
                <c:ptCount val="11"/>
                <c:pt idx="0" formatCode="0.0">
                  <c:v>71</c:v>
                </c:pt>
                <c:pt idx="1">
                  <c:v>70.034009969239406</c:v>
                </c:pt>
                <c:pt idx="2">
                  <c:v>69.100873229710544</c:v>
                </c:pt>
                <c:pt idx="3">
                  <c:v>68.167736490181682</c:v>
                </c:pt>
                <c:pt idx="4">
                  <c:v>67.266335702460353</c:v>
                </c:pt>
                <c:pt idx="5">
                  <c:v>66.395591527801798</c:v>
                </c:pt>
                <c:pt idx="6">
                  <c:v>65.554461335738765</c:v>
                </c:pt>
                <c:pt idx="7">
                  <c:v>64.741937955634128</c:v>
                </c:pt>
                <c:pt idx="8">
                  <c:v>63.957048470693138</c:v>
                </c:pt>
                <c:pt idx="9">
                  <c:v>63.198853052991318</c:v>
                </c:pt>
                <c:pt idx="10">
                  <c:v>62.466443838122991</c:v>
                </c:pt>
              </c:numCache>
            </c:numRef>
          </c:val>
          <c:smooth val="0"/>
          <c:extLst>
            <c:ext xmlns:c16="http://schemas.microsoft.com/office/drawing/2014/chart" uri="{C3380CC4-5D6E-409C-BE32-E72D297353CC}">
              <c16:uniqueId val="{00000002-8023-4C7C-96C9-1AFE08C5A89E}"/>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40459167525189083"/>
          <c:y val="0.51626554510302902"/>
          <c:w val="0.45817320862012972"/>
          <c:h val="0.221288990314802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51931614777317"/>
          <c:y val="0.19499652536483669"/>
          <c:w val="0.81448068385222683"/>
          <c:h val="0.62793699888980303"/>
        </c:manualLayout>
      </c:layout>
      <c:lineChart>
        <c:grouping val="standard"/>
        <c:varyColors val="0"/>
        <c:ser>
          <c:idx val="0"/>
          <c:order val="0"/>
          <c:tx>
            <c:strRef>
              <c:f>[1]Average_45_Year_Old_Man_Pro!$O$32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[1]Average_45_Year_Old_Man_Pro!$N$32:$N$43</c15:sqref>
                  </c15:fullRef>
                </c:ext>
              </c:extLst>
              <c:f>[1]Average_45_Year_Old_Man_Pro!$N$33:$N$43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[1]Average_45_Year_Old_Man_Pro!$O$33:$O$43</c15:sqref>
                  </c15:fullRef>
                </c:ext>
              </c:extLst>
              <c:f>[1]Average_45_Year_Old_Man_Pro!$O$34:$O$43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D09C-4681-A0BA-B78DAE1FDB2B}"/>
            </c:ext>
          </c:extLst>
        </c:ser>
        <c:ser>
          <c:idx val="1"/>
          <c:order val="1"/>
          <c:tx>
            <c:strRef>
              <c:f>[1]Persona_1.3!$O$32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[1]Persona_1.3!$O$33:$O$43</c15:sqref>
                  </c15:fullRef>
                </c:ext>
              </c:extLst>
              <c:f>[1]Persona_1.3!$O$34:$O$43</c:f>
              <c:numCache>
                <c:formatCode>General</c:formatCode>
                <c:ptCount val="10"/>
                <c:pt idx="0">
                  <c:v>80.337427215189877</c:v>
                </c:pt>
                <c:pt idx="1">
                  <c:v>81.261307628164559</c:v>
                </c:pt>
                <c:pt idx="2">
                  <c:v>82.195812665888454</c:v>
                </c:pt>
                <c:pt idx="3">
                  <c:v>83.141064511546176</c:v>
                </c:pt>
                <c:pt idx="4">
                  <c:v>84.097186753428957</c:v>
                </c:pt>
                <c:pt idx="5">
                  <c:v>85.064304401093395</c:v>
                </c:pt>
                <c:pt idx="6">
                  <c:v>86.042543901705969</c:v>
                </c:pt>
                <c:pt idx="7">
                  <c:v>87.032033156575594</c:v>
                </c:pt>
                <c:pt idx="8">
                  <c:v>88.032901537876214</c:v>
                </c:pt>
                <c:pt idx="9">
                  <c:v>89.045279905561785</c:v>
                </c:pt>
              </c:numCache>
            </c:numRef>
          </c:val>
          <c:smooth val="0"/>
          <c:extLst>
            <c:ext xmlns:c16="http://schemas.microsoft.com/office/drawing/2014/chart" uri="{C3380CC4-5D6E-409C-BE32-E72D297353CC}">
              <c16:uniqueId val="{00000001-D09C-4681-A0BA-B78DAE1FDB2B}"/>
            </c:ext>
          </c:extLst>
        </c:ser>
        <c:ser>
          <c:idx val="2"/>
          <c:order val="2"/>
          <c:tx>
            <c:strRef>
              <c:f>[1]Persona_1.3!$P$32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[1]Persona_1.3!$P$33:$P$43</c15:sqref>
                  </c15:fullRef>
                </c:ext>
              </c:extLst>
              <c:f>[1]Persona_1.3!$P$34:$P$43</c:f>
              <c:numCache>
                <c:formatCode>General</c:formatCode>
                <c:ptCount val="10"/>
                <c:pt idx="0">
                  <c:v>78.455031647488838</c:v>
                </c:pt>
                <c:pt idx="1">
                  <c:v>77.516033853379469</c:v>
                </c:pt>
                <c:pt idx="2">
                  <c:v>76.5770360592701</c:v>
                </c:pt>
                <c:pt idx="3">
                  <c:v>75.667129369508231</c:v>
                </c:pt>
                <c:pt idx="4">
                  <c:v>74.785412512165976</c:v>
                </c:pt>
                <c:pt idx="5">
                  <c:v>73.931012137634227</c:v>
                </c:pt>
                <c:pt idx="6">
                  <c:v>73.103081953560817</c:v>
                </c:pt>
                <c:pt idx="7">
                  <c:v>72.300801886589284</c:v>
                </c:pt>
                <c:pt idx="8">
                  <c:v>71.523377270067783</c:v>
                </c:pt>
                <c:pt idx="9">
                  <c:v>70.77003805692361</c:v>
                </c:pt>
              </c:numCache>
            </c:numRef>
          </c:val>
          <c:smooth val="0"/>
          <c:extLst>
            <c:ext xmlns:c16="http://schemas.microsoft.com/office/drawing/2014/chart" uri="{C3380CC4-5D6E-409C-BE32-E72D297353CC}">
              <c16:uniqueId val="{00000002-D09C-4681-A0BA-B78DAE1FDB2B}"/>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0772984498407933"/>
          <c:y val="0.59179251394982635"/>
          <c:w val="0.53684219715371306"/>
          <c:h val="0.20734142356852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808846841094"/>
          <c:y val="4.9524448309344521E-2"/>
          <c:w val="0.84114914457383672"/>
          <c:h val="0.75092215798972572"/>
        </c:manualLayout>
      </c:layout>
      <c:lineChart>
        <c:grouping val="standard"/>
        <c:varyColors val="0"/>
        <c:ser>
          <c:idx val="0"/>
          <c:order val="0"/>
          <c:tx>
            <c:strRef>
              <c:f>[1]Average_45_Year_Old_Man_Pro!$R$32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A7C7-4562-921A-0FC973F6FBCA}"/>
            </c:ext>
          </c:extLst>
        </c:ser>
        <c:ser>
          <c:idx val="1"/>
          <c:order val="1"/>
          <c:tx>
            <c:strRef>
              <c:f>[1]Persona_1.3!$R$32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[1]Persona_1.3!$R$33:$R$43</c:f>
              <c:numCache>
                <c:formatCode>General</c:formatCode>
                <c:ptCount val="11"/>
                <c:pt idx="0">
                  <c:v>52.678571428571431</c:v>
                </c:pt>
                <c:pt idx="1">
                  <c:v>53.326517857142861</c:v>
                </c:pt>
                <c:pt idx="2">
                  <c:v>53.982434026785718</c:v>
                </c:pt>
                <c:pt idx="3">
                  <c:v>54.64641796531518</c:v>
                </c:pt>
                <c:pt idx="4">
                  <c:v>55.318568906288554</c:v>
                </c:pt>
                <c:pt idx="5">
                  <c:v>55.998987303835904</c:v>
                </c:pt>
                <c:pt idx="6">
                  <c:v>56.687774847673083</c:v>
                </c:pt>
                <c:pt idx="7">
                  <c:v>57.38503447829946</c:v>
                </c:pt>
                <c:pt idx="8">
                  <c:v>58.090870402382542</c:v>
                </c:pt>
                <c:pt idx="9">
                  <c:v>58.805388108331847</c:v>
                </c:pt>
                <c:pt idx="10">
                  <c:v>59.52869438206433</c:v>
                </c:pt>
              </c:numCache>
            </c:numRef>
          </c:val>
          <c:smooth val="0"/>
          <c:extLst>
            <c:ext xmlns:c16="http://schemas.microsoft.com/office/drawing/2014/chart" uri="{C3380CC4-5D6E-409C-BE32-E72D297353CC}">
              <c16:uniqueId val="{00000001-A7C7-4562-921A-0FC973F6FBCA}"/>
            </c:ext>
          </c:extLst>
        </c:ser>
        <c:ser>
          <c:idx val="2"/>
          <c:order val="2"/>
          <c:tx>
            <c:strRef>
              <c:f>[1]Persona_1.3!$S$32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[1]Persona_1.3!$S$33:$S$43</c:f>
              <c:numCache>
                <c:formatCode>General</c:formatCode>
                <c:ptCount val="11"/>
                <c:pt idx="0" formatCode="0.0">
                  <c:v>52.678571428571431</c:v>
                </c:pt>
                <c:pt idx="1">
                  <c:v>51.709552443148873</c:v>
                </c:pt>
                <c:pt idx="2">
                  <c:v>50.82108970921</c:v>
                </c:pt>
                <c:pt idx="3">
                  <c:v>49.932626975271127</c:v>
                </c:pt>
                <c:pt idx="4">
                  <c:v>49.095177095734904</c:v>
                </c:pt>
                <c:pt idx="5">
                  <c:v>48.305811066136769</c:v>
                </c:pt>
                <c:pt idx="6">
                  <c:v>47.561768056627237</c:v>
                </c:pt>
                <c:pt idx="7">
                  <c:v>46.860445755892002</c:v>
                </c:pt>
                <c:pt idx="8">
                  <c:v>46.199391269495059</c:v>
                </c:pt>
                <c:pt idx="9">
                  <c:v>45.576292540811536</c:v>
                </c:pt>
                <c:pt idx="10">
                  <c:v>44.988970264544747</c:v>
                </c:pt>
              </c:numCache>
            </c:numRef>
          </c:val>
          <c:smooth val="0"/>
          <c:extLst>
            <c:ext xmlns:c16="http://schemas.microsoft.com/office/drawing/2014/chart" uri="{C3380CC4-5D6E-409C-BE32-E72D297353CC}">
              <c16:uniqueId val="{00000002-A7C7-4562-921A-0FC973F6FBCA}"/>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Chronologcial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1627746316616894"/>
          <c:y val="0.51463098259412399"/>
          <c:w val="0.34222264634130406"/>
          <c:h val="0.383129855554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1258441780592"/>
          <c:y val="4.9853170458231642E-2"/>
          <c:w val="0.83606004730054961"/>
          <c:h val="0.7492688855907208"/>
        </c:manualLayout>
      </c:layout>
      <c:lineChart>
        <c:grouping val="standard"/>
        <c:varyColors val="0"/>
        <c:ser>
          <c:idx val="0"/>
          <c:order val="0"/>
          <c:tx>
            <c:strRef>
              <c:f>[1]Average_45_Year_Old_Man_Pro!$U$32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[1]Average_45_Year_Old_Man_Pro!$U$33:$U$43</c:f>
              <c:numCache>
                <c:formatCode>General</c:formatCode>
                <c:ptCount val="11"/>
                <c:pt idx="0">
                  <c:v>46.337142857142858</c:v>
                </c:pt>
                <c:pt idx="1">
                  <c:v>46.591997142857146</c:v>
                </c:pt>
                <c:pt idx="2">
                  <c:v>46.848253127142861</c:v>
                </c:pt>
                <c:pt idx="3">
                  <c:v>47.105918519342147</c:v>
                </c:pt>
                <c:pt idx="4">
                  <c:v>47.365001071198527</c:v>
                </c:pt>
                <c:pt idx="5">
                  <c:v>47.625508577090116</c:v>
                </c:pt>
                <c:pt idx="6">
                  <c:v>47.887448874264109</c:v>
                </c:pt>
                <c:pt idx="7">
                  <c:v>48.150829843072565</c:v>
                </c:pt>
                <c:pt idx="8">
                  <c:v>48.415659407209461</c:v>
                </c:pt>
                <c:pt idx="9">
                  <c:v>48.681945533949111</c:v>
                </c:pt>
                <c:pt idx="10">
                  <c:v>48.949696234385833</c:v>
                </c:pt>
              </c:numCache>
            </c:numRef>
          </c:val>
          <c:smooth val="0"/>
          <c:extLst>
            <c:ext xmlns:c16="http://schemas.microsoft.com/office/drawing/2014/chart" uri="{C3380CC4-5D6E-409C-BE32-E72D297353CC}">
              <c16:uniqueId val="{00000000-0EAA-4973-A2FA-6BE690A8C6DA}"/>
            </c:ext>
          </c:extLst>
        </c:ser>
        <c:ser>
          <c:idx val="1"/>
          <c:order val="1"/>
          <c:tx>
            <c:strRef>
              <c:f>[1]Persona_1.3!$U$32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[1]Persona_1.3!$U$33:$U$43</c:f>
              <c:numCache>
                <c:formatCode>General</c:formatCode>
                <c:ptCount val="11"/>
                <c:pt idx="0">
                  <c:v>51.429107142857141</c:v>
                </c:pt>
                <c:pt idx="1">
                  <c:v>51.711967232142854</c:v>
                </c:pt>
                <c:pt idx="2">
                  <c:v>51.996383051919636</c:v>
                </c:pt>
                <c:pt idx="3">
                  <c:v>52.282363158705195</c:v>
                </c:pt>
                <c:pt idx="4">
                  <c:v>52.569916156078072</c:v>
                </c:pt>
                <c:pt idx="5">
                  <c:v>52.859050694936499</c:v>
                </c:pt>
                <c:pt idx="6">
                  <c:v>53.149775473758652</c:v>
                </c:pt>
                <c:pt idx="7">
                  <c:v>53.442099238864323</c:v>
                </c:pt>
                <c:pt idx="8">
                  <c:v>53.736030784678078</c:v>
                </c:pt>
                <c:pt idx="9">
                  <c:v>54.031578953993808</c:v>
                </c:pt>
                <c:pt idx="10">
                  <c:v>54.328752638240772</c:v>
                </c:pt>
              </c:numCache>
            </c:numRef>
          </c:val>
          <c:smooth val="0"/>
          <c:extLst>
            <c:ext xmlns:c16="http://schemas.microsoft.com/office/drawing/2014/chart" uri="{C3380CC4-5D6E-409C-BE32-E72D297353CC}">
              <c16:uniqueId val="{00000001-0EAA-4973-A2FA-6BE690A8C6DA}"/>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[1]Persona_1.3!$V$33:$V$43</c:f>
              <c:numCache>
                <c:formatCode>General</c:formatCode>
                <c:ptCount val="11"/>
                <c:pt idx="0" formatCode="0.0">
                  <c:v>51.429107142857141</c:v>
                </c:pt>
                <c:pt idx="1">
                  <c:v>50.460088157434583</c:v>
                </c:pt>
                <c:pt idx="2">
                  <c:v>49.521090363325222</c:v>
                </c:pt>
                <c:pt idx="3">
                  <c:v>48.58209256921586</c:v>
                </c:pt>
                <c:pt idx="4">
                  <c:v>47.672185879453984</c:v>
                </c:pt>
                <c:pt idx="5">
                  <c:v>46.790469022111736</c:v>
                </c:pt>
                <c:pt idx="6">
                  <c:v>45.936068647579987</c:v>
                </c:pt>
                <c:pt idx="7">
                  <c:v>45.108138463506577</c:v>
                </c:pt>
                <c:pt idx="8">
                  <c:v>44.305858396535051</c:v>
                </c:pt>
                <c:pt idx="9">
                  <c:v>43.528433780013557</c:v>
                </c:pt>
                <c:pt idx="10">
                  <c:v>42.775094566869377</c:v>
                </c:pt>
              </c:numCache>
            </c:numRef>
          </c:val>
          <c:smooth val="0"/>
          <c:extLst>
            <c:ext xmlns:c16="http://schemas.microsoft.com/office/drawing/2014/chart" uri="{C3380CC4-5D6E-409C-BE32-E72D297353CC}">
              <c16:uniqueId val="{00000002-0EAA-4973-A2FA-6BE690A8C6DA}"/>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679615216774494"/>
          <c:y val="0.41955386230033304"/>
          <c:w val="0.33675755896273846"/>
          <c:h val="0.38572971805514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82075408953011"/>
          <c:y val="4.7962816285933914E-2"/>
          <c:w val="0.83601402983810025"/>
          <c:h val="0.75877621689767438"/>
        </c:manualLayout>
      </c:layout>
      <c:lineChart>
        <c:grouping val="standard"/>
        <c:varyColors val="0"/>
        <c:ser>
          <c:idx val="0"/>
          <c:order val="0"/>
          <c:tx>
            <c:strRef>
              <c:f>[1]Average_45_Year_Old_Man_Pro!$X$32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[1]Average_45_Year_Old_Man_Pro!$X$33:$X$43</c:f>
              <c:numCache>
                <c:formatCode>General</c:formatCode>
                <c:ptCount val="11"/>
                <c:pt idx="0">
                  <c:v>45</c:v>
                </c:pt>
                <c:pt idx="1">
                  <c:v>45.445500000000003</c:v>
                </c:pt>
                <c:pt idx="2">
                  <c:v>45.89541045</c:v>
                </c:pt>
                <c:pt idx="3">
                  <c:v>46.349775013455002</c:v>
                </c:pt>
                <c:pt idx="4">
                  <c:v>46.808637786088205</c:v>
                </c:pt>
                <c:pt idx="5">
                  <c:v>47.272043300170481</c:v>
                </c:pt>
                <c:pt idx="6">
                  <c:v>47.740036528842168</c:v>
                </c:pt>
                <c:pt idx="7">
                  <c:v>48.212662890477702</c:v>
                </c:pt>
                <c:pt idx="8">
                  <c:v>48.689968253093433</c:v>
                </c:pt>
                <c:pt idx="9">
                  <c:v>49.171998938799057</c:v>
                </c:pt>
                <c:pt idx="10">
                  <c:v>49.65880172829317</c:v>
                </c:pt>
              </c:numCache>
            </c:numRef>
          </c:val>
          <c:smooth val="0"/>
          <c:extLst>
            <c:ext xmlns:c16="http://schemas.microsoft.com/office/drawing/2014/chart" uri="{C3380CC4-5D6E-409C-BE32-E72D297353CC}">
              <c16:uniqueId val="{00000000-F799-4051-BD30-A9717FD7BBD8}"/>
            </c:ext>
          </c:extLst>
        </c:ser>
        <c:ser>
          <c:idx val="1"/>
          <c:order val="1"/>
          <c:tx>
            <c:strRef>
              <c:f>[1]Persona_1.3!$X$32</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[1]Persona_1.3!$X$33:$X$43</c:f>
              <c:numCache>
                <c:formatCode>General</c:formatCode>
                <c:ptCount val="11"/>
                <c:pt idx="0">
                  <c:v>60.25</c:v>
                </c:pt>
                <c:pt idx="1">
                  <c:v>60.846474999999998</c:v>
                </c:pt>
                <c:pt idx="2">
                  <c:v>61.448855102499998</c:v>
                </c:pt>
                <c:pt idx="3">
                  <c:v>62.05719876801475</c:v>
                </c:pt>
                <c:pt idx="4">
                  <c:v>62.671565035818098</c:v>
                </c:pt>
                <c:pt idx="5">
                  <c:v>63.292013529672694</c:v>
                </c:pt>
                <c:pt idx="6">
                  <c:v>63.918604463616454</c:v>
                </c:pt>
                <c:pt idx="7">
                  <c:v>64.551398647806252</c:v>
                </c:pt>
                <c:pt idx="8">
                  <c:v>65.190457494419533</c:v>
                </c:pt>
                <c:pt idx="9">
                  <c:v>65.835843023614288</c:v>
                </c:pt>
                <c:pt idx="10">
                  <c:v>66.487617869548075</c:v>
                </c:pt>
              </c:numCache>
            </c:numRef>
          </c:val>
          <c:smooth val="0"/>
          <c:extLst>
            <c:ext xmlns:c16="http://schemas.microsoft.com/office/drawing/2014/chart" uri="{C3380CC4-5D6E-409C-BE32-E72D297353CC}">
              <c16:uniqueId val="{00000001-F799-4051-BD30-A9717FD7BBD8}"/>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[1]Persona_1.3!$Y$33:$Y$43</c:f>
              <c:numCache>
                <c:formatCode>General</c:formatCode>
                <c:ptCount val="11"/>
                <c:pt idx="0" formatCode="0.0">
                  <c:v>60.25</c:v>
                </c:pt>
                <c:pt idx="1">
                  <c:v>59.300005861213577</c:v>
                </c:pt>
                <c:pt idx="2">
                  <c:v>58.397516997485013</c:v>
                </c:pt>
                <c:pt idx="3">
                  <c:v>57.495028133756449</c:v>
                </c:pt>
                <c:pt idx="4">
                  <c:v>56.637669002894292</c:v>
                </c:pt>
                <c:pt idx="5">
                  <c:v>55.823182853740221</c:v>
                </c:pt>
                <c:pt idx="6">
                  <c:v>55.04942578592113</c:v>
                </c:pt>
                <c:pt idx="7">
                  <c:v>54.31436110664842</c:v>
                </c:pt>
                <c:pt idx="8">
                  <c:v>53.616053969710421</c:v>
                </c:pt>
                <c:pt idx="9">
                  <c:v>52.952666282546595</c:v>
                </c:pt>
                <c:pt idx="10">
                  <c:v>52.322451867997877</c:v>
                </c:pt>
              </c:numCache>
            </c:numRef>
          </c:val>
          <c:smooth val="0"/>
          <c:extLst>
            <c:ext xmlns:c16="http://schemas.microsoft.com/office/drawing/2014/chart" uri="{C3380CC4-5D6E-409C-BE32-E72D297353CC}">
              <c16:uniqueId val="{00000002-F799-4051-BD30-A9717FD7BBD8}"/>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1058397148726684"/>
          <c:y val="0.50108886236113703"/>
          <c:w val="0.3252988167180636"/>
          <c:h val="0.3713209328363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9265255390361"/>
          <c:y val="4.8279394271582482E-2"/>
          <c:w val="0.84462666038115397"/>
          <c:h val="0.78845538424108053"/>
        </c:manualLayout>
      </c:layout>
      <c:lineChart>
        <c:grouping val="standard"/>
        <c:varyColors val="0"/>
        <c:ser>
          <c:idx val="1"/>
          <c:order val="0"/>
          <c:tx>
            <c:strRef>
              <c:f>[1]Average_45_Year_Old_Man_Pro!$AA$32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[1]Average_45_Year_Old_Man_Pro!$Z$33:$Z$43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8BDE-4D24-A413-F826016AD3C5}"/>
            </c:ext>
          </c:extLst>
        </c:ser>
        <c:ser>
          <c:idx val="0"/>
          <c:order val="1"/>
          <c:tx>
            <c:strRef>
              <c:f>[1]Persona_1.3!$AA$32</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[1]Persona_1.3!$AA$33:$AA$43</c:f>
              <c:numCache>
                <c:formatCode>General</c:formatCode>
                <c:ptCount val="11"/>
                <c:pt idx="0">
                  <c:v>64.5</c:v>
                </c:pt>
                <c:pt idx="1">
                  <c:v>65.790000000000006</c:v>
                </c:pt>
                <c:pt idx="2">
                  <c:v>67.105800000000002</c:v>
                </c:pt>
                <c:pt idx="3">
                  <c:v>68.447916000000006</c:v>
                </c:pt>
                <c:pt idx="4">
                  <c:v>69.816874320000011</c:v>
                </c:pt>
                <c:pt idx="5">
                  <c:v>71.213211806400011</c:v>
                </c:pt>
                <c:pt idx="6">
                  <c:v>72.637476042528007</c:v>
                </c:pt>
                <c:pt idx="7">
                  <c:v>74.090225563378567</c:v>
                </c:pt>
                <c:pt idx="8">
                  <c:v>75.572030074646136</c:v>
                </c:pt>
                <c:pt idx="9">
                  <c:v>77.083470676139058</c:v>
                </c:pt>
                <c:pt idx="10">
                  <c:v>78.625140089661841</c:v>
                </c:pt>
              </c:numCache>
            </c:numRef>
          </c:val>
          <c:smooth val="0"/>
          <c:extLst>
            <c:ext xmlns:c16="http://schemas.microsoft.com/office/drawing/2014/chart" uri="{C3380CC4-5D6E-409C-BE32-E72D297353CC}">
              <c16:uniqueId val="{00000001-8BDE-4D24-A413-F826016AD3C5}"/>
            </c:ext>
          </c:extLst>
        </c:ser>
        <c:ser>
          <c:idx val="2"/>
          <c:order val="2"/>
          <c:tx>
            <c:strRef>
              <c:f>[1]Persona_1.3!$AB$32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[1]Persona_1.3!$AB$33:$AB$43</c:f>
              <c:numCache>
                <c:formatCode>General</c:formatCode>
                <c:ptCount val="11"/>
                <c:pt idx="0" formatCode="0.0">
                  <c:v>64.5</c:v>
                </c:pt>
                <c:pt idx="1">
                  <c:v>63.534009969239399</c:v>
                </c:pt>
                <c:pt idx="2">
                  <c:v>62.600873229710537</c:v>
                </c:pt>
                <c:pt idx="3">
                  <c:v>61.667736490181674</c:v>
                </c:pt>
                <c:pt idx="4">
                  <c:v>60.766335702460339</c:v>
                </c:pt>
                <c:pt idx="5">
                  <c:v>59.895591527801777</c:v>
                </c:pt>
                <c:pt idx="6">
                  <c:v>59.054461335738743</c:v>
                </c:pt>
                <c:pt idx="7">
                  <c:v>58.2419379556341</c:v>
                </c:pt>
                <c:pt idx="8">
                  <c:v>57.45704847069311</c:v>
                </c:pt>
                <c:pt idx="9">
                  <c:v>56.698853052991289</c:v>
                </c:pt>
                <c:pt idx="10">
                  <c:v>55.966443838122963</c:v>
                </c:pt>
              </c:numCache>
            </c:numRef>
          </c:val>
          <c:smooth val="0"/>
          <c:extLst>
            <c:ext xmlns:c16="http://schemas.microsoft.com/office/drawing/2014/chart" uri="{C3380CC4-5D6E-409C-BE32-E72D297353CC}">
              <c16:uniqueId val="{00000002-8BDE-4D24-A413-F826016AD3C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layout>
            <c:manualLayout>
              <c:xMode val="edge"/>
              <c:yMode val="edge"/>
              <c:x val="3.0446814079809884E-2"/>
              <c:y val="0.31789129982506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31018176769800071"/>
          <c:y val="0.5835897060175409"/>
          <c:w val="0.53825421760511061"/>
          <c:h val="0.22059216620819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65495811777908"/>
          <c:y val="0.13844290418608379"/>
          <c:w val="0.8615784538999306"/>
          <c:h val="0.68336186992213865"/>
        </c:manualLayout>
      </c:layout>
      <c:lineChart>
        <c:grouping val="standard"/>
        <c:varyColors val="0"/>
        <c:ser>
          <c:idx val="0"/>
          <c:order val="0"/>
          <c:tx>
            <c:strRef>
              <c:f>Average_45_Year_Old_Woman_P!$O$32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[1]Average_50_Year_Old_Woman_Pro!$N$32:$N$43</c:f>
              <c:strCache>
                <c:ptCount val="12"/>
                <c:pt idx="0">
                  <c:v>Chronological Age</c:v>
                </c:pt>
                <c:pt idx="1">
                  <c:v>50</c:v>
                </c:pt>
                <c:pt idx="2">
                  <c:v>51</c:v>
                </c:pt>
                <c:pt idx="3">
                  <c:v>52</c:v>
                </c:pt>
                <c:pt idx="4">
                  <c:v>53</c:v>
                </c:pt>
                <c:pt idx="5">
                  <c:v>54</c:v>
                </c:pt>
                <c:pt idx="6">
                  <c:v>55</c:v>
                </c:pt>
                <c:pt idx="7">
                  <c:v>56</c:v>
                </c:pt>
                <c:pt idx="8">
                  <c:v>57</c:v>
                </c:pt>
                <c:pt idx="9">
                  <c:v>58</c:v>
                </c:pt>
                <c:pt idx="10">
                  <c:v>59</c:v>
                </c:pt>
                <c:pt idx="11">
                  <c:v>60</c:v>
                </c:pt>
              </c:strCache>
            </c:strRef>
          </c:cat>
          <c:val>
            <c:numRef>
              <c:f>Average_45_Year_Old_Woman_P!$O$33:$O$43</c:f>
              <c:numCache>
                <c:formatCode>General</c:formatCode>
                <c:ptCount val="11"/>
                <c:pt idx="0" formatCode="0.0">
                  <c:v>45.000000000000007</c:v>
                </c:pt>
                <c:pt idx="1">
                  <c:v>45.517500000000005</c:v>
                </c:pt>
                <c:pt idx="2">
                  <c:v>46.040951250000006</c:v>
                </c:pt>
                <c:pt idx="3">
                  <c:v>46.570422189375009</c:v>
                </c:pt>
                <c:pt idx="4">
                  <c:v>47.105982044552825</c:v>
                </c:pt>
                <c:pt idx="5">
                  <c:v>47.647700838065184</c:v>
                </c:pt>
                <c:pt idx="6">
                  <c:v>48.195649397702937</c:v>
                </c:pt>
                <c:pt idx="7">
                  <c:v>48.749899365776521</c:v>
                </c:pt>
                <c:pt idx="8">
                  <c:v>49.310523208482948</c:v>
                </c:pt>
                <c:pt idx="9">
                  <c:v>49.877594225380506</c:v>
                </c:pt>
                <c:pt idx="10">
                  <c:v>50.451186558972381</c:v>
                </c:pt>
              </c:numCache>
            </c:numRef>
          </c:val>
          <c:smooth val="0"/>
          <c:extLst>
            <c:ext xmlns:c16="http://schemas.microsoft.com/office/drawing/2014/chart" uri="{C3380CC4-5D6E-409C-BE32-E72D297353CC}">
              <c16:uniqueId val="{00000000-38CE-4383-B56B-6C26CFF0E453}"/>
            </c:ext>
          </c:extLst>
        </c:ser>
        <c:ser>
          <c:idx val="1"/>
          <c:order val="1"/>
          <c:tx>
            <c:strRef>
              <c:f>[1]Persona_1.4!$O$32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[1]Persona_1.4!$O$33:$O$43</c:f>
              <c:numCache>
                <c:formatCode>General</c:formatCode>
                <c:ptCount val="11"/>
                <c:pt idx="0" formatCode="0.0">
                  <c:v>19</c:v>
                </c:pt>
                <c:pt idx="1">
                  <c:v>19.218499999999999</c:v>
                </c:pt>
                <c:pt idx="2">
                  <c:v>19.439512749999999</c:v>
                </c:pt>
                <c:pt idx="3">
                  <c:v>19.663067146625</c:v>
                </c:pt>
                <c:pt idx="4">
                  <c:v>19.889192418811188</c:v>
                </c:pt>
                <c:pt idx="5">
                  <c:v>20.117918131627516</c:v>
                </c:pt>
                <c:pt idx="6">
                  <c:v>20.34927419014123</c:v>
                </c:pt>
                <c:pt idx="7">
                  <c:v>20.583290843327855</c:v>
                </c:pt>
                <c:pt idx="8">
                  <c:v>20.819998688026125</c:v>
                </c:pt>
                <c:pt idx="9">
                  <c:v>21.059428672938424</c:v>
                </c:pt>
                <c:pt idx="10">
                  <c:v>21.301612102677215</c:v>
                </c:pt>
              </c:numCache>
            </c:numRef>
          </c:val>
          <c:smooth val="0"/>
          <c:extLst>
            <c:ext xmlns:c16="http://schemas.microsoft.com/office/drawing/2014/chart" uri="{C3380CC4-5D6E-409C-BE32-E72D297353CC}">
              <c16:uniqueId val="{00000001-38CE-4383-B56B-6C26CFF0E453}"/>
            </c:ext>
          </c:extLst>
        </c:ser>
        <c:ser>
          <c:idx val="2"/>
          <c:order val="2"/>
          <c:tx>
            <c:strRef>
              <c:f>[1]Persona_1.4!$P$32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[1]Persona_1.4!$P$33:$P$43</c:f>
              <c:numCache>
                <c:formatCode>General</c:formatCode>
                <c:ptCount val="11"/>
                <c:pt idx="0" formatCode="0.0">
                  <c:v>19</c:v>
                </c:pt>
                <c:pt idx="1">
                  <c:v>18.030981014577442</c:v>
                </c:pt>
                <c:pt idx="2">
                  <c:v>17.09198322046808</c:v>
                </c:pt>
                <c:pt idx="3">
                  <c:v>16.152985426358718</c:v>
                </c:pt>
                <c:pt idx="4">
                  <c:v>15.243078736596843</c:v>
                </c:pt>
                <c:pt idx="5">
                  <c:v>14.361361879254593</c:v>
                </c:pt>
                <c:pt idx="6">
                  <c:v>13.50696150472284</c:v>
                </c:pt>
                <c:pt idx="7">
                  <c:v>12.679031320649427</c:v>
                </c:pt>
                <c:pt idx="8">
                  <c:v>11.876751253677897</c:v>
                </c:pt>
                <c:pt idx="9">
                  <c:v>11.099326637156404</c:v>
                </c:pt>
                <c:pt idx="10">
                  <c:v>10.345987424012225</c:v>
                </c:pt>
              </c:numCache>
            </c:numRef>
          </c:val>
          <c:smooth val="0"/>
          <c:extLst>
            <c:ext xmlns:c16="http://schemas.microsoft.com/office/drawing/2014/chart" uri="{C3380CC4-5D6E-409C-BE32-E72D297353CC}">
              <c16:uniqueId val="{00000002-38CE-4383-B56B-6C26CFF0E453}"/>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6817347682993466"/>
          <c:y val="0.20485893870607907"/>
          <c:w val="0.28529065627585237"/>
          <c:h val="0.55054909905107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94017094017094"/>
          <c:y val="5.1474768704372335E-2"/>
          <c:w val="0.79660048166232755"/>
          <c:h val="0.79354748851397838"/>
        </c:manualLayout>
      </c:layout>
      <c:lineChart>
        <c:grouping val="standard"/>
        <c:varyColors val="0"/>
        <c:ser>
          <c:idx val="0"/>
          <c:order val="0"/>
          <c:tx>
            <c:strRef>
              <c:f>[1]Average_50_Year_Old_Woman_Pro!$R$32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84BE-47EA-844F-5D0285B77303}"/>
            </c:ext>
          </c:extLst>
        </c:ser>
        <c:ser>
          <c:idx val="1"/>
          <c:order val="1"/>
          <c:tx>
            <c:strRef>
              <c:f>[1]Persona_1.4!$R$32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[1]Persona_1.4!$R$33:$R$43</c:f>
              <c:numCache>
                <c:formatCode>General</c:formatCode>
                <c:ptCount val="11"/>
                <c:pt idx="0">
                  <c:v>29.999999999999993</c:v>
                </c:pt>
                <c:pt idx="1">
                  <c:v>30.368999999999993</c:v>
                </c:pt>
                <c:pt idx="2">
                  <c:v>30.742538699999994</c:v>
                </c:pt>
                <c:pt idx="3">
                  <c:v>31.120671926009994</c:v>
                </c:pt>
                <c:pt idx="4">
                  <c:v>31.503456190699918</c:v>
                </c:pt>
                <c:pt idx="5">
                  <c:v>31.890948701845527</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1-84BE-47EA-844F-5D0285B77303}"/>
            </c:ext>
          </c:extLst>
        </c:ser>
        <c:ser>
          <c:idx val="2"/>
          <c:order val="2"/>
          <c:tx>
            <c:strRef>
              <c:f>[1]Persona_1.4!$S$32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[1]Persona_1.4!$S$33:$S$43</c:f>
              <c:numCache>
                <c:formatCode>General</c:formatCode>
                <c:ptCount val="11"/>
                <c:pt idx="0" formatCode="0.0">
                  <c:v>29.999999999999993</c:v>
                </c:pt>
                <c:pt idx="1">
                  <c:v>29.030981014577435</c:v>
                </c:pt>
                <c:pt idx="2">
                  <c:v>28.142518280638562</c:v>
                </c:pt>
                <c:pt idx="3">
                  <c:v>27.254055546699689</c:v>
                </c:pt>
                <c:pt idx="4">
                  <c:v>26.416605667163466</c:v>
                </c:pt>
                <c:pt idx="5">
                  <c:v>25.627239637565332</c:v>
                </c:pt>
                <c:pt idx="6">
                  <c:v>24.883196628055799</c:v>
                </c:pt>
                <c:pt idx="7">
                  <c:v>24.181874327320568</c:v>
                </c:pt>
                <c:pt idx="8">
                  <c:v>23.520819840923622</c:v>
                </c:pt>
                <c:pt idx="9">
                  <c:v>22.897721112240099</c:v>
                </c:pt>
                <c:pt idx="10">
                  <c:v>22.310398835973313</c:v>
                </c:pt>
              </c:numCache>
            </c:numRef>
          </c:val>
          <c:smooth val="0"/>
          <c:extLst>
            <c:ext xmlns:c16="http://schemas.microsoft.com/office/drawing/2014/chart" uri="{C3380CC4-5D6E-409C-BE32-E72D297353CC}">
              <c16:uniqueId val="{00000002-84BE-47EA-844F-5D0285B77303}"/>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Chronologicla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2022637423337498"/>
          <c:y val="0.54463710999195403"/>
          <c:w val="0.5471471902784808"/>
          <c:h val="0.37314345740084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13373832702233"/>
          <c:y val="5.1829984295180848E-2"/>
          <c:w val="0.86473697129316773"/>
          <c:h val="0.73932671477666545"/>
        </c:manualLayout>
      </c:layout>
      <c:lineChart>
        <c:grouping val="standard"/>
        <c:varyColors val="0"/>
        <c:ser>
          <c:idx val="0"/>
          <c:order val="0"/>
          <c:tx>
            <c:strRef>
              <c:f>[1]Average_50_Year_Old_Woman_Pro!$U$32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B07D-4953-97B4-E66B981044CE}"/>
            </c:ext>
          </c:extLst>
        </c:ser>
        <c:ser>
          <c:idx val="1"/>
          <c:order val="1"/>
          <c:tx>
            <c:strRef>
              <c:f>[1]Persona_1.4!$U$32</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[1]Persona_1.4!$U$33:$U$43</c:f>
              <c:numCache>
                <c:formatCode>General</c:formatCode>
                <c:ptCount val="11"/>
                <c:pt idx="0">
                  <c:v>43.880460526315787</c:v>
                </c:pt>
                <c:pt idx="1">
                  <c:v>44.121803059210521</c:v>
                </c:pt>
                <c:pt idx="2">
                  <c:v>44.364472976036176</c:v>
                </c:pt>
                <c:pt idx="3">
                  <c:v>44.608477577404372</c:v>
                </c:pt>
                <c:pt idx="4">
                  <c:v>44.853824204080098</c:v>
                </c:pt>
                <c:pt idx="5">
                  <c:v>45.100520237202538</c:v>
                </c:pt>
                <c:pt idx="6">
                  <c:v>45.348573098507153</c:v>
                </c:pt>
                <c:pt idx="7">
                  <c:v>45.597990250548939</c:v>
                </c:pt>
                <c:pt idx="8">
                  <c:v>45.848779196926955</c:v>
                </c:pt>
                <c:pt idx="9">
                  <c:v>46.100947482510051</c:v>
                </c:pt>
                <c:pt idx="10">
                  <c:v>46.354502693663854</c:v>
                </c:pt>
              </c:numCache>
            </c:numRef>
          </c:val>
          <c:smooth val="0"/>
          <c:extLst>
            <c:ext xmlns:c16="http://schemas.microsoft.com/office/drawing/2014/chart" uri="{C3380CC4-5D6E-409C-BE32-E72D297353CC}">
              <c16:uniqueId val="{00000001-B07D-4953-97B4-E66B981044CE}"/>
            </c:ext>
          </c:extLst>
        </c:ser>
        <c:ser>
          <c:idx val="2"/>
          <c:order val="2"/>
          <c:tx>
            <c:strRef>
              <c:f>[1]Persona_1.4!$V$32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[1]Persona_1.4!$V$33:$V$43</c:f>
              <c:numCache>
                <c:formatCode>General</c:formatCode>
                <c:ptCount val="11"/>
                <c:pt idx="0" formatCode="0.0">
                  <c:v>43.880460526315787</c:v>
                </c:pt>
                <c:pt idx="1">
                  <c:v>42.911441540893229</c:v>
                </c:pt>
                <c:pt idx="2">
                  <c:v>41.972443746783867</c:v>
                </c:pt>
                <c:pt idx="3">
                  <c:v>41.033445952674505</c:v>
                </c:pt>
                <c:pt idx="4">
                  <c:v>40.12353926291263</c:v>
                </c:pt>
                <c:pt idx="5">
                  <c:v>39.241822405570382</c:v>
                </c:pt>
                <c:pt idx="6">
                  <c:v>38.387422031038632</c:v>
                </c:pt>
                <c:pt idx="7">
                  <c:v>37.559491846965216</c:v>
                </c:pt>
                <c:pt idx="8">
                  <c:v>36.757211779993689</c:v>
                </c:pt>
                <c:pt idx="9">
                  <c:v>35.979787163472196</c:v>
                </c:pt>
                <c:pt idx="10">
                  <c:v>35.226447950328016</c:v>
                </c:pt>
              </c:numCache>
            </c:numRef>
          </c:val>
          <c:smooth val="0"/>
          <c:extLst>
            <c:ext xmlns:c16="http://schemas.microsoft.com/office/drawing/2014/chart" uri="{C3380CC4-5D6E-409C-BE32-E72D297353CC}">
              <c16:uniqueId val="{00000002-B07D-4953-97B4-E66B981044CE}"/>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011365013292298"/>
          <c:y val="0.44463485460706231"/>
          <c:w val="0.34117944481782114"/>
          <c:h val="0.39545627959514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58819759626919"/>
          <c:y val="4.9881847506514636E-2"/>
          <c:w val="0.86387797960411083"/>
          <c:h val="0.74912465748631196"/>
        </c:manualLayout>
      </c:layout>
      <c:lineChart>
        <c:grouping val="standard"/>
        <c:varyColors val="0"/>
        <c:ser>
          <c:idx val="0"/>
          <c:order val="0"/>
          <c:tx>
            <c:strRef>
              <c:f>[1]Average_50_Year_Old_Woman_Pro!$X$32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8F9D-46D0-9C62-62FF8A675C0D}"/>
            </c:ext>
          </c:extLst>
        </c:ser>
        <c:ser>
          <c:idx val="1"/>
          <c:order val="1"/>
          <c:tx>
            <c:strRef>
              <c:f>[1]Persona_1.4!$X$32</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[1]Persona_1.4!$X$33:$X$43</c:f>
              <c:numCache>
                <c:formatCode>General</c:formatCode>
                <c:ptCount val="11"/>
                <c:pt idx="0">
                  <c:v>34.089285714285708</c:v>
                </c:pt>
                <c:pt idx="1">
                  <c:v>34.426769642857138</c:v>
                </c:pt>
                <c:pt idx="2">
                  <c:v>34.767594662321422</c:v>
                </c:pt>
                <c:pt idx="3">
                  <c:v>35.111793849478403</c:v>
                </c:pt>
                <c:pt idx="4">
                  <c:v>35.45940060858824</c:v>
                </c:pt>
                <c:pt idx="5">
                  <c:v>35.810448674613262</c:v>
                </c:pt>
                <c:pt idx="6">
                  <c:v>36.164972116491931</c:v>
                </c:pt>
                <c:pt idx="7">
                  <c:v>36.523005340445202</c:v>
                </c:pt>
                <c:pt idx="8">
                  <c:v>36.884583093315612</c:v>
                </c:pt>
                <c:pt idx="9">
                  <c:v>37.249740465939439</c:v>
                </c:pt>
                <c:pt idx="10">
                  <c:v>37.61851289655224</c:v>
                </c:pt>
              </c:numCache>
            </c:numRef>
          </c:val>
          <c:smooth val="0"/>
          <c:extLst>
            <c:ext xmlns:c16="http://schemas.microsoft.com/office/drawing/2014/chart" uri="{C3380CC4-5D6E-409C-BE32-E72D297353CC}">
              <c16:uniqueId val="{00000001-8F9D-46D0-9C62-62FF8A675C0D}"/>
            </c:ext>
          </c:extLst>
        </c:ser>
        <c:ser>
          <c:idx val="2"/>
          <c:order val="2"/>
          <c:tx>
            <c:strRef>
              <c:f>[1]Persona_1.4!$Y$32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[1]Persona_1.4!$Y$33:$Y$43</c:f>
              <c:numCache>
                <c:formatCode>General</c:formatCode>
                <c:ptCount val="11"/>
                <c:pt idx="0" formatCode="0.0">
                  <c:v>34.089285714285708</c:v>
                </c:pt>
                <c:pt idx="1">
                  <c:v>33.139291575499286</c:v>
                </c:pt>
                <c:pt idx="2">
                  <c:v>32.236802711770721</c:v>
                </c:pt>
                <c:pt idx="3">
                  <c:v>31.334313848042161</c:v>
                </c:pt>
                <c:pt idx="4">
                  <c:v>30.476954717180007</c:v>
                </c:pt>
                <c:pt idx="5">
                  <c:v>29.662468568025936</c:v>
                </c:pt>
                <c:pt idx="6">
                  <c:v>28.888711500206842</c:v>
                </c:pt>
                <c:pt idx="7">
                  <c:v>28.153646820934135</c:v>
                </c:pt>
                <c:pt idx="8">
                  <c:v>27.45533968399614</c:v>
                </c:pt>
                <c:pt idx="9">
                  <c:v>26.791951996832314</c:v>
                </c:pt>
                <c:pt idx="10">
                  <c:v>26.161737582283596</c:v>
                </c:pt>
              </c:numCache>
            </c:numRef>
          </c:val>
          <c:smooth val="0"/>
          <c:extLst>
            <c:ext xmlns:c16="http://schemas.microsoft.com/office/drawing/2014/chart" uri="{C3380CC4-5D6E-409C-BE32-E72D297353CC}">
              <c16:uniqueId val="{00000002-8F9D-46D0-9C62-62FF8A675C0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6390755791597789"/>
          <c:y val="0.52890719119851404"/>
          <c:w val="0.29958775786447295"/>
          <c:h val="0.47109277031809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84522449960931"/>
          <c:y val="5.0220221242182971E-2"/>
          <c:w val="0.85716495361743905"/>
          <c:h val="0.76168941255642131"/>
        </c:manualLayout>
      </c:layout>
      <c:lineChart>
        <c:grouping val="standard"/>
        <c:varyColors val="0"/>
        <c:ser>
          <c:idx val="1"/>
          <c:order val="0"/>
          <c:tx>
            <c:strRef>
              <c:f>[1]Average_50_Year_Old_Woman_Pro!$AA$32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291A-4C0A-927C-C314E74E2B73}"/>
            </c:ext>
          </c:extLst>
        </c:ser>
        <c:ser>
          <c:idx val="0"/>
          <c:order val="1"/>
          <c:tx>
            <c:strRef>
              <c:f>[1]Persona_1.4!$AA$32</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[1]Persona_1.4!$AA$33:$AA$43</c:f>
              <c:numCache>
                <c:formatCode>General</c:formatCode>
                <c:ptCount val="11"/>
                <c:pt idx="0">
                  <c:v>31.6</c:v>
                </c:pt>
                <c:pt idx="1">
                  <c:v>32.231999999999999</c:v>
                </c:pt>
                <c:pt idx="2">
                  <c:v>32.876640000000002</c:v>
                </c:pt>
                <c:pt idx="3">
                  <c:v>33.5341728</c:v>
                </c:pt>
                <c:pt idx="4">
                  <c:v>34.204856255999999</c:v>
                </c:pt>
                <c:pt idx="5">
                  <c:v>34.888953381119997</c:v>
                </c:pt>
                <c:pt idx="6">
                  <c:v>35.586732448742396</c:v>
                </c:pt>
                <c:pt idx="7">
                  <c:v>36.298467097717243</c:v>
                </c:pt>
                <c:pt idx="8">
                  <c:v>37.024436439671589</c:v>
                </c:pt>
                <c:pt idx="9">
                  <c:v>37.76492516846502</c:v>
                </c:pt>
                <c:pt idx="10">
                  <c:v>38.520223671834323</c:v>
                </c:pt>
              </c:numCache>
            </c:numRef>
          </c:val>
          <c:smooth val="0"/>
          <c:extLst>
            <c:ext xmlns:c16="http://schemas.microsoft.com/office/drawing/2014/chart" uri="{C3380CC4-5D6E-409C-BE32-E72D297353CC}">
              <c16:uniqueId val="{00000001-291A-4C0A-927C-C314E74E2B73}"/>
            </c:ext>
          </c:extLst>
        </c:ser>
        <c:ser>
          <c:idx val="2"/>
          <c:order val="2"/>
          <c:tx>
            <c:strRef>
              <c:f>[1]Persona_1.4!$AB$32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[1]Persona_1.4!$AB$33:$AB$43</c:f>
              <c:numCache>
                <c:formatCode>General</c:formatCode>
                <c:ptCount val="11"/>
                <c:pt idx="0" formatCode="0.0">
                  <c:v>31.6</c:v>
                </c:pt>
                <c:pt idx="1">
                  <c:v>30.634009969239401</c:v>
                </c:pt>
                <c:pt idx="2">
                  <c:v>29.700873229710535</c:v>
                </c:pt>
                <c:pt idx="3">
                  <c:v>28.767736490181669</c:v>
                </c:pt>
                <c:pt idx="4">
                  <c:v>27.866335702460333</c:v>
                </c:pt>
                <c:pt idx="5">
                  <c:v>26.995591527801771</c:v>
                </c:pt>
                <c:pt idx="6">
                  <c:v>26.154461335738734</c:v>
                </c:pt>
                <c:pt idx="7">
                  <c:v>25.341937955634094</c:v>
                </c:pt>
                <c:pt idx="8">
                  <c:v>24.557048470693104</c:v>
                </c:pt>
                <c:pt idx="9">
                  <c:v>23.798853052991287</c:v>
                </c:pt>
                <c:pt idx="10">
                  <c:v>23.066443838122961</c:v>
                </c:pt>
              </c:numCache>
            </c:numRef>
          </c:val>
          <c:smooth val="0"/>
          <c:extLst>
            <c:ext xmlns:c16="http://schemas.microsoft.com/office/drawing/2014/chart" uri="{C3380CC4-5D6E-409C-BE32-E72D297353CC}">
              <c16:uniqueId val="{00000002-291A-4C0A-927C-C314E74E2B73}"/>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1773696714880163"/>
          <c:y val="0.56767848705930779"/>
          <c:w val="0.52484174298689634"/>
          <c:h val="0.22604979173731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02283734734691"/>
          <c:y val="0.19499639073621033"/>
          <c:w val="0.79805023200437586"/>
          <c:h val="0.5918251123256506"/>
        </c:manualLayout>
      </c:layout>
      <c:lineChart>
        <c:grouping val="standard"/>
        <c:varyColors val="0"/>
        <c:ser>
          <c:idx val="0"/>
          <c:order val="0"/>
          <c:tx>
            <c:strRef>
              <c:f>'Average_55_Year_Old_Man_Pro '!$O$32</c:f>
              <c:strCache>
                <c:ptCount val="1"/>
                <c:pt idx="0">
                  <c:v>Vitality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'Average_55_Year_Old_Man_Pro '!$N$32:$N$43</c15:sqref>
                  </c15:fullRef>
                </c:ext>
              </c:extLst>
              <c:f>'Average_55_Year_Old_Man_Pro '!$N$33:$N$43</c:f>
              <c:strCache>
                <c:ptCount val="11"/>
                <c:pt idx="0">
                  <c:v>55</c:v>
                </c:pt>
                <c:pt idx="1">
                  <c:v>56</c:v>
                </c:pt>
                <c:pt idx="2">
                  <c:v>57</c:v>
                </c:pt>
                <c:pt idx="3">
                  <c:v>58</c:v>
                </c:pt>
                <c:pt idx="4">
                  <c:v>59</c:v>
                </c:pt>
                <c:pt idx="5">
                  <c:v>60</c:v>
                </c:pt>
                <c:pt idx="6">
                  <c:v>61</c:v>
                </c:pt>
                <c:pt idx="7">
                  <c:v>62</c:v>
                </c:pt>
                <c:pt idx="8">
                  <c:v>63</c:v>
                </c:pt>
                <c:pt idx="9">
                  <c:v>64</c:v>
                </c:pt>
                <c:pt idx="10">
                  <c:v>65</c:v>
                </c:pt>
              </c:strCache>
            </c:strRef>
          </c:cat>
          <c:val>
            <c:numRef>
              <c:extLst>
                <c:ext xmlns:c15="http://schemas.microsoft.com/office/drawing/2012/chart" uri="{02D57815-91ED-43cb-92C2-25804820EDAC}">
                  <c15:fullRef>
                    <c15:sqref>'Average_55_Year_Old_Man_Pro '!$O$33:$O$43</c15:sqref>
                  </c15:fullRef>
                </c:ext>
              </c:extLst>
              <c:f>'Average_55_Year_Old_Man_Pro '!$O$34:$O$43</c:f>
              <c:numCache>
                <c:formatCode>General</c:formatCode>
                <c:ptCount val="10"/>
                <c:pt idx="0">
                  <c:v>55.632500000000007</c:v>
                </c:pt>
                <c:pt idx="1">
                  <c:v>56.272273750000011</c:v>
                </c:pt>
                <c:pt idx="2">
                  <c:v>56.919404898125009</c:v>
                </c:pt>
                <c:pt idx="3">
                  <c:v>57.573978054453448</c:v>
                </c:pt>
                <c:pt idx="4">
                  <c:v>58.23607880207966</c:v>
                </c:pt>
                <c:pt idx="5">
                  <c:v>58.905793708303577</c:v>
                </c:pt>
                <c:pt idx="6">
                  <c:v>59.583210335949069</c:v>
                </c:pt>
                <c:pt idx="7">
                  <c:v>60.268417254812483</c:v>
                </c:pt>
                <c:pt idx="8">
                  <c:v>60.961504053242827</c:v>
                </c:pt>
                <c:pt idx="9">
                  <c:v>61.662561349855117</c:v>
                </c:pt>
              </c:numCache>
            </c:numRef>
          </c:val>
          <c:smooth val="0"/>
          <c:extLst>
            <c:ext xmlns:c16="http://schemas.microsoft.com/office/drawing/2014/chart" uri="{C3380CC4-5D6E-409C-BE32-E72D297353CC}">
              <c16:uniqueId val="{00000000-2030-4025-8C7C-07FD868F1359}"/>
            </c:ext>
          </c:extLst>
        </c:ser>
        <c:ser>
          <c:idx val="1"/>
          <c:order val="1"/>
          <c:tx>
            <c:strRef>
              <c:f>'Liam 50'!$O$32</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'Liam 50'!$O$33:$O$43</c15:sqref>
                  </c15:fullRef>
                </c:ext>
              </c:extLst>
              <c:f>'Liam 50'!$O$34:$O$43</c:f>
              <c:numCache>
                <c:formatCode>General</c:formatCode>
                <c:ptCount val="10"/>
                <c:pt idx="0">
                  <c:v>12.159989130434804</c:v>
                </c:pt>
                <c:pt idx="1">
                  <c:v>12.299829005434804</c:v>
                </c:pt>
                <c:pt idx="2">
                  <c:v>12.441277038997304</c:v>
                </c:pt>
                <c:pt idx="3">
                  <c:v>12.584351724945773</c:v>
                </c:pt>
                <c:pt idx="4">
                  <c:v>12.729071769782649</c:v>
                </c:pt>
                <c:pt idx="5">
                  <c:v>12.875456095135149</c:v>
                </c:pt>
                <c:pt idx="6">
                  <c:v>13.023523840229204</c:v>
                </c:pt>
                <c:pt idx="7">
                  <c:v>13.17329436439184</c:v>
                </c:pt>
                <c:pt idx="8">
                  <c:v>13.324787249582347</c:v>
                </c:pt>
                <c:pt idx="9">
                  <c:v>13.478022302952544</c:v>
                </c:pt>
              </c:numCache>
            </c:numRef>
          </c:val>
          <c:smooth val="0"/>
          <c:extLst>
            <c:ext xmlns:c16="http://schemas.microsoft.com/office/drawing/2014/chart" uri="{C3380CC4-5D6E-409C-BE32-E72D297353CC}">
              <c16:uniqueId val="{00000001-2030-4025-8C7C-07FD868F1359}"/>
            </c:ext>
          </c:extLst>
        </c:ser>
        <c:ser>
          <c:idx val="2"/>
          <c:order val="2"/>
          <c:tx>
            <c:strRef>
              <c:f>'Liam 50'!$P$32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55</c:v>
              </c:pt>
              <c:pt idx="1">
                <c:v>56</c:v>
              </c:pt>
              <c:pt idx="2">
                <c:v>57</c:v>
              </c:pt>
              <c:pt idx="3">
                <c:v>58</c:v>
              </c:pt>
              <c:pt idx="4">
                <c:v>59</c:v>
              </c:pt>
              <c:pt idx="5">
                <c:v>60</c:v>
              </c:pt>
              <c:pt idx="6">
                <c:v>61</c:v>
              </c:pt>
              <c:pt idx="7">
                <c:v>62</c:v>
              </c:pt>
              <c:pt idx="8">
                <c:v>63</c:v>
              </c:pt>
              <c:pt idx="9">
                <c:v>64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'Liam 50'!$P$33:$P$43</c15:sqref>
                  </c15:fullRef>
                </c:ext>
              </c:extLst>
              <c:f>'Liam 50'!$P$34:$P$43</c:f>
              <c:numCache>
                <c:formatCode>General</c:formatCode>
                <c:ptCount val="10"/>
                <c:pt idx="0">
                  <c:v>11.052720145012245</c:v>
                </c:pt>
                <c:pt idx="1">
                  <c:v>10.113722350902881</c:v>
                </c:pt>
                <c:pt idx="2">
                  <c:v>9.1747245567935174</c:v>
                </c:pt>
                <c:pt idx="3">
                  <c:v>8.2648178670316419</c:v>
                </c:pt>
                <c:pt idx="4">
                  <c:v>7.3831010096893923</c:v>
                </c:pt>
                <c:pt idx="5">
                  <c:v>6.5287006351576391</c:v>
                </c:pt>
                <c:pt idx="6">
                  <c:v>5.7007704510842263</c:v>
                </c:pt>
                <c:pt idx="7">
                  <c:v>4.8984903841126961</c:v>
                </c:pt>
                <c:pt idx="8">
                  <c:v>4.1210657675912028</c:v>
                </c:pt>
                <c:pt idx="9">
                  <c:v>3.3677265544470241</c:v>
                </c:pt>
              </c:numCache>
            </c:numRef>
          </c:val>
          <c:smooth val="0"/>
          <c:extLst>
            <c:ext xmlns:c16="http://schemas.microsoft.com/office/drawing/2014/chart" uri="{C3380CC4-5D6E-409C-BE32-E72D297353CC}">
              <c16:uniqueId val="{00000002-2030-4025-8C7C-07FD868F135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3497803434933269"/>
          <c:y val="0.4301624662077056"/>
          <c:w val="0.31002894917305113"/>
          <c:h val="0.38835112644834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163991054007"/>
          <c:y val="0.17701875024896863"/>
          <c:w val="0.84624544981678462"/>
          <c:h val="0.61144022987037094"/>
        </c:manualLayout>
      </c:layout>
      <c:lineChart>
        <c:grouping val="standard"/>
        <c:varyColors val="0"/>
        <c:ser>
          <c:idx val="0"/>
          <c:order val="0"/>
          <c:tx>
            <c:strRef>
              <c:f>'Average_55_Year_Old_Man_Pro '!$R$32</c:f>
              <c:strCache>
                <c:ptCount val="1"/>
                <c:pt idx="0">
                  <c:v>Strength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'!$Q$33:$Q$43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'!$R$33:$R$43</c:f>
              <c:numCache>
                <c:formatCode>General</c:formatCode>
                <c:ptCount val="11"/>
                <c:pt idx="0">
                  <c:v>55.000000000000007</c:v>
                </c:pt>
                <c:pt idx="1">
                  <c:v>55.676500000000004</c:v>
                </c:pt>
                <c:pt idx="2">
                  <c:v>56.361320950000007</c:v>
                </c:pt>
                <c:pt idx="3">
                  <c:v>57.054565197685008</c:v>
                </c:pt>
                <c:pt idx="4">
                  <c:v>57.756336349616532</c:v>
                </c:pt>
                <c:pt idx="5">
                  <c:v>58.466739286716816</c:v>
                </c:pt>
                <c:pt idx="6">
                  <c:v>59.185880179943432</c:v>
                </c:pt>
                <c:pt idx="7">
                  <c:v>59.913866506156737</c:v>
                </c:pt>
                <c:pt idx="8">
                  <c:v>60.650807064182466</c:v>
                </c:pt>
                <c:pt idx="9">
                  <c:v>61.396811991071907</c:v>
                </c:pt>
                <c:pt idx="10">
                  <c:v>62.151992778562089</c:v>
                </c:pt>
              </c:numCache>
            </c:numRef>
          </c:val>
          <c:smooth val="0"/>
          <c:extLst>
            <c:ext xmlns:c16="http://schemas.microsoft.com/office/drawing/2014/chart" uri="{C3380CC4-5D6E-409C-BE32-E72D297353CC}">
              <c16:uniqueId val="{00000000-DC44-4CDE-9218-302C607BA5B2}"/>
            </c:ext>
          </c:extLst>
        </c:ser>
        <c:ser>
          <c:idx val="1"/>
          <c:order val="1"/>
          <c:tx>
            <c:strRef>
              <c:f>'Liam 50'!$R$32</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'Liam 50'!$R$33:$R$43</c:f>
              <c:numCache>
                <c:formatCode>General</c:formatCode>
                <c:ptCount val="11"/>
                <c:pt idx="0">
                  <c:v>72.708333333333329</c:v>
                </c:pt>
                <c:pt idx="1">
                  <c:v>73.602645833333327</c:v>
                </c:pt>
                <c:pt idx="2">
                  <c:v>74.507958377083327</c:v>
                </c:pt>
                <c:pt idx="3">
                  <c:v>75.424406265121448</c:v>
                </c:pt>
                <c:pt idx="4">
                  <c:v>76.35212646218244</c:v>
                </c:pt>
                <c:pt idx="5">
                  <c:v>77.291257617667284</c:v>
                </c:pt>
                <c:pt idx="6">
                  <c:v>78.241940086364593</c:v>
                </c:pt>
                <c:pt idx="7">
                  <c:v>79.204315949426871</c:v>
                </c:pt>
                <c:pt idx="8">
                  <c:v>80.178529035604825</c:v>
                </c:pt>
                <c:pt idx="9">
                  <c:v>81.164724942742765</c:v>
                </c:pt>
                <c:pt idx="10">
                  <c:v>82.163051059538503</c:v>
                </c:pt>
              </c:numCache>
            </c:numRef>
          </c:val>
          <c:smooth val="0"/>
          <c:extLst>
            <c:ext xmlns:c16="http://schemas.microsoft.com/office/drawing/2014/chart" uri="{C3380CC4-5D6E-409C-BE32-E72D297353CC}">
              <c16:uniqueId val="{00000001-DC44-4CDE-9218-302C607BA5B2}"/>
            </c:ext>
          </c:extLst>
        </c:ser>
        <c:ser>
          <c:idx val="2"/>
          <c:order val="2"/>
          <c:tx>
            <c:strRef>
              <c:f>'Liam 50'!$S$32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'Liam 50'!$S$33:$S$43</c:f>
              <c:numCache>
                <c:formatCode>General</c:formatCode>
                <c:ptCount val="11"/>
                <c:pt idx="0" formatCode="0.0">
                  <c:v>72.708333333333329</c:v>
                </c:pt>
                <c:pt idx="1">
                  <c:v>71.739314347910778</c:v>
                </c:pt>
                <c:pt idx="2">
                  <c:v>70.850851613971912</c:v>
                </c:pt>
                <c:pt idx="3">
                  <c:v>69.962388880033046</c:v>
                </c:pt>
                <c:pt idx="4">
                  <c:v>69.124939000496823</c:v>
                </c:pt>
                <c:pt idx="5">
                  <c:v>68.335572970898681</c:v>
                </c:pt>
                <c:pt idx="6">
                  <c:v>67.591529961389156</c:v>
                </c:pt>
                <c:pt idx="7">
                  <c:v>66.890207660653928</c:v>
                </c:pt>
                <c:pt idx="8">
                  <c:v>66.229153174256979</c:v>
                </c:pt>
                <c:pt idx="9">
                  <c:v>65.606054445573449</c:v>
                </c:pt>
                <c:pt idx="10">
                  <c:v>65.018732169306659</c:v>
                </c:pt>
              </c:numCache>
            </c:numRef>
          </c:val>
          <c:smooth val="0"/>
          <c:extLst>
            <c:ext xmlns:c16="http://schemas.microsoft.com/office/drawing/2014/chart" uri="{C3380CC4-5D6E-409C-BE32-E72D297353CC}">
              <c16:uniqueId val="{00000002-DC44-4CDE-9218-302C607BA5B2}"/>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b"/>
      <c:layout>
        <c:manualLayout>
          <c:xMode val="edge"/>
          <c:yMode val="edge"/>
          <c:x val="0.37749474561139201"/>
          <c:y val="0.54241861450940221"/>
          <c:w val="0.5204539735762207"/>
          <c:h val="0.22755994543451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6943221377857"/>
          <c:y val="5.2869044474333347E-2"/>
          <c:w val="0.86124515981529692"/>
          <c:h val="0.73410087428823578"/>
        </c:manualLayout>
      </c:layout>
      <c:lineChart>
        <c:grouping val="standard"/>
        <c:varyColors val="0"/>
        <c:ser>
          <c:idx val="0"/>
          <c:order val="0"/>
          <c:tx>
            <c:strRef>
              <c:f>'Average_55_Year_Old_Man_Pro '!$U$32</c:f>
              <c:strCache>
                <c:ptCount val="1"/>
                <c:pt idx="0">
                  <c:v>Metabolic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'!$T$33:$T$43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'!$U$33:$U$43</c:f>
              <c:numCache>
                <c:formatCode>General</c:formatCode>
                <c:ptCount val="11"/>
                <c:pt idx="0">
                  <c:v>56.830857142857141</c:v>
                </c:pt>
                <c:pt idx="1">
                  <c:v>57.143426857142856</c:v>
                </c:pt>
                <c:pt idx="2">
                  <c:v>57.457715704857144</c:v>
                </c:pt>
                <c:pt idx="3">
                  <c:v>57.773733141233855</c:v>
                </c:pt>
                <c:pt idx="4">
                  <c:v>58.091488673510639</c:v>
                </c:pt>
                <c:pt idx="5">
                  <c:v>58.410991861214946</c:v>
                </c:pt>
                <c:pt idx="6">
                  <c:v>58.732252316451628</c:v>
                </c:pt>
                <c:pt idx="7">
                  <c:v>59.05527970419211</c:v>
                </c:pt>
                <c:pt idx="8">
                  <c:v>59.380083742565169</c:v>
                </c:pt>
                <c:pt idx="9">
                  <c:v>59.706674203149277</c:v>
                </c:pt>
                <c:pt idx="10">
                  <c:v>60.035060911266598</c:v>
                </c:pt>
              </c:numCache>
            </c:numRef>
          </c:val>
          <c:smooth val="0"/>
          <c:extLst>
            <c:ext xmlns:c16="http://schemas.microsoft.com/office/drawing/2014/chart" uri="{C3380CC4-5D6E-409C-BE32-E72D297353CC}">
              <c16:uniqueId val="{00000000-9878-41BE-B864-A206BCDD7439}"/>
            </c:ext>
          </c:extLst>
        </c:ser>
        <c:ser>
          <c:idx val="1"/>
          <c:order val="1"/>
          <c:tx>
            <c:strRef>
              <c:f>'Liam 50'!$U$32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'Liam 50'!$U$33:$U$43</c:f>
              <c:numCache>
                <c:formatCode>General</c:formatCode>
                <c:ptCount val="11"/>
                <c:pt idx="0">
                  <c:v>46.360142857142854</c:v>
                </c:pt>
                <c:pt idx="1">
                  <c:v>46.615123642857142</c:v>
                </c:pt>
                <c:pt idx="2">
                  <c:v>46.871506822892854</c:v>
                </c:pt>
                <c:pt idx="3">
                  <c:v>47.129300110418768</c:v>
                </c:pt>
                <c:pt idx="4">
                  <c:v>47.388511261026075</c:v>
                </c:pt>
                <c:pt idx="5">
                  <c:v>47.649148072961715</c:v>
                </c:pt>
                <c:pt idx="6">
                  <c:v>47.911218387363007</c:v>
                </c:pt>
                <c:pt idx="7">
                  <c:v>48.174730088493504</c:v>
                </c:pt>
                <c:pt idx="8">
                  <c:v>48.439691103980216</c:v>
                </c:pt>
                <c:pt idx="9">
                  <c:v>48.706109405052111</c:v>
                </c:pt>
                <c:pt idx="10">
                  <c:v>48.973993006779899</c:v>
                </c:pt>
              </c:numCache>
            </c:numRef>
          </c:val>
          <c:smooth val="0"/>
          <c:extLst>
            <c:ext xmlns:c16="http://schemas.microsoft.com/office/drawing/2014/chart" uri="{C3380CC4-5D6E-409C-BE32-E72D297353CC}">
              <c16:uniqueId val="{00000001-9878-41BE-B864-A206BCDD7439}"/>
            </c:ext>
          </c:extLst>
        </c:ser>
        <c:ser>
          <c:idx val="2"/>
          <c:order val="2"/>
          <c:tx>
            <c:strRef>
              <c:f>'Liam 50'!$V$32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'Liam 50'!$V$33:$V$43</c:f>
              <c:numCache>
                <c:formatCode>General</c:formatCode>
                <c:ptCount val="11"/>
                <c:pt idx="0" formatCode="0.0">
                  <c:v>46.360142857142854</c:v>
                </c:pt>
                <c:pt idx="1">
                  <c:v>45.391123871720296</c:v>
                </c:pt>
                <c:pt idx="2">
                  <c:v>44.452126077610934</c:v>
                </c:pt>
                <c:pt idx="3">
                  <c:v>43.513128283501572</c:v>
                </c:pt>
                <c:pt idx="4">
                  <c:v>42.603221593739697</c:v>
                </c:pt>
                <c:pt idx="5">
                  <c:v>41.721504736397449</c:v>
                </c:pt>
                <c:pt idx="6">
                  <c:v>40.8671043618657</c:v>
                </c:pt>
                <c:pt idx="7">
                  <c:v>40.03917417779229</c:v>
                </c:pt>
                <c:pt idx="8">
                  <c:v>39.236894110820764</c:v>
                </c:pt>
                <c:pt idx="9">
                  <c:v>38.45946949429927</c:v>
                </c:pt>
                <c:pt idx="10">
                  <c:v>37.70613028115509</c:v>
                </c:pt>
              </c:numCache>
            </c:numRef>
          </c:val>
          <c:smooth val="0"/>
          <c:extLst>
            <c:ext xmlns:c16="http://schemas.microsoft.com/office/drawing/2014/chart" uri="{C3380CC4-5D6E-409C-BE32-E72D297353CC}">
              <c16:uniqueId val="{00000002-9878-41BE-B864-A206BCDD7439}"/>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372512068928683"/>
          <c:y val="0.49158788031084122"/>
          <c:w val="0.29506332342402236"/>
          <c:h val="0.388270548574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68102326266711"/>
          <c:y val="5.0946169190878555E-2"/>
          <c:w val="0.85011919003399428"/>
          <c:h val="0.74377176699694758"/>
        </c:manualLayout>
      </c:layout>
      <c:lineChart>
        <c:grouping val="standard"/>
        <c:varyColors val="0"/>
        <c:ser>
          <c:idx val="0"/>
          <c:order val="0"/>
          <c:tx>
            <c:strRef>
              <c:f>'Average_55_Year_Old_Man_Pro '!$X$32</c:f>
              <c:strCache>
                <c:ptCount val="1"/>
                <c:pt idx="0">
                  <c:v>Mobility Decline of an average 50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'Average_55_Year_Old_Man_Pro '!$W$33:$W$43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'!$X$33:$X$43</c:f>
              <c:numCache>
                <c:formatCode>General</c:formatCode>
                <c:ptCount val="11"/>
                <c:pt idx="0">
                  <c:v>55</c:v>
                </c:pt>
                <c:pt idx="1">
                  <c:v>55.544499999999999</c:v>
                </c:pt>
                <c:pt idx="2">
                  <c:v>56.09439055</c:v>
                </c:pt>
                <c:pt idx="3">
                  <c:v>56.649725016444997</c:v>
                </c:pt>
                <c:pt idx="4">
                  <c:v>57.210557294107801</c:v>
                </c:pt>
                <c:pt idx="5">
                  <c:v>57.776941811319467</c:v>
                </c:pt>
                <c:pt idx="6">
                  <c:v>58.348933535251533</c:v>
                </c:pt>
                <c:pt idx="7">
                  <c:v>58.92658797725052</c:v>
                </c:pt>
                <c:pt idx="8">
                  <c:v>59.509961198225298</c:v>
                </c:pt>
                <c:pt idx="9">
                  <c:v>60.099109814087726</c:v>
                </c:pt>
                <c:pt idx="10">
                  <c:v>60.694091001247195</c:v>
                </c:pt>
              </c:numCache>
            </c:numRef>
          </c:val>
          <c:smooth val="0"/>
          <c:extLst>
            <c:ext xmlns:c16="http://schemas.microsoft.com/office/drawing/2014/chart" uri="{C3380CC4-5D6E-409C-BE32-E72D297353CC}">
              <c16:uniqueId val="{00000000-0BE2-4FAC-A309-173EA2222914}"/>
            </c:ext>
          </c:extLst>
        </c:ser>
        <c:ser>
          <c:idx val="1"/>
          <c:order val="1"/>
          <c:tx>
            <c:strRef>
              <c:f>'Liam 50'!$U$32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'Liam 50'!$X$33:$X$43</c:f>
              <c:numCache>
                <c:formatCode>General</c:formatCode>
                <c:ptCount val="11"/>
                <c:pt idx="0">
                  <c:v>61.75</c:v>
                </c:pt>
                <c:pt idx="1">
                  <c:v>62.361325000000001</c:v>
                </c:pt>
                <c:pt idx="2">
                  <c:v>62.978702117499999</c:v>
                </c:pt>
                <c:pt idx="3">
                  <c:v>63.602191268463251</c:v>
                </c:pt>
                <c:pt idx="4">
                  <c:v>64.231852962021037</c:v>
                </c:pt>
                <c:pt idx="5">
                  <c:v>64.86774830634505</c:v>
                </c:pt>
                <c:pt idx="6">
                  <c:v>65.509939014577867</c:v>
                </c:pt>
                <c:pt idx="7">
                  <c:v>66.15848741082219</c:v>
                </c:pt>
                <c:pt idx="8">
                  <c:v>66.813456436189327</c:v>
                </c:pt>
                <c:pt idx="9">
                  <c:v>67.474909654907606</c:v>
                </c:pt>
                <c:pt idx="10">
                  <c:v>68.142911260491189</c:v>
                </c:pt>
              </c:numCache>
            </c:numRef>
          </c:val>
          <c:smooth val="0"/>
          <c:extLst>
            <c:ext xmlns:c16="http://schemas.microsoft.com/office/drawing/2014/chart" uri="{C3380CC4-5D6E-409C-BE32-E72D297353CC}">
              <c16:uniqueId val="{00000001-0BE2-4FAC-A309-173EA2222914}"/>
            </c:ext>
          </c:extLst>
        </c:ser>
        <c:ser>
          <c:idx val="2"/>
          <c:order val="2"/>
          <c:tx>
            <c:strRef>
              <c:f>'Liam 50'!$Y$32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'Liam 50'!$Y$33:$Y$43</c:f>
              <c:numCache>
                <c:formatCode>General</c:formatCode>
                <c:ptCount val="11"/>
                <c:pt idx="0" formatCode="0.0">
                  <c:v>61.75</c:v>
                </c:pt>
                <c:pt idx="1">
                  <c:v>60.800005861213577</c:v>
                </c:pt>
                <c:pt idx="2">
                  <c:v>59.897516997485013</c:v>
                </c:pt>
                <c:pt idx="3">
                  <c:v>58.995028133756449</c:v>
                </c:pt>
                <c:pt idx="4">
                  <c:v>58.137669002894292</c:v>
                </c:pt>
                <c:pt idx="5">
                  <c:v>57.323182853740221</c:v>
                </c:pt>
                <c:pt idx="6">
                  <c:v>56.54942578592113</c:v>
                </c:pt>
                <c:pt idx="7">
                  <c:v>55.81436110664842</c:v>
                </c:pt>
                <c:pt idx="8">
                  <c:v>55.116053969710421</c:v>
                </c:pt>
                <c:pt idx="9">
                  <c:v>54.452666282546595</c:v>
                </c:pt>
                <c:pt idx="10">
                  <c:v>53.822451867997877</c:v>
                </c:pt>
              </c:numCache>
            </c:numRef>
          </c:val>
          <c:smooth val="0"/>
          <c:extLst>
            <c:ext xmlns:c16="http://schemas.microsoft.com/office/drawing/2014/chart" uri="{C3380CC4-5D6E-409C-BE32-E72D297353CC}">
              <c16:uniqueId val="{00000002-0BE2-4FAC-A309-173EA2222914}"/>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5835479163231581"/>
          <c:y val="0.4594735440956052"/>
          <c:w val="0.30097764880924577"/>
          <c:h val="0.37378931157806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03285579637324"/>
          <c:y val="5.1225732405134304E-2"/>
          <c:w val="0.8444944155507329"/>
          <c:h val="0.7336335251700955"/>
        </c:manualLayout>
      </c:layout>
      <c:lineChart>
        <c:grouping val="standard"/>
        <c:varyColors val="0"/>
        <c:ser>
          <c:idx val="1"/>
          <c:order val="0"/>
          <c:tx>
            <c:strRef>
              <c:f>'Average_55_Year_Old_Man_Pro '!$AA$32</c:f>
              <c:strCache>
                <c:ptCount val="1"/>
                <c:pt idx="0">
                  <c:v>Cognitive Decline of an average 50 Year old Man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'Average_55_Year_Old_Man_Pro '!$Z$33:$Z$43</c:f>
              <c:numCache>
                <c:formatCode>General</c:formatCode>
                <c:ptCount val="11"/>
                <c:pt idx="0">
                  <c:v>55</c:v>
                </c:pt>
                <c:pt idx="1">
                  <c:v>56</c:v>
                </c:pt>
                <c:pt idx="2">
                  <c:v>57</c:v>
                </c:pt>
                <c:pt idx="3">
                  <c:v>58</c:v>
                </c:pt>
                <c:pt idx="4">
                  <c:v>59</c:v>
                </c:pt>
                <c:pt idx="5">
                  <c:v>60</c:v>
                </c:pt>
                <c:pt idx="6">
                  <c:v>61</c:v>
                </c:pt>
                <c:pt idx="7">
                  <c:v>62</c:v>
                </c:pt>
                <c:pt idx="8">
                  <c:v>63</c:v>
                </c:pt>
                <c:pt idx="9">
                  <c:v>64</c:v>
                </c:pt>
                <c:pt idx="10">
                  <c:v>65</c:v>
                </c:pt>
              </c:numCache>
            </c:numRef>
          </c:cat>
          <c:val>
            <c:numRef>
              <c:f>'Average_55_Year_Old_Man_Pro '!$AA$33:$AA$43</c:f>
              <c:numCache>
                <c:formatCode>General</c:formatCode>
                <c:ptCount val="11"/>
                <c:pt idx="0">
                  <c:v>55</c:v>
                </c:pt>
                <c:pt idx="1">
                  <c:v>56.1</c:v>
                </c:pt>
                <c:pt idx="2">
                  <c:v>57.222000000000001</c:v>
                </c:pt>
                <c:pt idx="3">
                  <c:v>58.366440000000004</c:v>
                </c:pt>
                <c:pt idx="4">
                  <c:v>59.533768800000004</c:v>
                </c:pt>
                <c:pt idx="5">
                  <c:v>60.724444176000006</c:v>
                </c:pt>
                <c:pt idx="6">
                  <c:v>61.938933059520004</c:v>
                </c:pt>
                <c:pt idx="7">
                  <c:v>63.177711720710406</c:v>
                </c:pt>
                <c:pt idx="8">
                  <c:v>64.441265955124607</c:v>
                </c:pt>
                <c:pt idx="9">
                  <c:v>65.730091274227092</c:v>
                </c:pt>
                <c:pt idx="10">
                  <c:v>67.044693099711637</c:v>
                </c:pt>
              </c:numCache>
            </c:numRef>
          </c:val>
          <c:smooth val="0"/>
          <c:extLst>
            <c:ext xmlns:c16="http://schemas.microsoft.com/office/drawing/2014/chart" uri="{C3380CC4-5D6E-409C-BE32-E72D297353CC}">
              <c16:uniqueId val="{00000000-EB92-4325-B75D-E14063C3D326}"/>
            </c:ext>
          </c:extLst>
        </c:ser>
        <c:ser>
          <c:idx val="0"/>
          <c:order val="1"/>
          <c:tx>
            <c:strRef>
              <c:f>'Liam 50'!$AA$32</c:f>
              <c:strCache>
                <c:ptCount val="1"/>
                <c:pt idx="0">
                  <c:v>Cognitive Decline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'Liam 50'!$AA$33:$AA$43</c:f>
              <c:numCache>
                <c:formatCode>General</c:formatCode>
                <c:ptCount val="11"/>
                <c:pt idx="0">
                  <c:v>38</c:v>
                </c:pt>
                <c:pt idx="1">
                  <c:v>38.76</c:v>
                </c:pt>
                <c:pt idx="2">
                  <c:v>39.535199999999996</c:v>
                </c:pt>
                <c:pt idx="3">
                  <c:v>40.325903999999994</c:v>
                </c:pt>
                <c:pt idx="4">
                  <c:v>41.132422079999991</c:v>
                </c:pt>
                <c:pt idx="5">
                  <c:v>41.955070521599993</c:v>
                </c:pt>
                <c:pt idx="6">
                  <c:v>42.794171932031993</c:v>
                </c:pt>
                <c:pt idx="7">
                  <c:v>43.650055370672632</c:v>
                </c:pt>
                <c:pt idx="8">
                  <c:v>44.523056478086083</c:v>
                </c:pt>
                <c:pt idx="9">
                  <c:v>45.413517607647805</c:v>
                </c:pt>
                <c:pt idx="10">
                  <c:v>46.321787959800758</c:v>
                </c:pt>
              </c:numCache>
            </c:numRef>
          </c:val>
          <c:smooth val="0"/>
          <c:extLst>
            <c:ext xmlns:c16="http://schemas.microsoft.com/office/drawing/2014/chart" uri="{C3380CC4-5D6E-409C-BE32-E72D297353CC}">
              <c16:uniqueId val="{00000001-EB92-4325-B75D-E14063C3D326}"/>
            </c:ext>
          </c:extLst>
        </c:ser>
        <c:ser>
          <c:idx val="2"/>
          <c:order val="2"/>
          <c:tx>
            <c:strRef>
              <c:f>'Liam 50'!$AB$32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'Liam 50'!$AB$33:$AB$43</c:f>
              <c:numCache>
                <c:formatCode>General</c:formatCode>
                <c:ptCount val="11"/>
                <c:pt idx="0" formatCode="0.0">
                  <c:v>38</c:v>
                </c:pt>
                <c:pt idx="1">
                  <c:v>37.034009969239399</c:v>
                </c:pt>
                <c:pt idx="2">
                  <c:v>36.100873229710537</c:v>
                </c:pt>
                <c:pt idx="3">
                  <c:v>35.167736490181674</c:v>
                </c:pt>
                <c:pt idx="4">
                  <c:v>34.266335702460339</c:v>
                </c:pt>
                <c:pt idx="5">
                  <c:v>33.395591527801777</c:v>
                </c:pt>
                <c:pt idx="6">
                  <c:v>32.554461335738743</c:v>
                </c:pt>
                <c:pt idx="7">
                  <c:v>31.7419379556341</c:v>
                </c:pt>
                <c:pt idx="8">
                  <c:v>30.95704847069311</c:v>
                </c:pt>
                <c:pt idx="9">
                  <c:v>30.198853052991293</c:v>
                </c:pt>
                <c:pt idx="10">
                  <c:v>29.466443838122967</c:v>
                </c:pt>
              </c:numCache>
            </c:numRef>
          </c:val>
          <c:smooth val="0"/>
          <c:extLst>
            <c:ext xmlns:c16="http://schemas.microsoft.com/office/drawing/2014/chart" uri="{C3380CC4-5D6E-409C-BE32-E72D297353CC}">
              <c16:uniqueId val="{00000002-EB92-4325-B75D-E14063C3D326}"/>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40459167525189083"/>
          <c:y val="0.51626554510302902"/>
          <c:w val="0.45817320862012972"/>
          <c:h val="0.221288990314802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65495811777908"/>
          <c:y val="0.13844290418608379"/>
          <c:w val="0.8615784538999306"/>
          <c:h val="0.68336186992213865"/>
        </c:manualLayout>
      </c:layout>
      <c:lineChart>
        <c:grouping val="standard"/>
        <c:varyColors val="0"/>
        <c:ser>
          <c:idx val="0"/>
          <c:order val="0"/>
          <c:tx>
            <c:strRef>
              <c:f>Average_45_Year_Old_Woman_P!$O$32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[1]Average_50_Year_Old_Woman_Pro!$N$32:$N$43</c:f>
              <c:strCache>
                <c:ptCount val="12"/>
                <c:pt idx="0">
                  <c:v>Chronological Age</c:v>
                </c:pt>
                <c:pt idx="1">
                  <c:v>50</c:v>
                </c:pt>
                <c:pt idx="2">
                  <c:v>51</c:v>
                </c:pt>
                <c:pt idx="3">
                  <c:v>52</c:v>
                </c:pt>
                <c:pt idx="4">
                  <c:v>53</c:v>
                </c:pt>
                <c:pt idx="5">
                  <c:v>54</c:v>
                </c:pt>
                <c:pt idx="6">
                  <c:v>55</c:v>
                </c:pt>
                <c:pt idx="7">
                  <c:v>56</c:v>
                </c:pt>
                <c:pt idx="8">
                  <c:v>57</c:v>
                </c:pt>
                <c:pt idx="9">
                  <c:v>58</c:v>
                </c:pt>
                <c:pt idx="10">
                  <c:v>59</c:v>
                </c:pt>
                <c:pt idx="11">
                  <c:v>60</c:v>
                </c:pt>
              </c:strCache>
            </c:strRef>
          </c:cat>
          <c:val>
            <c:numRef>
              <c:f>Average_45_Year_Old_Woman_P!$O$33:$O$43</c:f>
              <c:numCache>
                <c:formatCode>General</c:formatCode>
                <c:ptCount val="11"/>
                <c:pt idx="0" formatCode="0.0">
                  <c:v>45.000000000000007</c:v>
                </c:pt>
                <c:pt idx="1">
                  <c:v>45.517500000000005</c:v>
                </c:pt>
                <c:pt idx="2">
                  <c:v>46.040951250000006</c:v>
                </c:pt>
                <c:pt idx="3">
                  <c:v>46.570422189375009</c:v>
                </c:pt>
                <c:pt idx="4">
                  <c:v>47.105982044552825</c:v>
                </c:pt>
                <c:pt idx="5">
                  <c:v>47.647700838065184</c:v>
                </c:pt>
                <c:pt idx="6">
                  <c:v>48.195649397702937</c:v>
                </c:pt>
                <c:pt idx="7">
                  <c:v>48.749899365776521</c:v>
                </c:pt>
                <c:pt idx="8">
                  <c:v>49.310523208482948</c:v>
                </c:pt>
                <c:pt idx="9">
                  <c:v>49.877594225380506</c:v>
                </c:pt>
                <c:pt idx="10">
                  <c:v>50.451186558972381</c:v>
                </c:pt>
              </c:numCache>
            </c:numRef>
          </c:val>
          <c:smooth val="0"/>
          <c:extLst>
            <c:ext xmlns:c16="http://schemas.microsoft.com/office/drawing/2014/chart" uri="{C3380CC4-5D6E-409C-BE32-E72D297353CC}">
              <c16:uniqueId val="{00000000-489F-4C1D-9882-3A3FA8050FBC}"/>
            </c:ext>
          </c:extLst>
        </c:ser>
        <c:ser>
          <c:idx val="1"/>
          <c:order val="1"/>
          <c:tx>
            <c:strRef>
              <c:f>[1]Persona_1.4!$O$32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[1]Persona_1.4!$O$33:$O$43</c:f>
              <c:numCache>
                <c:formatCode>General</c:formatCode>
                <c:ptCount val="11"/>
                <c:pt idx="0" formatCode="0.0">
                  <c:v>19</c:v>
                </c:pt>
                <c:pt idx="1">
                  <c:v>19.218499999999999</c:v>
                </c:pt>
                <c:pt idx="2">
                  <c:v>19.439512749999999</c:v>
                </c:pt>
                <c:pt idx="3">
                  <c:v>19.663067146625</c:v>
                </c:pt>
                <c:pt idx="4">
                  <c:v>19.889192418811188</c:v>
                </c:pt>
                <c:pt idx="5">
                  <c:v>20.117918131627516</c:v>
                </c:pt>
                <c:pt idx="6">
                  <c:v>20.34927419014123</c:v>
                </c:pt>
                <c:pt idx="7">
                  <c:v>20.583290843327855</c:v>
                </c:pt>
                <c:pt idx="8">
                  <c:v>20.819998688026125</c:v>
                </c:pt>
                <c:pt idx="9">
                  <c:v>21.059428672938424</c:v>
                </c:pt>
                <c:pt idx="10">
                  <c:v>21.301612102677215</c:v>
                </c:pt>
              </c:numCache>
            </c:numRef>
          </c:val>
          <c:smooth val="0"/>
          <c:extLst>
            <c:ext xmlns:c16="http://schemas.microsoft.com/office/drawing/2014/chart" uri="{C3380CC4-5D6E-409C-BE32-E72D297353CC}">
              <c16:uniqueId val="{00000001-489F-4C1D-9882-3A3FA8050FBC}"/>
            </c:ext>
          </c:extLst>
        </c:ser>
        <c:ser>
          <c:idx val="2"/>
          <c:order val="2"/>
          <c:tx>
            <c:strRef>
              <c:f>[1]Persona_1.4!$P$32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[1]Persona_1.4!$P$33:$P$43</c:f>
              <c:numCache>
                <c:formatCode>General</c:formatCode>
                <c:ptCount val="11"/>
                <c:pt idx="0" formatCode="0.0">
                  <c:v>19</c:v>
                </c:pt>
                <c:pt idx="1">
                  <c:v>18.030981014577442</c:v>
                </c:pt>
                <c:pt idx="2">
                  <c:v>17.09198322046808</c:v>
                </c:pt>
                <c:pt idx="3">
                  <c:v>16.152985426358718</c:v>
                </c:pt>
                <c:pt idx="4">
                  <c:v>15.243078736596843</c:v>
                </c:pt>
                <c:pt idx="5">
                  <c:v>14.361361879254593</c:v>
                </c:pt>
                <c:pt idx="6">
                  <c:v>13.50696150472284</c:v>
                </c:pt>
                <c:pt idx="7">
                  <c:v>12.679031320649427</c:v>
                </c:pt>
                <c:pt idx="8">
                  <c:v>11.876751253677897</c:v>
                </c:pt>
                <c:pt idx="9">
                  <c:v>11.099326637156404</c:v>
                </c:pt>
                <c:pt idx="10">
                  <c:v>10.345987424012225</c:v>
                </c:pt>
              </c:numCache>
            </c:numRef>
          </c:val>
          <c:smooth val="0"/>
          <c:extLst>
            <c:ext xmlns:c16="http://schemas.microsoft.com/office/drawing/2014/chart" uri="{C3380CC4-5D6E-409C-BE32-E72D297353CC}">
              <c16:uniqueId val="{00000002-489F-4C1D-9882-3A3FA8050FBC}"/>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6817347682993466"/>
          <c:y val="0.20485893870607907"/>
          <c:w val="0.28529065627585237"/>
          <c:h val="0.55054909905107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94017094017094"/>
          <c:y val="5.1474768704372335E-2"/>
          <c:w val="0.79660048166232755"/>
          <c:h val="0.79354748851397838"/>
        </c:manualLayout>
      </c:layout>
      <c:lineChart>
        <c:grouping val="standard"/>
        <c:varyColors val="0"/>
        <c:ser>
          <c:idx val="0"/>
          <c:order val="0"/>
          <c:tx>
            <c:strRef>
              <c:f>[1]Average_50_Year_Old_Woman_Pro!$R$32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6A15-4399-9D06-E4B3E8312984}"/>
            </c:ext>
          </c:extLst>
        </c:ser>
        <c:ser>
          <c:idx val="1"/>
          <c:order val="1"/>
          <c:tx>
            <c:strRef>
              <c:f>[1]Persona_1.4!$R$32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[1]Persona_1.4!$R$33:$R$43</c:f>
              <c:numCache>
                <c:formatCode>General</c:formatCode>
                <c:ptCount val="11"/>
                <c:pt idx="0">
                  <c:v>29.999999999999993</c:v>
                </c:pt>
                <c:pt idx="1">
                  <c:v>30.368999999999993</c:v>
                </c:pt>
                <c:pt idx="2">
                  <c:v>30.742538699999994</c:v>
                </c:pt>
                <c:pt idx="3">
                  <c:v>31.120671926009994</c:v>
                </c:pt>
                <c:pt idx="4">
                  <c:v>31.503456190699918</c:v>
                </c:pt>
                <c:pt idx="5">
                  <c:v>31.890948701845527</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1-6A15-4399-9D06-E4B3E8312984}"/>
            </c:ext>
          </c:extLst>
        </c:ser>
        <c:ser>
          <c:idx val="2"/>
          <c:order val="2"/>
          <c:tx>
            <c:strRef>
              <c:f>[1]Persona_1.4!$S$32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[1]Persona_1.4!$S$33:$S$43</c:f>
              <c:numCache>
                <c:formatCode>General</c:formatCode>
                <c:ptCount val="11"/>
                <c:pt idx="0" formatCode="0.0">
                  <c:v>29.999999999999993</c:v>
                </c:pt>
                <c:pt idx="1">
                  <c:v>29.030981014577435</c:v>
                </c:pt>
                <c:pt idx="2">
                  <c:v>28.142518280638562</c:v>
                </c:pt>
                <c:pt idx="3">
                  <c:v>27.254055546699689</c:v>
                </c:pt>
                <c:pt idx="4">
                  <c:v>26.416605667163466</c:v>
                </c:pt>
                <c:pt idx="5">
                  <c:v>25.627239637565332</c:v>
                </c:pt>
                <c:pt idx="6">
                  <c:v>24.883196628055799</c:v>
                </c:pt>
                <c:pt idx="7">
                  <c:v>24.181874327320568</c:v>
                </c:pt>
                <c:pt idx="8">
                  <c:v>23.520819840923622</c:v>
                </c:pt>
                <c:pt idx="9">
                  <c:v>22.897721112240099</c:v>
                </c:pt>
                <c:pt idx="10">
                  <c:v>22.310398835973313</c:v>
                </c:pt>
              </c:numCache>
            </c:numRef>
          </c:val>
          <c:smooth val="0"/>
          <c:extLst>
            <c:ext xmlns:c16="http://schemas.microsoft.com/office/drawing/2014/chart" uri="{C3380CC4-5D6E-409C-BE32-E72D297353CC}">
              <c16:uniqueId val="{00000002-6A15-4399-9D06-E4B3E831298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Chronologicla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2022637423337498"/>
          <c:y val="0.54463710999195403"/>
          <c:w val="0.5471471902784808"/>
          <c:h val="0.37314345740084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13373832702233"/>
          <c:y val="5.1829984295180848E-2"/>
          <c:w val="0.86473697129316773"/>
          <c:h val="0.73932671477666545"/>
        </c:manualLayout>
      </c:layout>
      <c:lineChart>
        <c:grouping val="standard"/>
        <c:varyColors val="0"/>
        <c:ser>
          <c:idx val="0"/>
          <c:order val="0"/>
          <c:tx>
            <c:strRef>
              <c:f>[1]Average_50_Year_Old_Woman_Pro!$U$32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5164-4E3B-BF48-F9B95135E02D}"/>
            </c:ext>
          </c:extLst>
        </c:ser>
        <c:ser>
          <c:idx val="1"/>
          <c:order val="1"/>
          <c:tx>
            <c:strRef>
              <c:f>[1]Persona_1.4!$U$32</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[1]Persona_1.4!$U$33:$U$43</c:f>
              <c:numCache>
                <c:formatCode>General</c:formatCode>
                <c:ptCount val="11"/>
                <c:pt idx="0">
                  <c:v>43.880460526315787</c:v>
                </c:pt>
                <c:pt idx="1">
                  <c:v>44.121803059210521</c:v>
                </c:pt>
                <c:pt idx="2">
                  <c:v>44.364472976036176</c:v>
                </c:pt>
                <c:pt idx="3">
                  <c:v>44.608477577404372</c:v>
                </c:pt>
                <c:pt idx="4">
                  <c:v>44.853824204080098</c:v>
                </c:pt>
                <c:pt idx="5">
                  <c:v>45.100520237202538</c:v>
                </c:pt>
                <c:pt idx="6">
                  <c:v>45.348573098507153</c:v>
                </c:pt>
                <c:pt idx="7">
                  <c:v>45.597990250548939</c:v>
                </c:pt>
                <c:pt idx="8">
                  <c:v>45.848779196926955</c:v>
                </c:pt>
                <c:pt idx="9">
                  <c:v>46.100947482510051</c:v>
                </c:pt>
                <c:pt idx="10">
                  <c:v>46.354502693663854</c:v>
                </c:pt>
              </c:numCache>
            </c:numRef>
          </c:val>
          <c:smooth val="0"/>
          <c:extLst>
            <c:ext xmlns:c16="http://schemas.microsoft.com/office/drawing/2014/chart" uri="{C3380CC4-5D6E-409C-BE32-E72D297353CC}">
              <c16:uniqueId val="{00000001-5164-4E3B-BF48-F9B95135E02D}"/>
            </c:ext>
          </c:extLst>
        </c:ser>
        <c:ser>
          <c:idx val="2"/>
          <c:order val="2"/>
          <c:tx>
            <c:strRef>
              <c:f>[1]Persona_1.4!$V$32</c:f>
              <c:strCache>
                <c:ptCount val="1"/>
                <c:pt idx="0">
                  <c:v>Metabolic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[1]Persona_1.4!$V$33:$V$43</c:f>
              <c:numCache>
                <c:formatCode>General</c:formatCode>
                <c:ptCount val="11"/>
                <c:pt idx="0" formatCode="0.0">
                  <c:v>43.880460526315787</c:v>
                </c:pt>
                <c:pt idx="1">
                  <c:v>42.911441540893229</c:v>
                </c:pt>
                <c:pt idx="2">
                  <c:v>41.972443746783867</c:v>
                </c:pt>
                <c:pt idx="3">
                  <c:v>41.033445952674505</c:v>
                </c:pt>
                <c:pt idx="4">
                  <c:v>40.12353926291263</c:v>
                </c:pt>
                <c:pt idx="5">
                  <c:v>39.241822405570382</c:v>
                </c:pt>
                <c:pt idx="6">
                  <c:v>38.387422031038632</c:v>
                </c:pt>
                <c:pt idx="7">
                  <c:v>37.559491846965216</c:v>
                </c:pt>
                <c:pt idx="8">
                  <c:v>36.757211779993689</c:v>
                </c:pt>
                <c:pt idx="9">
                  <c:v>35.979787163472196</c:v>
                </c:pt>
                <c:pt idx="10">
                  <c:v>35.226447950328016</c:v>
                </c:pt>
              </c:numCache>
            </c:numRef>
          </c:val>
          <c:smooth val="0"/>
          <c:extLst>
            <c:ext xmlns:c16="http://schemas.microsoft.com/office/drawing/2014/chart" uri="{C3380CC4-5D6E-409C-BE32-E72D297353CC}">
              <c16:uniqueId val="{00000002-5164-4E3B-BF48-F9B95135E02D}"/>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011365013292298"/>
          <c:y val="0.44463485460706231"/>
          <c:w val="0.34117944481782114"/>
          <c:h val="0.39545627959514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58819759626919"/>
          <c:y val="4.9881847506514636E-2"/>
          <c:w val="0.86387797960411083"/>
          <c:h val="0.74912465748631196"/>
        </c:manualLayout>
      </c:layout>
      <c:lineChart>
        <c:grouping val="standard"/>
        <c:varyColors val="0"/>
        <c:ser>
          <c:idx val="0"/>
          <c:order val="0"/>
          <c:tx>
            <c:strRef>
              <c:f>[1]Average_50_Year_Old_Woman_Pro!$X$32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1253-437E-A8B7-AAC9BA0BAE6D}"/>
            </c:ext>
          </c:extLst>
        </c:ser>
        <c:ser>
          <c:idx val="1"/>
          <c:order val="1"/>
          <c:tx>
            <c:strRef>
              <c:f>[1]Persona_1.4!$X$32</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[1]Persona_1.4!$X$33:$X$43</c:f>
              <c:numCache>
                <c:formatCode>General</c:formatCode>
                <c:ptCount val="11"/>
                <c:pt idx="0">
                  <c:v>34.089285714285708</c:v>
                </c:pt>
                <c:pt idx="1">
                  <c:v>34.426769642857138</c:v>
                </c:pt>
                <c:pt idx="2">
                  <c:v>34.767594662321422</c:v>
                </c:pt>
                <c:pt idx="3">
                  <c:v>35.111793849478403</c:v>
                </c:pt>
                <c:pt idx="4">
                  <c:v>35.45940060858824</c:v>
                </c:pt>
                <c:pt idx="5">
                  <c:v>35.810448674613262</c:v>
                </c:pt>
                <c:pt idx="6">
                  <c:v>36.164972116491931</c:v>
                </c:pt>
                <c:pt idx="7">
                  <c:v>36.523005340445202</c:v>
                </c:pt>
                <c:pt idx="8">
                  <c:v>36.884583093315612</c:v>
                </c:pt>
                <c:pt idx="9">
                  <c:v>37.249740465939439</c:v>
                </c:pt>
                <c:pt idx="10">
                  <c:v>37.61851289655224</c:v>
                </c:pt>
              </c:numCache>
            </c:numRef>
          </c:val>
          <c:smooth val="0"/>
          <c:extLst>
            <c:ext xmlns:c16="http://schemas.microsoft.com/office/drawing/2014/chart" uri="{C3380CC4-5D6E-409C-BE32-E72D297353CC}">
              <c16:uniqueId val="{00000001-1253-437E-A8B7-AAC9BA0BAE6D}"/>
            </c:ext>
          </c:extLst>
        </c:ser>
        <c:ser>
          <c:idx val="2"/>
          <c:order val="2"/>
          <c:tx>
            <c:strRef>
              <c:f>[1]Persona_1.4!$Y$32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[1]Persona_1.4!$Y$33:$Y$43</c:f>
              <c:numCache>
                <c:formatCode>General</c:formatCode>
                <c:ptCount val="11"/>
                <c:pt idx="0" formatCode="0.0">
                  <c:v>34.089285714285708</c:v>
                </c:pt>
                <c:pt idx="1">
                  <c:v>33.139291575499286</c:v>
                </c:pt>
                <c:pt idx="2">
                  <c:v>32.236802711770721</c:v>
                </c:pt>
                <c:pt idx="3">
                  <c:v>31.334313848042161</c:v>
                </c:pt>
                <c:pt idx="4">
                  <c:v>30.476954717180007</c:v>
                </c:pt>
                <c:pt idx="5">
                  <c:v>29.662468568025936</c:v>
                </c:pt>
                <c:pt idx="6">
                  <c:v>28.888711500206842</c:v>
                </c:pt>
                <c:pt idx="7">
                  <c:v>28.153646820934135</c:v>
                </c:pt>
                <c:pt idx="8">
                  <c:v>27.45533968399614</c:v>
                </c:pt>
                <c:pt idx="9">
                  <c:v>26.791951996832314</c:v>
                </c:pt>
                <c:pt idx="10">
                  <c:v>26.161737582283596</c:v>
                </c:pt>
              </c:numCache>
            </c:numRef>
          </c:val>
          <c:smooth val="0"/>
          <c:extLst>
            <c:ext xmlns:c16="http://schemas.microsoft.com/office/drawing/2014/chart" uri="{C3380CC4-5D6E-409C-BE32-E72D297353CC}">
              <c16:uniqueId val="{00000002-1253-437E-A8B7-AAC9BA0BAE6D}"/>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6390755791597789"/>
          <c:y val="0.52890719119851404"/>
          <c:w val="0.29958775786447295"/>
          <c:h val="0.47109277031809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84522449960931"/>
          <c:y val="5.0220221242182971E-2"/>
          <c:w val="0.85716495361743905"/>
          <c:h val="0.76168941255642131"/>
        </c:manualLayout>
      </c:layout>
      <c:lineChart>
        <c:grouping val="standard"/>
        <c:varyColors val="0"/>
        <c:ser>
          <c:idx val="1"/>
          <c:order val="0"/>
          <c:tx>
            <c:strRef>
              <c:f>[1]Average_50_Year_Old_Woman_Pro!$AA$32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[1]Average_50_Year_Old_Woman_Pro!$AA$33:$AA$43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DFA6-4CC6-A998-6619E68F3D11}"/>
            </c:ext>
          </c:extLst>
        </c:ser>
        <c:ser>
          <c:idx val="0"/>
          <c:order val="1"/>
          <c:tx>
            <c:strRef>
              <c:f>[1]Persona_1.4!$AA$32</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[1]Persona_1.4!$AA$33:$AA$43</c:f>
              <c:numCache>
                <c:formatCode>General</c:formatCode>
                <c:ptCount val="11"/>
                <c:pt idx="0">
                  <c:v>31.6</c:v>
                </c:pt>
                <c:pt idx="1">
                  <c:v>32.231999999999999</c:v>
                </c:pt>
                <c:pt idx="2">
                  <c:v>32.876640000000002</c:v>
                </c:pt>
                <c:pt idx="3">
                  <c:v>33.5341728</c:v>
                </c:pt>
                <c:pt idx="4">
                  <c:v>34.204856255999999</c:v>
                </c:pt>
                <c:pt idx="5">
                  <c:v>34.888953381119997</c:v>
                </c:pt>
                <c:pt idx="6">
                  <c:v>35.586732448742396</c:v>
                </c:pt>
                <c:pt idx="7">
                  <c:v>36.298467097717243</c:v>
                </c:pt>
                <c:pt idx="8">
                  <c:v>37.024436439671589</c:v>
                </c:pt>
                <c:pt idx="9">
                  <c:v>37.76492516846502</c:v>
                </c:pt>
                <c:pt idx="10">
                  <c:v>38.520223671834323</c:v>
                </c:pt>
              </c:numCache>
            </c:numRef>
          </c:val>
          <c:smooth val="0"/>
          <c:extLst>
            <c:ext xmlns:c16="http://schemas.microsoft.com/office/drawing/2014/chart" uri="{C3380CC4-5D6E-409C-BE32-E72D297353CC}">
              <c16:uniqueId val="{00000001-DFA6-4CC6-A998-6619E68F3D11}"/>
            </c:ext>
          </c:extLst>
        </c:ser>
        <c:ser>
          <c:idx val="2"/>
          <c:order val="2"/>
          <c:tx>
            <c:strRef>
              <c:f>[1]Persona_1.4!$AB$32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[1]Persona_1.4!$AB$33:$AB$43</c:f>
              <c:numCache>
                <c:formatCode>General</c:formatCode>
                <c:ptCount val="11"/>
                <c:pt idx="0" formatCode="0.0">
                  <c:v>31.6</c:v>
                </c:pt>
                <c:pt idx="1">
                  <c:v>30.634009969239401</c:v>
                </c:pt>
                <c:pt idx="2">
                  <c:v>29.700873229710535</c:v>
                </c:pt>
                <c:pt idx="3">
                  <c:v>28.767736490181669</c:v>
                </c:pt>
                <c:pt idx="4">
                  <c:v>27.866335702460333</c:v>
                </c:pt>
                <c:pt idx="5">
                  <c:v>26.995591527801771</c:v>
                </c:pt>
                <c:pt idx="6">
                  <c:v>26.154461335738734</c:v>
                </c:pt>
                <c:pt idx="7">
                  <c:v>25.341937955634094</c:v>
                </c:pt>
                <c:pt idx="8">
                  <c:v>24.557048470693104</c:v>
                </c:pt>
                <c:pt idx="9">
                  <c:v>23.798853052991287</c:v>
                </c:pt>
                <c:pt idx="10">
                  <c:v>23.066443838122961</c:v>
                </c:pt>
              </c:numCache>
            </c:numRef>
          </c:val>
          <c:smooth val="0"/>
          <c:extLst>
            <c:ext xmlns:c16="http://schemas.microsoft.com/office/drawing/2014/chart" uri="{C3380CC4-5D6E-409C-BE32-E72D297353CC}">
              <c16:uniqueId val="{00000002-DFA6-4CC6-A998-6619E68F3D11}"/>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1773696714880163"/>
          <c:y val="0.56767848705930779"/>
          <c:w val="0.52484174298689634"/>
          <c:h val="0.22604979173731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51931614777317"/>
          <c:y val="0.19499652536483669"/>
          <c:w val="0.81448068385222683"/>
          <c:h val="0.62793699888980303"/>
        </c:manualLayout>
      </c:layout>
      <c:lineChart>
        <c:grouping val="standard"/>
        <c:varyColors val="0"/>
        <c:ser>
          <c:idx val="0"/>
          <c:order val="0"/>
          <c:tx>
            <c:strRef>
              <c:f>[1]Average_45_Year_Old_Man_Pro!$O$32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[1]Average_45_Year_Old_Man_Pro!$N$32:$N$43</c15:sqref>
                  </c15:fullRef>
                </c:ext>
              </c:extLst>
              <c:f>[1]Average_45_Year_Old_Man_Pro!$N$33:$N$43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[1]Average_45_Year_Old_Man_Pro!$O$33:$O$43</c15:sqref>
                  </c15:fullRef>
                </c:ext>
              </c:extLst>
              <c:f>[1]Average_45_Year_Old_Man_Pro!$O$34:$O$43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2059-413D-B4DA-6FD92E0F4346}"/>
            </c:ext>
          </c:extLst>
        </c:ser>
        <c:ser>
          <c:idx val="1"/>
          <c:order val="1"/>
          <c:tx>
            <c:strRef>
              <c:f>[1]Persona_1.3!$O$32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[1]Persona_1.3!$O$33:$O$43</c15:sqref>
                  </c15:fullRef>
                </c:ext>
              </c:extLst>
              <c:f>[1]Persona_1.3!$O$34:$O$43</c:f>
              <c:numCache>
                <c:formatCode>General</c:formatCode>
                <c:ptCount val="10"/>
                <c:pt idx="0">
                  <c:v>80.337427215189877</c:v>
                </c:pt>
                <c:pt idx="1">
                  <c:v>81.261307628164559</c:v>
                </c:pt>
                <c:pt idx="2">
                  <c:v>82.195812665888454</c:v>
                </c:pt>
                <c:pt idx="3">
                  <c:v>83.141064511546176</c:v>
                </c:pt>
                <c:pt idx="4">
                  <c:v>84.097186753428957</c:v>
                </c:pt>
                <c:pt idx="5">
                  <c:v>85.064304401093395</c:v>
                </c:pt>
                <c:pt idx="6">
                  <c:v>86.042543901705969</c:v>
                </c:pt>
                <c:pt idx="7">
                  <c:v>87.032033156575594</c:v>
                </c:pt>
                <c:pt idx="8">
                  <c:v>88.032901537876214</c:v>
                </c:pt>
                <c:pt idx="9">
                  <c:v>89.045279905561785</c:v>
                </c:pt>
              </c:numCache>
            </c:numRef>
          </c:val>
          <c:smooth val="0"/>
          <c:extLst>
            <c:ext xmlns:c16="http://schemas.microsoft.com/office/drawing/2014/chart" uri="{C3380CC4-5D6E-409C-BE32-E72D297353CC}">
              <c16:uniqueId val="{00000001-2059-413D-B4DA-6FD92E0F4346}"/>
            </c:ext>
          </c:extLst>
        </c:ser>
        <c:ser>
          <c:idx val="2"/>
          <c:order val="2"/>
          <c:tx>
            <c:strRef>
              <c:f>[1]Persona_1.3!$P$32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[1]Persona_1.3!$P$33:$P$43</c15:sqref>
                  </c15:fullRef>
                </c:ext>
              </c:extLst>
              <c:f>[1]Persona_1.3!$P$34:$P$43</c:f>
              <c:numCache>
                <c:formatCode>General</c:formatCode>
                <c:ptCount val="10"/>
                <c:pt idx="0">
                  <c:v>78.455031647488838</c:v>
                </c:pt>
                <c:pt idx="1">
                  <c:v>77.516033853379469</c:v>
                </c:pt>
                <c:pt idx="2">
                  <c:v>76.5770360592701</c:v>
                </c:pt>
                <c:pt idx="3">
                  <c:v>75.667129369508231</c:v>
                </c:pt>
                <c:pt idx="4">
                  <c:v>74.785412512165976</c:v>
                </c:pt>
                <c:pt idx="5">
                  <c:v>73.931012137634227</c:v>
                </c:pt>
                <c:pt idx="6">
                  <c:v>73.103081953560817</c:v>
                </c:pt>
                <c:pt idx="7">
                  <c:v>72.300801886589284</c:v>
                </c:pt>
                <c:pt idx="8">
                  <c:v>71.523377270067783</c:v>
                </c:pt>
                <c:pt idx="9">
                  <c:v>70.77003805692361</c:v>
                </c:pt>
              </c:numCache>
            </c:numRef>
          </c:val>
          <c:smooth val="0"/>
          <c:extLst>
            <c:ext xmlns:c16="http://schemas.microsoft.com/office/drawing/2014/chart" uri="{C3380CC4-5D6E-409C-BE32-E72D297353CC}">
              <c16:uniqueId val="{00000002-2059-413D-B4DA-6FD92E0F4346}"/>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0772984498407933"/>
          <c:y val="0.59179251394982635"/>
          <c:w val="0.53684219715371306"/>
          <c:h val="0.20734142356852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808846841094"/>
          <c:y val="4.9524448309344521E-2"/>
          <c:w val="0.84114914457383672"/>
          <c:h val="0.75092215798972572"/>
        </c:manualLayout>
      </c:layout>
      <c:lineChart>
        <c:grouping val="standard"/>
        <c:varyColors val="0"/>
        <c:ser>
          <c:idx val="0"/>
          <c:order val="0"/>
          <c:tx>
            <c:strRef>
              <c:f>[1]Average_45_Year_Old_Man_Pro!$R$32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5AEB-4964-AA49-380435D4AB6B}"/>
            </c:ext>
          </c:extLst>
        </c:ser>
        <c:ser>
          <c:idx val="1"/>
          <c:order val="1"/>
          <c:tx>
            <c:strRef>
              <c:f>[1]Persona_1.3!$R$32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[1]Persona_1.3!$R$33:$R$43</c:f>
              <c:numCache>
                <c:formatCode>General</c:formatCode>
                <c:ptCount val="11"/>
                <c:pt idx="0">
                  <c:v>52.678571428571431</c:v>
                </c:pt>
                <c:pt idx="1">
                  <c:v>53.326517857142861</c:v>
                </c:pt>
                <c:pt idx="2">
                  <c:v>53.982434026785718</c:v>
                </c:pt>
                <c:pt idx="3">
                  <c:v>54.64641796531518</c:v>
                </c:pt>
                <c:pt idx="4">
                  <c:v>55.318568906288554</c:v>
                </c:pt>
                <c:pt idx="5">
                  <c:v>55.998987303835904</c:v>
                </c:pt>
                <c:pt idx="6">
                  <c:v>56.687774847673083</c:v>
                </c:pt>
                <c:pt idx="7">
                  <c:v>57.38503447829946</c:v>
                </c:pt>
                <c:pt idx="8">
                  <c:v>58.090870402382542</c:v>
                </c:pt>
                <c:pt idx="9">
                  <c:v>58.805388108331847</c:v>
                </c:pt>
                <c:pt idx="10">
                  <c:v>59.52869438206433</c:v>
                </c:pt>
              </c:numCache>
            </c:numRef>
          </c:val>
          <c:smooth val="0"/>
          <c:extLst>
            <c:ext xmlns:c16="http://schemas.microsoft.com/office/drawing/2014/chart" uri="{C3380CC4-5D6E-409C-BE32-E72D297353CC}">
              <c16:uniqueId val="{00000001-5AEB-4964-AA49-380435D4AB6B}"/>
            </c:ext>
          </c:extLst>
        </c:ser>
        <c:ser>
          <c:idx val="2"/>
          <c:order val="2"/>
          <c:tx>
            <c:strRef>
              <c:f>[1]Persona_1.3!$S$32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[1]Persona_1.3!$S$33:$S$43</c:f>
              <c:numCache>
                <c:formatCode>General</c:formatCode>
                <c:ptCount val="11"/>
                <c:pt idx="0" formatCode="0.0">
                  <c:v>52.678571428571431</c:v>
                </c:pt>
                <c:pt idx="1">
                  <c:v>51.709552443148873</c:v>
                </c:pt>
                <c:pt idx="2">
                  <c:v>50.82108970921</c:v>
                </c:pt>
                <c:pt idx="3">
                  <c:v>49.932626975271127</c:v>
                </c:pt>
                <c:pt idx="4">
                  <c:v>49.095177095734904</c:v>
                </c:pt>
                <c:pt idx="5">
                  <c:v>48.305811066136769</c:v>
                </c:pt>
                <c:pt idx="6">
                  <c:v>47.561768056627237</c:v>
                </c:pt>
                <c:pt idx="7">
                  <c:v>46.860445755892002</c:v>
                </c:pt>
                <c:pt idx="8">
                  <c:v>46.199391269495059</c:v>
                </c:pt>
                <c:pt idx="9">
                  <c:v>45.576292540811536</c:v>
                </c:pt>
                <c:pt idx="10">
                  <c:v>44.988970264544747</c:v>
                </c:pt>
              </c:numCache>
            </c:numRef>
          </c:val>
          <c:smooth val="0"/>
          <c:extLst>
            <c:ext xmlns:c16="http://schemas.microsoft.com/office/drawing/2014/chart" uri="{C3380CC4-5D6E-409C-BE32-E72D297353CC}">
              <c16:uniqueId val="{00000002-5AEB-4964-AA49-380435D4AB6B}"/>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Chronologcial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1627746316616894"/>
          <c:y val="0.51463098259412399"/>
          <c:w val="0.34222264634130406"/>
          <c:h val="0.383129855554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1258441780592"/>
          <c:y val="4.9853170458231642E-2"/>
          <c:w val="0.83606004730054961"/>
          <c:h val="0.7492688855907208"/>
        </c:manualLayout>
      </c:layout>
      <c:lineChart>
        <c:grouping val="standard"/>
        <c:varyColors val="0"/>
        <c:ser>
          <c:idx val="0"/>
          <c:order val="0"/>
          <c:tx>
            <c:strRef>
              <c:f>[1]Average_45_Year_Old_Man_Pro!$U$32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[1]Average_45_Year_Old_Man_Pro!$U$33:$U$43</c:f>
              <c:numCache>
                <c:formatCode>General</c:formatCode>
                <c:ptCount val="11"/>
                <c:pt idx="0">
                  <c:v>46.337142857142858</c:v>
                </c:pt>
                <c:pt idx="1">
                  <c:v>46.591997142857146</c:v>
                </c:pt>
                <c:pt idx="2">
                  <c:v>46.848253127142861</c:v>
                </c:pt>
                <c:pt idx="3">
                  <c:v>47.105918519342147</c:v>
                </c:pt>
                <c:pt idx="4">
                  <c:v>47.365001071198527</c:v>
                </c:pt>
                <c:pt idx="5">
                  <c:v>47.625508577090116</c:v>
                </c:pt>
                <c:pt idx="6">
                  <c:v>47.887448874264109</c:v>
                </c:pt>
                <c:pt idx="7">
                  <c:v>48.150829843072565</c:v>
                </c:pt>
                <c:pt idx="8">
                  <c:v>48.415659407209461</c:v>
                </c:pt>
                <c:pt idx="9">
                  <c:v>48.681945533949111</c:v>
                </c:pt>
                <c:pt idx="10">
                  <c:v>48.949696234385833</c:v>
                </c:pt>
              </c:numCache>
            </c:numRef>
          </c:val>
          <c:smooth val="0"/>
          <c:extLst>
            <c:ext xmlns:c16="http://schemas.microsoft.com/office/drawing/2014/chart" uri="{C3380CC4-5D6E-409C-BE32-E72D297353CC}">
              <c16:uniqueId val="{00000000-9A21-420E-85A2-EE9052E72C1A}"/>
            </c:ext>
          </c:extLst>
        </c:ser>
        <c:ser>
          <c:idx val="1"/>
          <c:order val="1"/>
          <c:tx>
            <c:strRef>
              <c:f>[1]Persona_1.3!$U$32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[1]Persona_1.3!$U$33:$U$43</c:f>
              <c:numCache>
                <c:formatCode>General</c:formatCode>
                <c:ptCount val="11"/>
                <c:pt idx="0">
                  <c:v>51.429107142857141</c:v>
                </c:pt>
                <c:pt idx="1">
                  <c:v>51.711967232142854</c:v>
                </c:pt>
                <c:pt idx="2">
                  <c:v>51.996383051919636</c:v>
                </c:pt>
                <c:pt idx="3">
                  <c:v>52.282363158705195</c:v>
                </c:pt>
                <c:pt idx="4">
                  <c:v>52.569916156078072</c:v>
                </c:pt>
                <c:pt idx="5">
                  <c:v>52.859050694936499</c:v>
                </c:pt>
                <c:pt idx="6">
                  <c:v>53.149775473758652</c:v>
                </c:pt>
                <c:pt idx="7">
                  <c:v>53.442099238864323</c:v>
                </c:pt>
                <c:pt idx="8">
                  <c:v>53.736030784678078</c:v>
                </c:pt>
                <c:pt idx="9">
                  <c:v>54.031578953993808</c:v>
                </c:pt>
                <c:pt idx="10">
                  <c:v>54.328752638240772</c:v>
                </c:pt>
              </c:numCache>
            </c:numRef>
          </c:val>
          <c:smooth val="0"/>
          <c:extLst>
            <c:ext xmlns:c16="http://schemas.microsoft.com/office/drawing/2014/chart" uri="{C3380CC4-5D6E-409C-BE32-E72D297353CC}">
              <c16:uniqueId val="{00000001-9A21-420E-85A2-EE9052E72C1A}"/>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[1]Persona_1.3!$V$33:$V$43</c:f>
              <c:numCache>
                <c:formatCode>General</c:formatCode>
                <c:ptCount val="11"/>
                <c:pt idx="0" formatCode="0.0">
                  <c:v>51.429107142857141</c:v>
                </c:pt>
                <c:pt idx="1">
                  <c:v>50.460088157434583</c:v>
                </c:pt>
                <c:pt idx="2">
                  <c:v>49.521090363325222</c:v>
                </c:pt>
                <c:pt idx="3">
                  <c:v>48.58209256921586</c:v>
                </c:pt>
                <c:pt idx="4">
                  <c:v>47.672185879453984</c:v>
                </c:pt>
                <c:pt idx="5">
                  <c:v>46.790469022111736</c:v>
                </c:pt>
                <c:pt idx="6">
                  <c:v>45.936068647579987</c:v>
                </c:pt>
                <c:pt idx="7">
                  <c:v>45.108138463506577</c:v>
                </c:pt>
                <c:pt idx="8">
                  <c:v>44.305858396535051</c:v>
                </c:pt>
                <c:pt idx="9">
                  <c:v>43.528433780013557</c:v>
                </c:pt>
                <c:pt idx="10">
                  <c:v>42.775094566869377</c:v>
                </c:pt>
              </c:numCache>
            </c:numRef>
          </c:val>
          <c:smooth val="0"/>
          <c:extLst>
            <c:ext xmlns:c16="http://schemas.microsoft.com/office/drawing/2014/chart" uri="{C3380CC4-5D6E-409C-BE32-E72D297353CC}">
              <c16:uniqueId val="{00000002-9A21-420E-85A2-EE9052E72C1A}"/>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679615216774494"/>
          <c:y val="0.41955386230033304"/>
          <c:w val="0.33675755896273846"/>
          <c:h val="0.38572971805514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82075408953011"/>
          <c:y val="4.7962816285933914E-2"/>
          <c:w val="0.83601402983810025"/>
          <c:h val="0.75877621689767438"/>
        </c:manualLayout>
      </c:layout>
      <c:lineChart>
        <c:grouping val="standard"/>
        <c:varyColors val="0"/>
        <c:ser>
          <c:idx val="0"/>
          <c:order val="0"/>
          <c:tx>
            <c:strRef>
              <c:f>[1]Average_45_Year_Old_Man_Pro!$X$32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[1]Average_45_Year_Old_Man_Pro!$X$33:$X$43</c:f>
              <c:numCache>
                <c:formatCode>General</c:formatCode>
                <c:ptCount val="11"/>
                <c:pt idx="0">
                  <c:v>45</c:v>
                </c:pt>
                <c:pt idx="1">
                  <c:v>45.445500000000003</c:v>
                </c:pt>
                <c:pt idx="2">
                  <c:v>45.89541045</c:v>
                </c:pt>
                <c:pt idx="3">
                  <c:v>46.349775013455002</c:v>
                </c:pt>
                <c:pt idx="4">
                  <c:v>46.808637786088205</c:v>
                </c:pt>
                <c:pt idx="5">
                  <c:v>47.272043300170481</c:v>
                </c:pt>
                <c:pt idx="6">
                  <c:v>47.740036528842168</c:v>
                </c:pt>
                <c:pt idx="7">
                  <c:v>48.212662890477702</c:v>
                </c:pt>
                <c:pt idx="8">
                  <c:v>48.689968253093433</c:v>
                </c:pt>
                <c:pt idx="9">
                  <c:v>49.171998938799057</c:v>
                </c:pt>
                <c:pt idx="10">
                  <c:v>49.65880172829317</c:v>
                </c:pt>
              </c:numCache>
            </c:numRef>
          </c:val>
          <c:smooth val="0"/>
          <c:extLst>
            <c:ext xmlns:c16="http://schemas.microsoft.com/office/drawing/2014/chart" uri="{C3380CC4-5D6E-409C-BE32-E72D297353CC}">
              <c16:uniqueId val="{00000000-F611-4AD2-A4CC-D36C89584652}"/>
            </c:ext>
          </c:extLst>
        </c:ser>
        <c:ser>
          <c:idx val="1"/>
          <c:order val="1"/>
          <c:tx>
            <c:strRef>
              <c:f>[1]Persona_1.3!$X$32</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[1]Persona_1.3!$X$33:$X$43</c:f>
              <c:numCache>
                <c:formatCode>General</c:formatCode>
                <c:ptCount val="11"/>
                <c:pt idx="0">
                  <c:v>60.25</c:v>
                </c:pt>
                <c:pt idx="1">
                  <c:v>60.846474999999998</c:v>
                </c:pt>
                <c:pt idx="2">
                  <c:v>61.448855102499998</c:v>
                </c:pt>
                <c:pt idx="3">
                  <c:v>62.05719876801475</c:v>
                </c:pt>
                <c:pt idx="4">
                  <c:v>62.671565035818098</c:v>
                </c:pt>
                <c:pt idx="5">
                  <c:v>63.292013529672694</c:v>
                </c:pt>
                <c:pt idx="6">
                  <c:v>63.918604463616454</c:v>
                </c:pt>
                <c:pt idx="7">
                  <c:v>64.551398647806252</c:v>
                </c:pt>
                <c:pt idx="8">
                  <c:v>65.190457494419533</c:v>
                </c:pt>
                <c:pt idx="9">
                  <c:v>65.835843023614288</c:v>
                </c:pt>
                <c:pt idx="10">
                  <c:v>66.487617869548075</c:v>
                </c:pt>
              </c:numCache>
            </c:numRef>
          </c:val>
          <c:smooth val="0"/>
          <c:extLst>
            <c:ext xmlns:c16="http://schemas.microsoft.com/office/drawing/2014/chart" uri="{C3380CC4-5D6E-409C-BE32-E72D297353CC}">
              <c16:uniqueId val="{00000001-F611-4AD2-A4CC-D36C89584652}"/>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[1]Persona_1.3!$Y$33:$Y$43</c:f>
              <c:numCache>
                <c:formatCode>General</c:formatCode>
                <c:ptCount val="11"/>
                <c:pt idx="0" formatCode="0.0">
                  <c:v>60.25</c:v>
                </c:pt>
                <c:pt idx="1">
                  <c:v>59.300005861213577</c:v>
                </c:pt>
                <c:pt idx="2">
                  <c:v>58.397516997485013</c:v>
                </c:pt>
                <c:pt idx="3">
                  <c:v>57.495028133756449</c:v>
                </c:pt>
                <c:pt idx="4">
                  <c:v>56.637669002894292</c:v>
                </c:pt>
                <c:pt idx="5">
                  <c:v>55.823182853740221</c:v>
                </c:pt>
                <c:pt idx="6">
                  <c:v>55.04942578592113</c:v>
                </c:pt>
                <c:pt idx="7">
                  <c:v>54.31436110664842</c:v>
                </c:pt>
                <c:pt idx="8">
                  <c:v>53.616053969710421</c:v>
                </c:pt>
                <c:pt idx="9">
                  <c:v>52.952666282546595</c:v>
                </c:pt>
                <c:pt idx="10">
                  <c:v>52.322451867997877</c:v>
                </c:pt>
              </c:numCache>
            </c:numRef>
          </c:val>
          <c:smooth val="0"/>
          <c:extLst>
            <c:ext xmlns:c16="http://schemas.microsoft.com/office/drawing/2014/chart" uri="{C3380CC4-5D6E-409C-BE32-E72D297353CC}">
              <c16:uniqueId val="{00000002-F611-4AD2-A4CC-D36C89584652}"/>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1058397148726684"/>
          <c:y val="0.50108886236113703"/>
          <c:w val="0.3252988167180636"/>
          <c:h val="0.3713209328363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9265255390361"/>
          <c:y val="4.8279394271582482E-2"/>
          <c:w val="0.84462666038115397"/>
          <c:h val="0.78845538424108053"/>
        </c:manualLayout>
      </c:layout>
      <c:lineChart>
        <c:grouping val="standard"/>
        <c:varyColors val="0"/>
        <c:ser>
          <c:idx val="1"/>
          <c:order val="0"/>
          <c:tx>
            <c:strRef>
              <c:f>[1]Average_45_Year_Old_Man_Pro!$AA$32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[1]Average_45_Year_Old_Man_Pro!$Z$33:$Z$43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DCB8-486E-84C2-86A9F1CA0F89}"/>
            </c:ext>
          </c:extLst>
        </c:ser>
        <c:ser>
          <c:idx val="0"/>
          <c:order val="1"/>
          <c:tx>
            <c:strRef>
              <c:f>[1]Persona_1.3!$AA$32</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[1]Persona_1.3!$AA$33:$AA$43</c:f>
              <c:numCache>
                <c:formatCode>General</c:formatCode>
                <c:ptCount val="11"/>
                <c:pt idx="0">
                  <c:v>64.5</c:v>
                </c:pt>
                <c:pt idx="1">
                  <c:v>65.790000000000006</c:v>
                </c:pt>
                <c:pt idx="2">
                  <c:v>67.105800000000002</c:v>
                </c:pt>
                <c:pt idx="3">
                  <c:v>68.447916000000006</c:v>
                </c:pt>
                <c:pt idx="4">
                  <c:v>69.816874320000011</c:v>
                </c:pt>
                <c:pt idx="5">
                  <c:v>71.213211806400011</c:v>
                </c:pt>
                <c:pt idx="6">
                  <c:v>72.637476042528007</c:v>
                </c:pt>
                <c:pt idx="7">
                  <c:v>74.090225563378567</c:v>
                </c:pt>
                <c:pt idx="8">
                  <c:v>75.572030074646136</c:v>
                </c:pt>
                <c:pt idx="9">
                  <c:v>77.083470676139058</c:v>
                </c:pt>
                <c:pt idx="10">
                  <c:v>78.625140089661841</c:v>
                </c:pt>
              </c:numCache>
            </c:numRef>
          </c:val>
          <c:smooth val="0"/>
          <c:extLst>
            <c:ext xmlns:c16="http://schemas.microsoft.com/office/drawing/2014/chart" uri="{C3380CC4-5D6E-409C-BE32-E72D297353CC}">
              <c16:uniqueId val="{00000001-DCB8-486E-84C2-86A9F1CA0F89}"/>
            </c:ext>
          </c:extLst>
        </c:ser>
        <c:ser>
          <c:idx val="2"/>
          <c:order val="2"/>
          <c:tx>
            <c:strRef>
              <c:f>[1]Persona_1.3!$AB$32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[1]Persona_1.3!$AB$33:$AB$43</c:f>
              <c:numCache>
                <c:formatCode>General</c:formatCode>
                <c:ptCount val="11"/>
                <c:pt idx="0" formatCode="0.0">
                  <c:v>64.5</c:v>
                </c:pt>
                <c:pt idx="1">
                  <c:v>63.534009969239399</c:v>
                </c:pt>
                <c:pt idx="2">
                  <c:v>62.600873229710537</c:v>
                </c:pt>
                <c:pt idx="3">
                  <c:v>61.667736490181674</c:v>
                </c:pt>
                <c:pt idx="4">
                  <c:v>60.766335702460339</c:v>
                </c:pt>
                <c:pt idx="5">
                  <c:v>59.895591527801777</c:v>
                </c:pt>
                <c:pt idx="6">
                  <c:v>59.054461335738743</c:v>
                </c:pt>
                <c:pt idx="7">
                  <c:v>58.2419379556341</c:v>
                </c:pt>
                <c:pt idx="8">
                  <c:v>57.45704847069311</c:v>
                </c:pt>
                <c:pt idx="9">
                  <c:v>56.698853052991289</c:v>
                </c:pt>
                <c:pt idx="10">
                  <c:v>55.966443838122963</c:v>
                </c:pt>
              </c:numCache>
            </c:numRef>
          </c:val>
          <c:smooth val="0"/>
          <c:extLst>
            <c:ext xmlns:c16="http://schemas.microsoft.com/office/drawing/2014/chart" uri="{C3380CC4-5D6E-409C-BE32-E72D297353CC}">
              <c16:uniqueId val="{00000002-DCB8-486E-84C2-86A9F1CA0F89}"/>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layout>
            <c:manualLayout>
              <c:xMode val="edge"/>
              <c:yMode val="edge"/>
              <c:x val="3.0446814079809884E-2"/>
              <c:y val="0.31789129982506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31018176769800071"/>
          <c:y val="0.5835897060175409"/>
          <c:w val="0.53825421760511061"/>
          <c:h val="0.22059216620819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551931614777317"/>
          <c:y val="0.19499652536483669"/>
          <c:w val="0.81448068385222683"/>
          <c:h val="0.62793699888980303"/>
        </c:manualLayout>
      </c:layout>
      <c:lineChart>
        <c:grouping val="standard"/>
        <c:varyColors val="0"/>
        <c:ser>
          <c:idx val="0"/>
          <c:order val="0"/>
          <c:tx>
            <c:strRef>
              <c:f>[1]Average_45_Year_Old_Man_Pro!$O$32</c:f>
              <c:strCache>
                <c:ptCount val="1"/>
                <c:pt idx="0">
                  <c:v>Vitality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[1]Average_45_Year_Old_Man_Pro!$N$32:$N$43</c15:sqref>
                  </c15:fullRef>
                </c:ext>
              </c:extLst>
              <c:f>[1]Average_45_Year_Old_Man_Pro!$N$33:$N$43</c:f>
              <c:strCache>
                <c:ptCount val="11"/>
                <c:pt idx="0">
                  <c:v>45</c:v>
                </c:pt>
                <c:pt idx="1">
                  <c:v>46</c:v>
                </c:pt>
                <c:pt idx="2">
                  <c:v>47</c:v>
                </c:pt>
                <c:pt idx="3">
                  <c:v>48</c:v>
                </c:pt>
                <c:pt idx="4">
                  <c:v>49</c:v>
                </c:pt>
                <c:pt idx="5">
                  <c:v>50</c:v>
                </c:pt>
                <c:pt idx="6">
                  <c:v>51</c:v>
                </c:pt>
                <c:pt idx="7">
                  <c:v>52</c:v>
                </c:pt>
                <c:pt idx="8">
                  <c:v>53</c:v>
                </c:pt>
                <c:pt idx="9">
                  <c:v>54</c:v>
                </c:pt>
                <c:pt idx="10">
                  <c:v>55</c:v>
                </c:pt>
              </c:strCache>
            </c:strRef>
          </c:cat>
          <c:val>
            <c:numRef>
              <c:extLst>
                <c:ext xmlns:c15="http://schemas.microsoft.com/office/drawing/2012/chart" uri="{02D57815-91ED-43cb-92C2-25804820EDAC}">
                  <c15:fullRef>
                    <c15:sqref>[1]Average_45_Year_Old_Man_Pro!$O$33:$O$43</c15:sqref>
                  </c15:fullRef>
                </c:ext>
              </c:extLst>
              <c:f>[1]Average_45_Year_Old_Man_Pro!$O$34:$O$43</c:f>
              <c:numCache>
                <c:formatCode>General</c:formatCode>
                <c:ptCount val="10"/>
                <c:pt idx="0">
                  <c:v>45.517500000000005</c:v>
                </c:pt>
                <c:pt idx="1">
                  <c:v>46.040951250000006</c:v>
                </c:pt>
                <c:pt idx="2">
                  <c:v>46.570422189375009</c:v>
                </c:pt>
                <c:pt idx="3">
                  <c:v>47.105982044552825</c:v>
                </c:pt>
                <c:pt idx="4">
                  <c:v>47.647700838065184</c:v>
                </c:pt>
                <c:pt idx="5">
                  <c:v>48.195649397702937</c:v>
                </c:pt>
                <c:pt idx="6">
                  <c:v>48.749899365776521</c:v>
                </c:pt>
                <c:pt idx="7">
                  <c:v>49.310523208482948</c:v>
                </c:pt>
                <c:pt idx="8">
                  <c:v>49.877594225380506</c:v>
                </c:pt>
                <c:pt idx="9">
                  <c:v>50.451186558972381</c:v>
                </c:pt>
              </c:numCache>
            </c:numRef>
          </c:val>
          <c:smooth val="0"/>
          <c:extLst>
            <c:ext xmlns:c16="http://schemas.microsoft.com/office/drawing/2014/chart" uri="{C3380CC4-5D6E-409C-BE32-E72D297353CC}">
              <c16:uniqueId val="{00000000-A65D-4714-BB04-B51DE9FCAA29}"/>
            </c:ext>
          </c:extLst>
        </c:ser>
        <c:ser>
          <c:idx val="1"/>
          <c:order val="1"/>
          <c:tx>
            <c:strRef>
              <c:f>[1]Persona_1.3!$O$32</c:f>
              <c:strCache>
                <c:ptCount val="1"/>
                <c:pt idx="0">
                  <c:v>Vitality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[1]Persona_1.3!$O$33:$O$43</c15:sqref>
                  </c15:fullRef>
                </c:ext>
              </c:extLst>
              <c:f>[1]Persona_1.3!$O$34:$O$43</c:f>
              <c:numCache>
                <c:formatCode>General</c:formatCode>
                <c:ptCount val="10"/>
                <c:pt idx="0">
                  <c:v>80.337427215189877</c:v>
                </c:pt>
                <c:pt idx="1">
                  <c:v>81.261307628164559</c:v>
                </c:pt>
                <c:pt idx="2">
                  <c:v>82.195812665888454</c:v>
                </c:pt>
                <c:pt idx="3">
                  <c:v>83.141064511546176</c:v>
                </c:pt>
                <c:pt idx="4">
                  <c:v>84.097186753428957</c:v>
                </c:pt>
                <c:pt idx="5">
                  <c:v>85.064304401093395</c:v>
                </c:pt>
                <c:pt idx="6">
                  <c:v>86.042543901705969</c:v>
                </c:pt>
                <c:pt idx="7">
                  <c:v>87.032033156575594</c:v>
                </c:pt>
                <c:pt idx="8">
                  <c:v>88.032901537876214</c:v>
                </c:pt>
                <c:pt idx="9">
                  <c:v>89.045279905561785</c:v>
                </c:pt>
              </c:numCache>
            </c:numRef>
          </c:val>
          <c:smooth val="0"/>
          <c:extLst>
            <c:ext xmlns:c16="http://schemas.microsoft.com/office/drawing/2014/chart" uri="{C3380CC4-5D6E-409C-BE32-E72D297353CC}">
              <c16:uniqueId val="{00000001-A65D-4714-BB04-B51DE9FCAA29}"/>
            </c:ext>
          </c:extLst>
        </c:ser>
        <c:ser>
          <c:idx val="2"/>
          <c:order val="2"/>
          <c:tx>
            <c:strRef>
              <c:f>[1]Persona_1.3!$P$32</c:f>
              <c:strCache>
                <c:ptCount val="1"/>
                <c:pt idx="0">
                  <c:v>Vitaly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45</c:v>
              </c:pt>
              <c:pt idx="1">
                <c:v>46</c:v>
              </c:pt>
              <c:pt idx="2">
                <c:v>47</c:v>
              </c:pt>
              <c:pt idx="3">
                <c:v>48</c:v>
              </c:pt>
              <c:pt idx="4">
                <c:v>49</c:v>
              </c:pt>
              <c:pt idx="5">
                <c:v>50</c:v>
              </c:pt>
              <c:pt idx="6">
                <c:v>51</c:v>
              </c:pt>
              <c:pt idx="7">
                <c:v>52</c:v>
              </c:pt>
              <c:pt idx="8">
                <c:v>53</c:v>
              </c:pt>
              <c:pt idx="9">
                <c:v>54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[1]Persona_1.3!$P$33:$P$43</c15:sqref>
                  </c15:fullRef>
                </c:ext>
              </c:extLst>
              <c:f>[1]Persona_1.3!$P$34:$P$43</c:f>
              <c:numCache>
                <c:formatCode>General</c:formatCode>
                <c:ptCount val="10"/>
                <c:pt idx="0">
                  <c:v>78.455031647488838</c:v>
                </c:pt>
                <c:pt idx="1">
                  <c:v>77.516033853379469</c:v>
                </c:pt>
                <c:pt idx="2">
                  <c:v>76.5770360592701</c:v>
                </c:pt>
                <c:pt idx="3">
                  <c:v>75.667129369508231</c:v>
                </c:pt>
                <c:pt idx="4">
                  <c:v>74.785412512165976</c:v>
                </c:pt>
                <c:pt idx="5">
                  <c:v>73.931012137634227</c:v>
                </c:pt>
                <c:pt idx="6">
                  <c:v>73.103081953560817</c:v>
                </c:pt>
                <c:pt idx="7">
                  <c:v>72.300801886589284</c:v>
                </c:pt>
                <c:pt idx="8">
                  <c:v>71.523377270067783</c:v>
                </c:pt>
                <c:pt idx="9">
                  <c:v>70.77003805692361</c:v>
                </c:pt>
              </c:numCache>
            </c:numRef>
          </c:val>
          <c:smooth val="0"/>
          <c:extLst>
            <c:ext xmlns:c16="http://schemas.microsoft.com/office/drawing/2014/chart" uri="{C3380CC4-5D6E-409C-BE32-E72D297353CC}">
              <c16:uniqueId val="{00000002-A65D-4714-BB04-B51DE9FCAA2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40772984498407933"/>
          <c:y val="0.59179251394982635"/>
          <c:w val="0.53684219715371306"/>
          <c:h val="0.20734142356852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808846841094"/>
          <c:y val="4.9524448309344521E-2"/>
          <c:w val="0.84114914457383672"/>
          <c:h val="0.75092215798972572"/>
        </c:manualLayout>
      </c:layout>
      <c:lineChart>
        <c:grouping val="standard"/>
        <c:varyColors val="0"/>
        <c:ser>
          <c:idx val="0"/>
          <c:order val="0"/>
          <c:tx>
            <c:strRef>
              <c:f>[1]Average_45_Year_Old_Man_Pro!$R$32</c:f>
              <c:strCache>
                <c:ptCount val="1"/>
                <c:pt idx="0">
                  <c:v>Strength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[1]Average_45_Year_Old_Man_Pro!$Q$33:$Q$43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[1]Average_45_Year_Old_Man_Pro!$R$33:$R$43</c:f>
              <c:numCache>
                <c:formatCode>General</c:formatCode>
                <c:ptCount val="11"/>
                <c:pt idx="0">
                  <c:v>45</c:v>
                </c:pt>
                <c:pt idx="1">
                  <c:v>45.5535</c:v>
                </c:pt>
                <c:pt idx="2">
                  <c:v>46.113808050000003</c:v>
                </c:pt>
                <c:pt idx="3">
                  <c:v>46.681007889015</c:v>
                </c:pt>
                <c:pt idx="4">
                  <c:v>47.255184286049882</c:v>
                </c:pt>
                <c:pt idx="5">
                  <c:v>47.836423052768296</c:v>
                </c:pt>
                <c:pt idx="6">
                  <c:v>48.424811056317346</c:v>
                </c:pt>
                <c:pt idx="7">
                  <c:v>49.020436232310047</c:v>
                </c:pt>
                <c:pt idx="8">
                  <c:v>49.623387597967458</c:v>
                </c:pt>
                <c:pt idx="9">
                  <c:v>50.23375526542246</c:v>
                </c:pt>
                <c:pt idx="10">
                  <c:v>50.851630455187156</c:v>
                </c:pt>
              </c:numCache>
            </c:numRef>
          </c:val>
          <c:smooth val="0"/>
          <c:extLst>
            <c:ext xmlns:c16="http://schemas.microsoft.com/office/drawing/2014/chart" uri="{C3380CC4-5D6E-409C-BE32-E72D297353CC}">
              <c16:uniqueId val="{00000000-1FFA-4046-94E9-A3A0FF456E8E}"/>
            </c:ext>
          </c:extLst>
        </c:ser>
        <c:ser>
          <c:idx val="1"/>
          <c:order val="1"/>
          <c:tx>
            <c:strRef>
              <c:f>[1]Persona_1.3!$R$32</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[1]Persona_1.3!$R$33:$R$43</c:f>
              <c:numCache>
                <c:formatCode>General</c:formatCode>
                <c:ptCount val="11"/>
                <c:pt idx="0">
                  <c:v>52.678571428571431</c:v>
                </c:pt>
                <c:pt idx="1">
                  <c:v>53.326517857142861</c:v>
                </c:pt>
                <c:pt idx="2">
                  <c:v>53.982434026785718</c:v>
                </c:pt>
                <c:pt idx="3">
                  <c:v>54.64641796531518</c:v>
                </c:pt>
                <c:pt idx="4">
                  <c:v>55.318568906288554</c:v>
                </c:pt>
                <c:pt idx="5">
                  <c:v>55.998987303835904</c:v>
                </c:pt>
                <c:pt idx="6">
                  <c:v>56.687774847673083</c:v>
                </c:pt>
                <c:pt idx="7">
                  <c:v>57.38503447829946</c:v>
                </c:pt>
                <c:pt idx="8">
                  <c:v>58.090870402382542</c:v>
                </c:pt>
                <c:pt idx="9">
                  <c:v>58.805388108331847</c:v>
                </c:pt>
                <c:pt idx="10">
                  <c:v>59.52869438206433</c:v>
                </c:pt>
              </c:numCache>
            </c:numRef>
          </c:val>
          <c:smooth val="0"/>
          <c:extLst>
            <c:ext xmlns:c16="http://schemas.microsoft.com/office/drawing/2014/chart" uri="{C3380CC4-5D6E-409C-BE32-E72D297353CC}">
              <c16:uniqueId val="{00000001-1FFA-4046-94E9-A3A0FF456E8E}"/>
            </c:ext>
          </c:extLst>
        </c:ser>
        <c:ser>
          <c:idx val="2"/>
          <c:order val="2"/>
          <c:tx>
            <c:strRef>
              <c:f>[1]Persona_1.3!$S$32</c:f>
              <c:strCache>
                <c:ptCount val="1"/>
                <c:pt idx="0">
                  <c:v>Strength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[1]Persona_1.3!$S$33:$S$43</c:f>
              <c:numCache>
                <c:formatCode>General</c:formatCode>
                <c:ptCount val="11"/>
                <c:pt idx="0" formatCode="0.0">
                  <c:v>52.678571428571431</c:v>
                </c:pt>
                <c:pt idx="1">
                  <c:v>51.709552443148873</c:v>
                </c:pt>
                <c:pt idx="2">
                  <c:v>50.82108970921</c:v>
                </c:pt>
                <c:pt idx="3">
                  <c:v>49.932626975271127</c:v>
                </c:pt>
                <c:pt idx="4">
                  <c:v>49.095177095734904</c:v>
                </c:pt>
                <c:pt idx="5">
                  <c:v>48.305811066136769</c:v>
                </c:pt>
                <c:pt idx="6">
                  <c:v>47.561768056627237</c:v>
                </c:pt>
                <c:pt idx="7">
                  <c:v>46.860445755892002</c:v>
                </c:pt>
                <c:pt idx="8">
                  <c:v>46.199391269495059</c:v>
                </c:pt>
                <c:pt idx="9">
                  <c:v>45.576292540811536</c:v>
                </c:pt>
                <c:pt idx="10">
                  <c:v>44.988970264544747</c:v>
                </c:pt>
              </c:numCache>
            </c:numRef>
          </c:val>
          <c:smooth val="0"/>
          <c:extLst>
            <c:ext xmlns:c16="http://schemas.microsoft.com/office/drawing/2014/chart" uri="{C3380CC4-5D6E-409C-BE32-E72D297353CC}">
              <c16:uniqueId val="{00000002-1FFA-4046-94E9-A3A0FF456E8E}"/>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Chronologcial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1627746316616894"/>
          <c:y val="0.51463098259412399"/>
          <c:w val="0.34222264634130406"/>
          <c:h val="0.3831298555549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21258441780592"/>
          <c:y val="4.9853170458231642E-2"/>
          <c:w val="0.83606004730054961"/>
          <c:h val="0.7492688855907208"/>
        </c:manualLayout>
      </c:layout>
      <c:lineChart>
        <c:grouping val="standard"/>
        <c:varyColors val="0"/>
        <c:ser>
          <c:idx val="0"/>
          <c:order val="0"/>
          <c:tx>
            <c:strRef>
              <c:f>[1]Average_45_Year_Old_Man_Pro!$U$32</c:f>
              <c:strCache>
                <c:ptCount val="1"/>
                <c:pt idx="0">
                  <c:v>Metabolic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[1]Average_45_Year_Old_Man_Pro!$T$33:$T$43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[1]Average_45_Year_Old_Man_Pro!$U$33:$U$43</c:f>
              <c:numCache>
                <c:formatCode>General</c:formatCode>
                <c:ptCount val="11"/>
                <c:pt idx="0">
                  <c:v>46.337142857142858</c:v>
                </c:pt>
                <c:pt idx="1">
                  <c:v>46.591997142857146</c:v>
                </c:pt>
                <c:pt idx="2">
                  <c:v>46.848253127142861</c:v>
                </c:pt>
                <c:pt idx="3">
                  <c:v>47.105918519342147</c:v>
                </c:pt>
                <c:pt idx="4">
                  <c:v>47.365001071198527</c:v>
                </c:pt>
                <c:pt idx="5">
                  <c:v>47.625508577090116</c:v>
                </c:pt>
                <c:pt idx="6">
                  <c:v>47.887448874264109</c:v>
                </c:pt>
                <c:pt idx="7">
                  <c:v>48.150829843072565</c:v>
                </c:pt>
                <c:pt idx="8">
                  <c:v>48.415659407209461</c:v>
                </c:pt>
                <c:pt idx="9">
                  <c:v>48.681945533949111</c:v>
                </c:pt>
                <c:pt idx="10">
                  <c:v>48.949696234385833</c:v>
                </c:pt>
              </c:numCache>
            </c:numRef>
          </c:val>
          <c:smooth val="0"/>
          <c:extLst>
            <c:ext xmlns:c16="http://schemas.microsoft.com/office/drawing/2014/chart" uri="{C3380CC4-5D6E-409C-BE32-E72D297353CC}">
              <c16:uniqueId val="{00000000-7920-43F7-A7D2-713B4D4FB202}"/>
            </c:ext>
          </c:extLst>
        </c:ser>
        <c:ser>
          <c:idx val="1"/>
          <c:order val="1"/>
          <c:tx>
            <c:strRef>
              <c:f>[1]Persona_1.3!$U$32</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[1]Persona_1.3!$U$33:$U$43</c:f>
              <c:numCache>
                <c:formatCode>General</c:formatCode>
                <c:ptCount val="11"/>
                <c:pt idx="0">
                  <c:v>51.429107142857141</c:v>
                </c:pt>
                <c:pt idx="1">
                  <c:v>51.711967232142854</c:v>
                </c:pt>
                <c:pt idx="2">
                  <c:v>51.996383051919636</c:v>
                </c:pt>
                <c:pt idx="3">
                  <c:v>52.282363158705195</c:v>
                </c:pt>
                <c:pt idx="4">
                  <c:v>52.569916156078072</c:v>
                </c:pt>
                <c:pt idx="5">
                  <c:v>52.859050694936499</c:v>
                </c:pt>
                <c:pt idx="6">
                  <c:v>53.149775473758652</c:v>
                </c:pt>
                <c:pt idx="7">
                  <c:v>53.442099238864323</c:v>
                </c:pt>
                <c:pt idx="8">
                  <c:v>53.736030784678078</c:v>
                </c:pt>
                <c:pt idx="9">
                  <c:v>54.031578953993808</c:v>
                </c:pt>
                <c:pt idx="10">
                  <c:v>54.328752638240772</c:v>
                </c:pt>
              </c:numCache>
            </c:numRef>
          </c:val>
          <c:smooth val="0"/>
          <c:extLst>
            <c:ext xmlns:c16="http://schemas.microsoft.com/office/drawing/2014/chart" uri="{C3380CC4-5D6E-409C-BE32-E72D297353CC}">
              <c16:uniqueId val="{00000001-7920-43F7-A7D2-713B4D4FB202}"/>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[1]Persona_1.3!$V$33:$V$43</c:f>
              <c:numCache>
                <c:formatCode>General</c:formatCode>
                <c:ptCount val="11"/>
                <c:pt idx="0" formatCode="0.0">
                  <c:v>51.429107142857141</c:v>
                </c:pt>
                <c:pt idx="1">
                  <c:v>50.460088157434583</c:v>
                </c:pt>
                <c:pt idx="2">
                  <c:v>49.521090363325222</c:v>
                </c:pt>
                <c:pt idx="3">
                  <c:v>48.58209256921586</c:v>
                </c:pt>
                <c:pt idx="4">
                  <c:v>47.672185879453984</c:v>
                </c:pt>
                <c:pt idx="5">
                  <c:v>46.790469022111736</c:v>
                </c:pt>
                <c:pt idx="6">
                  <c:v>45.936068647579987</c:v>
                </c:pt>
                <c:pt idx="7">
                  <c:v>45.108138463506577</c:v>
                </c:pt>
                <c:pt idx="8">
                  <c:v>44.305858396535051</c:v>
                </c:pt>
                <c:pt idx="9">
                  <c:v>43.528433780013557</c:v>
                </c:pt>
                <c:pt idx="10">
                  <c:v>42.775094566869377</c:v>
                </c:pt>
              </c:numCache>
            </c:numRef>
          </c:val>
          <c:smooth val="0"/>
          <c:extLst>
            <c:ext xmlns:c16="http://schemas.microsoft.com/office/drawing/2014/chart" uri="{C3380CC4-5D6E-409C-BE32-E72D297353CC}">
              <c16:uniqueId val="{00000002-7920-43F7-A7D2-713B4D4FB202}"/>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57679615216774494"/>
          <c:y val="0.41955386230033304"/>
          <c:w val="0.33675755896273846"/>
          <c:h val="0.38572971805514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82075408953011"/>
          <c:y val="4.7962816285933914E-2"/>
          <c:w val="0.83601402983810025"/>
          <c:h val="0.75877621689767438"/>
        </c:manualLayout>
      </c:layout>
      <c:lineChart>
        <c:grouping val="standard"/>
        <c:varyColors val="0"/>
        <c:ser>
          <c:idx val="0"/>
          <c:order val="0"/>
          <c:tx>
            <c:strRef>
              <c:f>[1]Average_45_Year_Old_Man_Pro!$X$32</c:f>
              <c:strCache>
                <c:ptCount val="1"/>
                <c:pt idx="0">
                  <c:v>Mobility Decline of an average 40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[1]Average_45_Year_Old_Man_Pro!$W$33:$W$43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[1]Average_45_Year_Old_Man_Pro!$X$33:$X$43</c:f>
              <c:numCache>
                <c:formatCode>General</c:formatCode>
                <c:ptCount val="11"/>
                <c:pt idx="0">
                  <c:v>45</c:v>
                </c:pt>
                <c:pt idx="1">
                  <c:v>45.445500000000003</c:v>
                </c:pt>
                <c:pt idx="2">
                  <c:v>45.89541045</c:v>
                </c:pt>
                <c:pt idx="3">
                  <c:v>46.349775013455002</c:v>
                </c:pt>
                <c:pt idx="4">
                  <c:v>46.808637786088205</c:v>
                </c:pt>
                <c:pt idx="5">
                  <c:v>47.272043300170481</c:v>
                </c:pt>
                <c:pt idx="6">
                  <c:v>47.740036528842168</c:v>
                </c:pt>
                <c:pt idx="7">
                  <c:v>48.212662890477702</c:v>
                </c:pt>
                <c:pt idx="8">
                  <c:v>48.689968253093433</c:v>
                </c:pt>
                <c:pt idx="9">
                  <c:v>49.171998938799057</c:v>
                </c:pt>
                <c:pt idx="10">
                  <c:v>49.65880172829317</c:v>
                </c:pt>
              </c:numCache>
            </c:numRef>
          </c:val>
          <c:smooth val="0"/>
          <c:extLst>
            <c:ext xmlns:c16="http://schemas.microsoft.com/office/drawing/2014/chart" uri="{C3380CC4-5D6E-409C-BE32-E72D297353CC}">
              <c16:uniqueId val="{00000000-B271-4FCD-A2CD-3FE9BB86E919}"/>
            </c:ext>
          </c:extLst>
        </c:ser>
        <c:ser>
          <c:idx val="1"/>
          <c:order val="1"/>
          <c:tx>
            <c:strRef>
              <c:f>[1]Persona_1.3!$X$32</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[1]Persona_1.3!$X$33:$X$43</c:f>
              <c:numCache>
                <c:formatCode>General</c:formatCode>
                <c:ptCount val="11"/>
                <c:pt idx="0">
                  <c:v>60.25</c:v>
                </c:pt>
                <c:pt idx="1">
                  <c:v>60.846474999999998</c:v>
                </c:pt>
                <c:pt idx="2">
                  <c:v>61.448855102499998</c:v>
                </c:pt>
                <c:pt idx="3">
                  <c:v>62.05719876801475</c:v>
                </c:pt>
                <c:pt idx="4">
                  <c:v>62.671565035818098</c:v>
                </c:pt>
                <c:pt idx="5">
                  <c:v>63.292013529672694</c:v>
                </c:pt>
                <c:pt idx="6">
                  <c:v>63.918604463616454</c:v>
                </c:pt>
                <c:pt idx="7">
                  <c:v>64.551398647806252</c:v>
                </c:pt>
                <c:pt idx="8">
                  <c:v>65.190457494419533</c:v>
                </c:pt>
                <c:pt idx="9">
                  <c:v>65.835843023614288</c:v>
                </c:pt>
                <c:pt idx="10">
                  <c:v>66.487617869548075</c:v>
                </c:pt>
              </c:numCache>
            </c:numRef>
          </c:val>
          <c:smooth val="0"/>
          <c:extLst>
            <c:ext xmlns:c16="http://schemas.microsoft.com/office/drawing/2014/chart" uri="{C3380CC4-5D6E-409C-BE32-E72D297353CC}">
              <c16:uniqueId val="{00000001-B271-4FCD-A2CD-3FE9BB86E919}"/>
            </c:ext>
          </c:extLst>
        </c:ser>
        <c:ser>
          <c:idx val="2"/>
          <c:order val="2"/>
          <c:tx>
            <c:strRef>
              <c:f>[1]Persona_1.3!$Y$32</c:f>
              <c:strCache>
                <c:ptCount val="1"/>
                <c:pt idx="0">
                  <c:v>Mobility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[1]Persona_1.3!$Y$33:$Y$43</c:f>
              <c:numCache>
                <c:formatCode>General</c:formatCode>
                <c:ptCount val="11"/>
                <c:pt idx="0" formatCode="0.0">
                  <c:v>60.25</c:v>
                </c:pt>
                <c:pt idx="1">
                  <c:v>59.300005861213577</c:v>
                </c:pt>
                <c:pt idx="2">
                  <c:v>58.397516997485013</c:v>
                </c:pt>
                <c:pt idx="3">
                  <c:v>57.495028133756449</c:v>
                </c:pt>
                <c:pt idx="4">
                  <c:v>56.637669002894292</c:v>
                </c:pt>
                <c:pt idx="5">
                  <c:v>55.823182853740221</c:v>
                </c:pt>
                <c:pt idx="6">
                  <c:v>55.04942578592113</c:v>
                </c:pt>
                <c:pt idx="7">
                  <c:v>54.31436110664842</c:v>
                </c:pt>
                <c:pt idx="8">
                  <c:v>53.616053969710421</c:v>
                </c:pt>
                <c:pt idx="9">
                  <c:v>52.952666282546595</c:v>
                </c:pt>
                <c:pt idx="10">
                  <c:v>52.322451867997877</c:v>
                </c:pt>
              </c:numCache>
            </c:numRef>
          </c:val>
          <c:smooth val="0"/>
          <c:extLst>
            <c:ext xmlns:c16="http://schemas.microsoft.com/office/drawing/2014/chart" uri="{C3380CC4-5D6E-409C-BE32-E72D297353CC}">
              <c16:uniqueId val="{00000002-B271-4FCD-A2CD-3FE9BB86E919}"/>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1058397148726684"/>
          <c:y val="0.50108886236113703"/>
          <c:w val="0.3252988167180636"/>
          <c:h val="0.3713209328363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9265255390361"/>
          <c:y val="4.8279394271582482E-2"/>
          <c:w val="0.84462666038115397"/>
          <c:h val="0.78845538424108053"/>
        </c:manualLayout>
      </c:layout>
      <c:lineChart>
        <c:grouping val="standard"/>
        <c:varyColors val="0"/>
        <c:ser>
          <c:idx val="1"/>
          <c:order val="0"/>
          <c:tx>
            <c:strRef>
              <c:f>[1]Average_45_Year_Old_Man_Pro!$AA$32</c:f>
              <c:strCache>
                <c:ptCount val="1"/>
                <c:pt idx="0">
                  <c:v>Cognitive Decline of an average 40 Year old Man</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cat>
            <c:numRef>
              <c:f>[1]Average_45_Year_Old_Man_Pro!$Z$33:$Z$43</c:f>
              <c:numCache>
                <c:formatCode>General</c:formatCode>
                <c:ptCount val="11"/>
                <c:pt idx="0">
                  <c:v>45</c:v>
                </c:pt>
                <c:pt idx="1">
                  <c:v>46</c:v>
                </c:pt>
                <c:pt idx="2">
                  <c:v>47</c:v>
                </c:pt>
                <c:pt idx="3">
                  <c:v>48</c:v>
                </c:pt>
                <c:pt idx="4">
                  <c:v>49</c:v>
                </c:pt>
                <c:pt idx="5">
                  <c:v>50</c:v>
                </c:pt>
                <c:pt idx="6">
                  <c:v>51</c:v>
                </c:pt>
                <c:pt idx="7">
                  <c:v>52</c:v>
                </c:pt>
                <c:pt idx="8">
                  <c:v>53</c:v>
                </c:pt>
                <c:pt idx="9">
                  <c:v>54</c:v>
                </c:pt>
                <c:pt idx="10">
                  <c:v>55</c:v>
                </c:pt>
              </c:numCache>
            </c:numRef>
          </c:cat>
          <c:val>
            <c:numRef>
              <c:f>[1]Average_45_Year_Old_Man_Pro!$AA$33:$AA$43</c:f>
              <c:numCache>
                <c:formatCode>General</c:formatCode>
                <c:ptCount val="11"/>
                <c:pt idx="0">
                  <c:v>45</c:v>
                </c:pt>
                <c:pt idx="1">
                  <c:v>45.9</c:v>
                </c:pt>
                <c:pt idx="2">
                  <c:v>46.817999999999998</c:v>
                </c:pt>
                <c:pt idx="3">
                  <c:v>47.754359999999998</c:v>
                </c:pt>
                <c:pt idx="4">
                  <c:v>48.7094472</c:v>
                </c:pt>
                <c:pt idx="5">
                  <c:v>49.683636143999998</c:v>
                </c:pt>
                <c:pt idx="6">
                  <c:v>50.677308866879997</c:v>
                </c:pt>
                <c:pt idx="7">
                  <c:v>51.690855044217599</c:v>
                </c:pt>
                <c:pt idx="8">
                  <c:v>52.724672145101948</c:v>
                </c:pt>
                <c:pt idx="9">
                  <c:v>53.779165588003984</c:v>
                </c:pt>
                <c:pt idx="10">
                  <c:v>54.854748899764061</c:v>
                </c:pt>
              </c:numCache>
            </c:numRef>
          </c:val>
          <c:smooth val="0"/>
          <c:extLst>
            <c:ext xmlns:c16="http://schemas.microsoft.com/office/drawing/2014/chart" uri="{C3380CC4-5D6E-409C-BE32-E72D297353CC}">
              <c16:uniqueId val="{00000000-DC51-4602-A2AA-C8CF0C9922F3}"/>
            </c:ext>
          </c:extLst>
        </c:ser>
        <c:ser>
          <c:idx val="0"/>
          <c:order val="1"/>
          <c:tx>
            <c:strRef>
              <c:f>[1]Persona_1.3!$AA$32</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[1]Persona_1.3!$AA$33:$AA$43</c:f>
              <c:numCache>
                <c:formatCode>General</c:formatCode>
                <c:ptCount val="11"/>
                <c:pt idx="0">
                  <c:v>64.5</c:v>
                </c:pt>
                <c:pt idx="1">
                  <c:v>65.790000000000006</c:v>
                </c:pt>
                <c:pt idx="2">
                  <c:v>67.105800000000002</c:v>
                </c:pt>
                <c:pt idx="3">
                  <c:v>68.447916000000006</c:v>
                </c:pt>
                <c:pt idx="4">
                  <c:v>69.816874320000011</c:v>
                </c:pt>
                <c:pt idx="5">
                  <c:v>71.213211806400011</c:v>
                </c:pt>
                <c:pt idx="6">
                  <c:v>72.637476042528007</c:v>
                </c:pt>
                <c:pt idx="7">
                  <c:v>74.090225563378567</c:v>
                </c:pt>
                <c:pt idx="8">
                  <c:v>75.572030074646136</c:v>
                </c:pt>
                <c:pt idx="9">
                  <c:v>77.083470676139058</c:v>
                </c:pt>
                <c:pt idx="10">
                  <c:v>78.625140089661841</c:v>
                </c:pt>
              </c:numCache>
            </c:numRef>
          </c:val>
          <c:smooth val="0"/>
          <c:extLst>
            <c:ext xmlns:c16="http://schemas.microsoft.com/office/drawing/2014/chart" uri="{C3380CC4-5D6E-409C-BE32-E72D297353CC}">
              <c16:uniqueId val="{00000001-DC51-4602-A2AA-C8CF0C9922F3}"/>
            </c:ext>
          </c:extLst>
        </c:ser>
        <c:ser>
          <c:idx val="2"/>
          <c:order val="2"/>
          <c:tx>
            <c:strRef>
              <c:f>[1]Persona_1.3!$AB$32</c:f>
              <c:strCache>
                <c:ptCount val="1"/>
                <c:pt idx="0">
                  <c:v>Cognitive Improvement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[1]Persona_1.3!$AB$33:$AB$43</c:f>
              <c:numCache>
                <c:formatCode>General</c:formatCode>
                <c:ptCount val="11"/>
                <c:pt idx="0" formatCode="0.0">
                  <c:v>64.5</c:v>
                </c:pt>
                <c:pt idx="1">
                  <c:v>63.534009969239399</c:v>
                </c:pt>
                <c:pt idx="2">
                  <c:v>62.600873229710537</c:v>
                </c:pt>
                <c:pt idx="3">
                  <c:v>61.667736490181674</c:v>
                </c:pt>
                <c:pt idx="4">
                  <c:v>60.766335702460339</c:v>
                </c:pt>
                <c:pt idx="5">
                  <c:v>59.895591527801777</c:v>
                </c:pt>
                <c:pt idx="6">
                  <c:v>59.054461335738743</c:v>
                </c:pt>
                <c:pt idx="7">
                  <c:v>58.2419379556341</c:v>
                </c:pt>
                <c:pt idx="8">
                  <c:v>57.45704847069311</c:v>
                </c:pt>
                <c:pt idx="9">
                  <c:v>56.698853052991289</c:v>
                </c:pt>
                <c:pt idx="10">
                  <c:v>55.966443838122963</c:v>
                </c:pt>
              </c:numCache>
            </c:numRef>
          </c:val>
          <c:smooth val="0"/>
          <c:extLst>
            <c:ext xmlns:c16="http://schemas.microsoft.com/office/drawing/2014/chart" uri="{C3380CC4-5D6E-409C-BE32-E72D297353CC}">
              <c16:uniqueId val="{00000002-DC51-4602-A2AA-C8CF0C9922F3}"/>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layout>
            <c:manualLayout>
              <c:xMode val="edge"/>
              <c:yMode val="edge"/>
              <c:x val="3.0446814079809884E-2"/>
              <c:y val="0.317891299825060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layout>
        <c:manualLayout>
          <c:xMode val="edge"/>
          <c:yMode val="edge"/>
          <c:x val="0.31018176769800071"/>
          <c:y val="0.5835897060175409"/>
          <c:w val="0.53825421760511061"/>
          <c:h val="0.22059216620819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31781239769767"/>
          <c:y val="0.19499652536483669"/>
          <c:w val="0.85868218760230253"/>
          <c:h val="0.64709814125502552"/>
        </c:manualLayout>
      </c:layout>
      <c:lineChart>
        <c:grouping val="standard"/>
        <c:varyColors val="0"/>
        <c:ser>
          <c:idx val="0"/>
          <c:order val="0"/>
          <c:tx>
            <c:strRef>
              <c:f>Average_30_Year_Old_Man_Profile!$O$32</c:f>
              <c:strCache>
                <c:ptCount val="1"/>
                <c:pt idx="0">
                  <c:v>Vitality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Average_30_Year_Old_Man_Profile!$N$32:$N$43</c15:sqref>
                  </c15:fullRef>
                </c:ext>
              </c:extLst>
              <c:f>Average_30_Year_Old_Man_Profile!$N$33:$N$43</c:f>
              <c:strCache>
                <c:ptCount val="11"/>
                <c:pt idx="0">
                  <c:v>30</c:v>
                </c:pt>
                <c:pt idx="1">
                  <c:v>31</c:v>
                </c:pt>
                <c:pt idx="2">
                  <c:v>32</c:v>
                </c:pt>
                <c:pt idx="3">
                  <c:v>33</c:v>
                </c:pt>
                <c:pt idx="4">
                  <c:v>34</c:v>
                </c:pt>
                <c:pt idx="5">
                  <c:v>35</c:v>
                </c:pt>
                <c:pt idx="6">
                  <c:v>36</c:v>
                </c:pt>
                <c:pt idx="7">
                  <c:v>37</c:v>
                </c:pt>
                <c:pt idx="8">
                  <c:v>38</c:v>
                </c:pt>
                <c:pt idx="9">
                  <c:v>39</c:v>
                </c:pt>
                <c:pt idx="10">
                  <c:v>40</c:v>
                </c:pt>
              </c:strCache>
            </c:strRef>
          </c:cat>
          <c:val>
            <c:numRef>
              <c:extLst>
                <c:ext xmlns:c15="http://schemas.microsoft.com/office/drawing/2012/chart" uri="{02D57815-91ED-43cb-92C2-25804820EDAC}">
                  <c15:fullRef>
                    <c15:sqref>Average_30_Year_Old_Man_Profile!$O$33:$O$43</c15:sqref>
                  </c15:fullRef>
                </c:ext>
              </c:extLst>
              <c:f>Average_30_Year_Old_Man_Profile!$O$34:$O$43</c:f>
              <c:numCache>
                <c:formatCode>General</c:formatCode>
                <c:ptCount val="10"/>
                <c:pt idx="0">
                  <c:v>30.345000000000006</c:v>
                </c:pt>
                <c:pt idx="1">
                  <c:v>30.693967500000007</c:v>
                </c:pt>
                <c:pt idx="2">
                  <c:v>31.046948126250008</c:v>
                </c:pt>
                <c:pt idx="3">
                  <c:v>31.403988029701882</c:v>
                </c:pt>
                <c:pt idx="4">
                  <c:v>31.765133892043455</c:v>
                </c:pt>
                <c:pt idx="5">
                  <c:v>32.130432931801955</c:v>
                </c:pt>
                <c:pt idx="6">
                  <c:v>32.499932910517678</c:v>
                </c:pt>
                <c:pt idx="7">
                  <c:v>32.873682138988634</c:v>
                </c:pt>
                <c:pt idx="8">
                  <c:v>33.251729483587006</c:v>
                </c:pt>
                <c:pt idx="9">
                  <c:v>33.634124372648259</c:v>
                </c:pt>
              </c:numCache>
            </c:numRef>
          </c:val>
          <c:smooth val="0"/>
          <c:extLst>
            <c:ext xmlns:c16="http://schemas.microsoft.com/office/drawing/2014/chart" uri="{C3380CC4-5D6E-409C-BE32-E72D297353CC}">
              <c16:uniqueId val="{00000000-EFB0-4F5C-802C-28784D6972A3}"/>
            </c:ext>
          </c:extLst>
        </c:ser>
        <c:ser>
          <c:idx val="1"/>
          <c:order val="1"/>
          <c:tx>
            <c:strRef>
              <c:f>Persona_1!$O$26</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30</c:v>
              </c:pt>
              <c:pt idx="1">
                <c:v>31</c:v>
              </c:pt>
              <c:pt idx="2">
                <c:v>32</c:v>
              </c:pt>
              <c:pt idx="3">
                <c:v>33</c:v>
              </c:pt>
              <c:pt idx="4">
                <c:v>34</c:v>
              </c:pt>
              <c:pt idx="5">
                <c:v>35</c:v>
              </c:pt>
              <c:pt idx="6">
                <c:v>36</c:v>
              </c:pt>
              <c:pt idx="7">
                <c:v>37</c:v>
              </c:pt>
              <c:pt idx="8">
                <c:v>38</c:v>
              </c:pt>
              <c:pt idx="9">
                <c:v>39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Persona_1!$O$27:$O$37</c15:sqref>
                  </c15:fullRef>
                </c:ext>
              </c:extLst>
              <c:f>Persona_1!$O$28:$O$37</c:f>
              <c:numCache>
                <c:formatCode>General</c:formatCode>
                <c:ptCount val="10"/>
                <c:pt idx="0">
                  <c:v>33.235932258064523</c:v>
                </c:pt>
                <c:pt idx="1">
                  <c:v>33.618145479032265</c:v>
                </c:pt>
                <c:pt idx="2">
                  <c:v>34.004754152041137</c:v>
                </c:pt>
                <c:pt idx="3">
                  <c:v>34.395808824789611</c:v>
                </c:pt>
                <c:pt idx="4">
                  <c:v>34.791360626274695</c:v>
                </c:pt>
                <c:pt idx="5">
                  <c:v>35.191461273476854</c:v>
                </c:pt>
                <c:pt idx="6">
                  <c:v>35.59616307812184</c:v>
                </c:pt>
                <c:pt idx="7">
                  <c:v>36.005518953520244</c:v>
                </c:pt>
                <c:pt idx="8">
                  <c:v>36.419582421485728</c:v>
                </c:pt>
                <c:pt idx="9">
                  <c:v>36.838407619332813</c:v>
                </c:pt>
              </c:numCache>
            </c:numRef>
          </c:val>
          <c:smooth val="0"/>
          <c:extLst>
            <c:ext xmlns:c16="http://schemas.microsoft.com/office/drawing/2014/chart" uri="{C3380CC4-5D6E-409C-BE32-E72D297353CC}">
              <c16:uniqueId val="{00000007-CD3E-4D23-AB07-9FC426D04CD2}"/>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layout>
            <c:manualLayout>
              <c:xMode val="edge"/>
              <c:yMode val="edge"/>
              <c:x val="0.49309035886689284"/>
              <c:y val="0.920790844511897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05224112573161"/>
          <c:y val="5.25532134202173E-2"/>
          <c:w val="0.86337051150475852"/>
          <c:h val="0.77390983117515311"/>
        </c:manualLayout>
      </c:layout>
      <c:lineChart>
        <c:grouping val="standard"/>
        <c:varyColors val="0"/>
        <c:ser>
          <c:idx val="0"/>
          <c:order val="0"/>
          <c:tx>
            <c:strRef>
              <c:f>Average_30_Year_Old_Man_Profile!$R$32</c:f>
              <c:strCache>
                <c:ptCount val="1"/>
                <c:pt idx="0">
                  <c:v>Strength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Average_30_Year_Old_Man_Profile!$Q$33:$Q$43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Average_30_Year_Old_Man_Profile!$R$33:$R$43</c:f>
              <c:numCache>
                <c:formatCode>General</c:formatCode>
                <c:ptCount val="11"/>
                <c:pt idx="0">
                  <c:v>29.999999999999996</c:v>
                </c:pt>
                <c:pt idx="1">
                  <c:v>30.368999999999996</c:v>
                </c:pt>
                <c:pt idx="2">
                  <c:v>30.742538699999997</c:v>
                </c:pt>
                <c:pt idx="3">
                  <c:v>31.120671926009997</c:v>
                </c:pt>
                <c:pt idx="4">
                  <c:v>31.503456190699922</c:v>
                </c:pt>
                <c:pt idx="5">
                  <c:v>31.890948701845531</c:v>
                </c:pt>
                <c:pt idx="6">
                  <c:v>32.28320737087823</c:v>
                </c:pt>
                <c:pt idx="7">
                  <c:v>32.680290821540034</c:v>
                </c:pt>
                <c:pt idx="8">
                  <c:v>33.082258398644974</c:v>
                </c:pt>
                <c:pt idx="9">
                  <c:v>33.489170176948306</c:v>
                </c:pt>
                <c:pt idx="10">
                  <c:v>33.901086970124773</c:v>
                </c:pt>
              </c:numCache>
            </c:numRef>
          </c:val>
          <c:smooth val="0"/>
          <c:extLst>
            <c:ext xmlns:c16="http://schemas.microsoft.com/office/drawing/2014/chart" uri="{C3380CC4-5D6E-409C-BE32-E72D297353CC}">
              <c16:uniqueId val="{00000000-5EBC-4472-A4DD-5C7ACD38DC77}"/>
            </c:ext>
          </c:extLst>
        </c:ser>
        <c:ser>
          <c:idx val="1"/>
          <c:order val="1"/>
          <c:tx>
            <c:strRef>
              <c:f>Persona_1!$R$26</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Persona_1!$R$27:$R$37</c:f>
              <c:numCache>
                <c:formatCode>General</c:formatCode>
                <c:ptCount val="11"/>
                <c:pt idx="0">
                  <c:v>37</c:v>
                </c:pt>
                <c:pt idx="1">
                  <c:v>37.455100000000002</c:v>
                </c:pt>
                <c:pt idx="2">
                  <c:v>37.915797730000001</c:v>
                </c:pt>
                <c:pt idx="3">
                  <c:v>38.382162042079003</c:v>
                </c:pt>
                <c:pt idx="4">
                  <c:v>38.854262635196577</c:v>
                </c:pt>
                <c:pt idx="5">
                  <c:v>39.332170065609496</c:v>
                </c:pt>
                <c:pt idx="6">
                  <c:v>39.815955757416496</c:v>
                </c:pt>
                <c:pt idx="7">
                  <c:v>40.305692013232722</c:v>
                </c:pt>
                <c:pt idx="8">
                  <c:v>40.801452024995484</c:v>
                </c:pt>
                <c:pt idx="9">
                  <c:v>41.30330988490293</c:v>
                </c:pt>
                <c:pt idx="10">
                  <c:v>41.811340596487234</c:v>
                </c:pt>
              </c:numCache>
            </c:numRef>
          </c:val>
          <c:smooth val="0"/>
          <c:extLst>
            <c:ext xmlns:c16="http://schemas.microsoft.com/office/drawing/2014/chart" uri="{C3380CC4-5D6E-409C-BE32-E72D297353CC}">
              <c16:uniqueId val="{00000001-5EBC-4472-A4DD-5C7ACD38DC77}"/>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58200675666795"/>
          <c:y val="5.0679566920064499E-2"/>
          <c:w val="0.85023727209390976"/>
          <c:h val="0.74511261420587804"/>
        </c:manualLayout>
      </c:layout>
      <c:lineChart>
        <c:grouping val="standard"/>
        <c:varyColors val="0"/>
        <c:ser>
          <c:idx val="0"/>
          <c:order val="0"/>
          <c:tx>
            <c:strRef>
              <c:f>Average_30_Year_Old_Man_Profile!$X$32</c:f>
              <c:strCache>
                <c:ptCount val="1"/>
                <c:pt idx="0">
                  <c:v>Mobility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Average_30_Year_Old_Man_Profile!$W$33:$W$43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Average_30_Year_Old_Man_Profile!$X$33:$X$43</c:f>
              <c:numCache>
                <c:formatCode>General</c:formatCode>
                <c:ptCount val="11"/>
                <c:pt idx="0">
                  <c:v>29.999999999999996</c:v>
                </c:pt>
                <c:pt idx="1">
                  <c:v>30.296999999999997</c:v>
                </c:pt>
                <c:pt idx="2">
                  <c:v>30.596940299999996</c:v>
                </c:pt>
                <c:pt idx="3">
                  <c:v>30.899850008969995</c:v>
                </c:pt>
                <c:pt idx="4">
                  <c:v>31.205758524058798</c:v>
                </c:pt>
                <c:pt idx="5">
                  <c:v>31.514695533446979</c:v>
                </c:pt>
                <c:pt idx="6">
                  <c:v>31.826691019228104</c:v>
                </c:pt>
                <c:pt idx="7">
                  <c:v>32.141775260318461</c:v>
                </c:pt>
                <c:pt idx="8">
                  <c:v>32.459978835395617</c:v>
                </c:pt>
                <c:pt idx="9">
                  <c:v>32.781332625866035</c:v>
                </c:pt>
                <c:pt idx="10">
                  <c:v>33.105867818862109</c:v>
                </c:pt>
              </c:numCache>
            </c:numRef>
          </c:val>
          <c:smooth val="0"/>
          <c:extLst>
            <c:ext xmlns:c16="http://schemas.microsoft.com/office/drawing/2014/chart" uri="{C3380CC4-5D6E-409C-BE32-E72D297353CC}">
              <c16:uniqueId val="{00000000-9019-4A5E-BEF8-E1AD199FEFE9}"/>
            </c:ext>
          </c:extLst>
        </c:ser>
        <c:ser>
          <c:idx val="1"/>
          <c:order val="1"/>
          <c:tx>
            <c:strRef>
              <c:f>Persona_1!$X$26</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Persona_1!$X$27:$X$37</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1-9019-4A5E-BEF8-E1AD199FEFE9}"/>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5862395330800683"/>
          <c:y val="0.4781143718472648"/>
          <c:w val="0.32631794271969272"/>
          <c:h val="0.26009033804998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Average_30_Year_Old_Man_Profile!$AA$32</c:f>
              <c:strCache>
                <c:ptCount val="1"/>
                <c:pt idx="0">
                  <c:v>Cognitive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Average_30_Year_Old_Man_Profile!$Z$33:$Z$43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Average_30_Year_Old_Man_Profile!$AA$33:$AA$43</c:f>
              <c:numCache>
                <c:formatCode>General</c:formatCode>
                <c:ptCount val="11"/>
                <c:pt idx="0">
                  <c:v>30</c:v>
                </c:pt>
                <c:pt idx="1">
                  <c:v>30.6</c:v>
                </c:pt>
                <c:pt idx="2">
                  <c:v>31.212</c:v>
                </c:pt>
                <c:pt idx="3">
                  <c:v>31.83624</c:v>
                </c:pt>
                <c:pt idx="4">
                  <c:v>32.4729648</c:v>
                </c:pt>
                <c:pt idx="5">
                  <c:v>33.122424096000003</c:v>
                </c:pt>
                <c:pt idx="6">
                  <c:v>33.784872577920005</c:v>
                </c:pt>
                <c:pt idx="7">
                  <c:v>34.460570029478404</c:v>
                </c:pt>
                <c:pt idx="8">
                  <c:v>35.149781430067975</c:v>
                </c:pt>
                <c:pt idx="9">
                  <c:v>35.852777058669332</c:v>
                </c:pt>
                <c:pt idx="10">
                  <c:v>36.569832599842719</c:v>
                </c:pt>
              </c:numCache>
            </c:numRef>
          </c:val>
          <c:smooth val="0"/>
          <c:extLst>
            <c:ext xmlns:c16="http://schemas.microsoft.com/office/drawing/2014/chart" uri="{C3380CC4-5D6E-409C-BE32-E72D297353CC}">
              <c16:uniqueId val="{00000000-3B32-4670-A566-589D3C0926EB}"/>
            </c:ext>
          </c:extLst>
        </c:ser>
        <c:ser>
          <c:idx val="0"/>
          <c:order val="1"/>
          <c:tx>
            <c:strRef>
              <c:f>Persona_1!$AA$26</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Persona_1!$AA$27:$AA$37</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1-3B32-4670-A566-589D3C0926EB}"/>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43006351025993"/>
          <c:y val="5.2923522668466901E-2"/>
          <c:w val="0.85890487295786355"/>
          <c:h val="0.73382688211881997"/>
        </c:manualLayout>
      </c:layout>
      <c:lineChart>
        <c:grouping val="standard"/>
        <c:varyColors val="0"/>
        <c:ser>
          <c:idx val="0"/>
          <c:order val="0"/>
          <c:tx>
            <c:strRef>
              <c:f>Average_30_Year_Old_Man_Profile!$U$32</c:f>
              <c:strCache>
                <c:ptCount val="1"/>
                <c:pt idx="0">
                  <c:v>Metabolic Decline of an average 30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Average_30_Year_Old_Man_Profile!$T$33:$T$43</c:f>
              <c:numCache>
                <c:formatCode>General</c:formatCode>
                <c:ptCount val="11"/>
                <c:pt idx="0">
                  <c:v>30</c:v>
                </c:pt>
                <c:pt idx="1">
                  <c:v>31</c:v>
                </c:pt>
                <c:pt idx="2">
                  <c:v>32</c:v>
                </c:pt>
                <c:pt idx="3">
                  <c:v>33</c:v>
                </c:pt>
                <c:pt idx="4">
                  <c:v>34</c:v>
                </c:pt>
                <c:pt idx="5">
                  <c:v>35</c:v>
                </c:pt>
                <c:pt idx="6">
                  <c:v>36</c:v>
                </c:pt>
                <c:pt idx="7">
                  <c:v>37</c:v>
                </c:pt>
                <c:pt idx="8">
                  <c:v>38</c:v>
                </c:pt>
                <c:pt idx="9">
                  <c:v>39</c:v>
                </c:pt>
                <c:pt idx="10">
                  <c:v>40</c:v>
                </c:pt>
              </c:numCache>
            </c:numRef>
          </c:cat>
          <c:val>
            <c:numRef>
              <c:f>Average_30_Year_Old_Man_Profile!$U$33:$U$43</c:f>
              <c:numCache>
                <c:formatCode>General</c:formatCode>
                <c:ptCount val="11"/>
                <c:pt idx="0">
                  <c:v>28.920406015037596</c:v>
                </c:pt>
                <c:pt idx="1">
                  <c:v>29.079468248120303</c:v>
                </c:pt>
                <c:pt idx="2">
                  <c:v>29.239405323484966</c:v>
                </c:pt>
                <c:pt idx="3">
                  <c:v>29.400222052764132</c:v>
                </c:pt>
                <c:pt idx="4">
                  <c:v>29.561923274054333</c:v>
                </c:pt>
                <c:pt idx="5">
                  <c:v>29.724513852061634</c:v>
                </c:pt>
                <c:pt idx="6">
                  <c:v>29.887998678247971</c:v>
                </c:pt>
                <c:pt idx="7">
                  <c:v>30.052382670978336</c:v>
                </c:pt>
                <c:pt idx="8">
                  <c:v>30.217670775668715</c:v>
                </c:pt>
                <c:pt idx="9">
                  <c:v>30.383867964934893</c:v>
                </c:pt>
                <c:pt idx="10">
                  <c:v>30.550979238742034</c:v>
                </c:pt>
              </c:numCache>
            </c:numRef>
          </c:val>
          <c:smooth val="0"/>
          <c:extLst>
            <c:ext xmlns:c16="http://schemas.microsoft.com/office/drawing/2014/chart" uri="{C3380CC4-5D6E-409C-BE32-E72D297353CC}">
              <c16:uniqueId val="{00000000-7103-4CC7-9476-84FCAC7937E2}"/>
            </c:ext>
          </c:extLst>
        </c:ser>
        <c:ser>
          <c:idx val="1"/>
          <c:order val="1"/>
          <c:tx>
            <c:strRef>
              <c:f>Persona_1!$X$26</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Persona_1!$U$27:$U$37</c:f>
              <c:numCache>
                <c:formatCode>General</c:formatCode>
                <c:ptCount val="11"/>
                <c:pt idx="0">
                  <c:v>27.457669172932331</c:v>
                </c:pt>
                <c:pt idx="1">
                  <c:v>27.759703533834585</c:v>
                </c:pt>
                <c:pt idx="2">
                  <c:v>28.065060272706766</c:v>
                </c:pt>
                <c:pt idx="3">
                  <c:v>28.37377593570654</c:v>
                </c:pt>
                <c:pt idx="4">
                  <c:v>28.685887470999312</c:v>
                </c:pt>
                <c:pt idx="5">
                  <c:v>29.001432233180303</c:v>
                </c:pt>
                <c:pt idx="6">
                  <c:v>29.320447987745286</c:v>
                </c:pt>
                <c:pt idx="7">
                  <c:v>29.642972915610486</c:v>
                </c:pt>
                <c:pt idx="8">
                  <c:v>29.969045617682202</c:v>
                </c:pt>
                <c:pt idx="9">
                  <c:v>30.298705119476708</c:v>
                </c:pt>
                <c:pt idx="10">
                  <c:v>30.631990875790951</c:v>
                </c:pt>
              </c:numCache>
            </c:numRef>
          </c:val>
          <c:smooth val="0"/>
          <c:extLst>
            <c:ext xmlns:c16="http://schemas.microsoft.com/office/drawing/2014/chart" uri="{C3380CC4-5D6E-409C-BE32-E72D297353CC}">
              <c16:uniqueId val="{00000001-7103-4CC7-9476-84FCAC7937E2}"/>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4544523056401948"/>
          <c:y val="0.48195675348852013"/>
          <c:w val="0.33720014007058591"/>
          <c:h val="0.26560373322963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478029323100737"/>
          <c:y val="0.19499652536483669"/>
          <c:w val="0.84521970676899261"/>
          <c:h val="0.64815197555924631"/>
        </c:manualLayout>
      </c:layout>
      <c:lineChart>
        <c:grouping val="standard"/>
        <c:varyColors val="0"/>
        <c:ser>
          <c:idx val="0"/>
          <c:order val="0"/>
          <c:tx>
            <c:strRef>
              <c:f>Average_50_Year_Old_Woman_Pro!$O$32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Average_50_Year_Old_Woman_Pro!$N$32:$N$43</c:f>
              <c:strCache>
                <c:ptCount val="12"/>
                <c:pt idx="0">
                  <c:v>Chronological Age</c:v>
                </c:pt>
                <c:pt idx="1">
                  <c:v>50</c:v>
                </c:pt>
                <c:pt idx="2">
                  <c:v>51</c:v>
                </c:pt>
                <c:pt idx="3">
                  <c:v>52</c:v>
                </c:pt>
                <c:pt idx="4">
                  <c:v>53</c:v>
                </c:pt>
                <c:pt idx="5">
                  <c:v>54</c:v>
                </c:pt>
                <c:pt idx="6">
                  <c:v>55</c:v>
                </c:pt>
                <c:pt idx="7">
                  <c:v>56</c:v>
                </c:pt>
                <c:pt idx="8">
                  <c:v>57</c:v>
                </c:pt>
                <c:pt idx="9">
                  <c:v>58</c:v>
                </c:pt>
                <c:pt idx="10">
                  <c:v>59</c:v>
                </c:pt>
                <c:pt idx="11">
                  <c:v>60</c:v>
                </c:pt>
              </c:strCache>
            </c:strRef>
          </c:cat>
          <c:val>
            <c:numRef>
              <c:f>Average_50_Year_Old_Woman_Pro!$O$33:$O$43</c:f>
              <c:numCache>
                <c:formatCode>General</c:formatCode>
                <c:ptCount val="11"/>
                <c:pt idx="0" formatCode="0.0">
                  <c:v>50.000000000000007</c:v>
                </c:pt>
                <c:pt idx="1">
                  <c:v>50.57500000000001</c:v>
                </c:pt>
                <c:pt idx="2">
                  <c:v>51.156612500000008</c:v>
                </c:pt>
                <c:pt idx="3">
                  <c:v>51.744913543750009</c:v>
                </c:pt>
                <c:pt idx="4">
                  <c:v>52.339980049503133</c:v>
                </c:pt>
                <c:pt idx="5">
                  <c:v>52.941889820072419</c:v>
                </c:pt>
                <c:pt idx="6">
                  <c:v>53.55072155300325</c:v>
                </c:pt>
                <c:pt idx="7">
                  <c:v>54.166554850862788</c:v>
                </c:pt>
                <c:pt idx="8">
                  <c:v>54.789470231647712</c:v>
                </c:pt>
                <c:pt idx="9">
                  <c:v>55.419549139311663</c:v>
                </c:pt>
                <c:pt idx="10">
                  <c:v>56.056873954413746</c:v>
                </c:pt>
              </c:numCache>
            </c:numRef>
          </c:val>
          <c:smooth val="0"/>
          <c:extLst>
            <c:ext xmlns:c16="http://schemas.microsoft.com/office/drawing/2014/chart" uri="{C3380CC4-5D6E-409C-BE32-E72D297353CC}">
              <c16:uniqueId val="{00000000-4624-47E5-A412-5B6544AA6A80}"/>
            </c:ext>
          </c:extLst>
        </c:ser>
        <c:ser>
          <c:idx val="1"/>
          <c:order val="1"/>
          <c:tx>
            <c:strRef>
              <c:f>Persona_2!$N$35</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Persona_2!$N$36:$N$46</c:f>
              <c:numCache>
                <c:formatCode>General</c:formatCode>
                <c:ptCount val="11"/>
                <c:pt idx="0" formatCode="0.0">
                  <c:v>-6.0157894736841939</c:v>
                </c:pt>
                <c:pt idx="1">
                  <c:v>-5.9466078947368253</c:v>
                </c:pt>
                <c:pt idx="2">
                  <c:v>-5.8782219039473516</c:v>
                </c:pt>
                <c:pt idx="3">
                  <c:v>-5.8106223520519569</c:v>
                </c:pt>
                <c:pt idx="4">
                  <c:v>-5.7438001950033595</c:v>
                </c:pt>
                <c:pt idx="5">
                  <c:v>-5.6777464927608206</c:v>
                </c:pt>
                <c:pt idx="6">
                  <c:v>-5.6124524080940708</c:v>
                </c:pt>
                <c:pt idx="7">
                  <c:v>-5.5479092054009893</c:v>
                </c:pt>
                <c:pt idx="8">
                  <c:v>-5.4841082495388775</c:v>
                </c:pt>
                <c:pt idx="9">
                  <c:v>-5.4210410046691804</c:v>
                </c:pt>
                <c:pt idx="10">
                  <c:v>-5.3586990331154851</c:v>
                </c:pt>
              </c:numCache>
            </c:numRef>
          </c:val>
          <c:smooth val="0"/>
          <c:extLst>
            <c:ext xmlns:c16="http://schemas.microsoft.com/office/drawing/2014/chart" uri="{C3380CC4-5D6E-409C-BE32-E72D297353CC}">
              <c16:uniqueId val="{00000000-91AA-4E1A-B86A-A202669D561A}"/>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99275695707781"/>
          <c:y val="5.6885508243715924E-2"/>
          <c:w val="0.79892161014663832"/>
          <c:h val="0.73975755453394199"/>
        </c:manualLayout>
      </c:layout>
      <c:lineChart>
        <c:grouping val="standard"/>
        <c:varyColors val="0"/>
        <c:ser>
          <c:idx val="0"/>
          <c:order val="0"/>
          <c:tx>
            <c:strRef>
              <c:f>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7D8D-43F1-BA3F-ADE4AD820A04}"/>
            </c:ext>
          </c:extLst>
        </c:ser>
        <c:ser>
          <c:idx val="1"/>
          <c:order val="1"/>
          <c:tx>
            <c:strRef>
              <c:f>Persona_2!$Q$35</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Persona_2!$Q$36:$Q$46</c:f>
              <c:numCache>
                <c:formatCode>General</c:formatCode>
                <c:ptCount val="11"/>
                <c:pt idx="0">
                  <c:v>53.666666666666671</c:v>
                </c:pt>
                <c:pt idx="1">
                  <c:v>54.326766666666671</c:v>
                </c:pt>
                <c:pt idx="2">
                  <c:v>54.99498589666667</c:v>
                </c:pt>
                <c:pt idx="3">
                  <c:v>55.671424223195672</c:v>
                </c:pt>
                <c:pt idx="4">
                  <c:v>56.356182741140977</c:v>
                </c:pt>
                <c:pt idx="5">
                  <c:v>57.049363788857008</c:v>
                </c:pt>
                <c:pt idx="6">
                  <c:v>57.751070963459952</c:v>
                </c:pt>
                <c:pt idx="7">
                  <c:v>58.461409136310508</c:v>
                </c:pt>
                <c:pt idx="8">
                  <c:v>59.180484468687126</c:v>
                </c:pt>
                <c:pt idx="9">
                  <c:v>59.90840442765198</c:v>
                </c:pt>
                <c:pt idx="10">
                  <c:v>60.645277802112098</c:v>
                </c:pt>
              </c:numCache>
            </c:numRef>
          </c:val>
          <c:smooth val="0"/>
          <c:extLst>
            <c:ext xmlns:c16="http://schemas.microsoft.com/office/drawing/2014/chart" uri="{C3380CC4-5D6E-409C-BE32-E72D297353CC}">
              <c16:uniqueId val="{00000000-B11A-4CC2-AF95-98F23F8BC40F}"/>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4017309390583577"/>
          <c:y val="0.45539475773777288"/>
          <c:w val="0.32407843159324112"/>
          <c:h val="0.387689061268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87315616224683"/>
          <c:y val="5.3307304207270402E-2"/>
          <c:w val="0.85911957632306446"/>
          <c:h val="0.73189669448923822"/>
        </c:manualLayout>
      </c:layout>
      <c:lineChart>
        <c:grouping val="standard"/>
        <c:varyColors val="0"/>
        <c:ser>
          <c:idx val="0"/>
          <c:order val="0"/>
          <c:tx>
            <c:strRef>
              <c:f>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9B46-43D9-AE3A-2FA41D797A7F}"/>
            </c:ext>
          </c:extLst>
        </c:ser>
        <c:ser>
          <c:idx val="1"/>
          <c:order val="1"/>
          <c:tx>
            <c:strRef>
              <c:f>Persona_2!$W$35</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Persona_2!$W$36:$W$46</c:f>
              <c:numCache>
                <c:formatCode>General</c:formatCode>
                <c:ptCount val="11"/>
                <c:pt idx="0">
                  <c:v>44.392857142857146</c:v>
                </c:pt>
                <c:pt idx="1">
                  <c:v>44.832346428571434</c:v>
                </c:pt>
                <c:pt idx="2">
                  <c:v>45.276186658214293</c:v>
                </c:pt>
                <c:pt idx="3">
                  <c:v>45.724420906130618</c:v>
                </c:pt>
                <c:pt idx="4">
                  <c:v>46.177092673101313</c:v>
                </c:pt>
                <c:pt idx="5">
                  <c:v>46.634245890565019</c:v>
                </c:pt>
                <c:pt idx="6">
                  <c:v>47.095924924881615</c:v>
                </c:pt>
                <c:pt idx="7">
                  <c:v>47.56217458163794</c:v>
                </c:pt>
                <c:pt idx="8">
                  <c:v>48.033040109996158</c:v>
                </c:pt>
                <c:pt idx="9">
                  <c:v>48.508567207085122</c:v>
                </c:pt>
                <c:pt idx="10">
                  <c:v>48.988802022435266</c:v>
                </c:pt>
              </c:numCache>
            </c:numRef>
          </c:val>
          <c:smooth val="0"/>
          <c:extLst>
            <c:ext xmlns:c16="http://schemas.microsoft.com/office/drawing/2014/chart" uri="{C3380CC4-5D6E-409C-BE32-E72D297353CC}">
              <c16:uniqueId val="{00000000-5AD2-429D-A77B-E8BB72D80683}"/>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CB8E-4B68-B55E-D7D5B33AFFB0}"/>
            </c:ext>
          </c:extLst>
        </c:ser>
        <c:ser>
          <c:idx val="0"/>
          <c:order val="1"/>
          <c:tx>
            <c:strRef>
              <c:f>Persona_2!$Z$35</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Persona_2!$Z$36:$Z$46</c:f>
              <c:numCache>
                <c:formatCode>General</c:formatCode>
                <c:ptCount val="11"/>
                <c:pt idx="0">
                  <c:v>22.2</c:v>
                </c:pt>
                <c:pt idx="1">
                  <c:v>22.643999999999998</c:v>
                </c:pt>
                <c:pt idx="2">
                  <c:v>23.096879999999999</c:v>
                </c:pt>
                <c:pt idx="3">
                  <c:v>23.558817599999998</c:v>
                </c:pt>
                <c:pt idx="4">
                  <c:v>24.029993951999998</c:v>
                </c:pt>
                <c:pt idx="5">
                  <c:v>24.510593831039998</c:v>
                </c:pt>
                <c:pt idx="6">
                  <c:v>25.000805707660799</c:v>
                </c:pt>
                <c:pt idx="7">
                  <c:v>25.500821821814014</c:v>
                </c:pt>
                <c:pt idx="8">
                  <c:v>26.010838258250295</c:v>
                </c:pt>
                <c:pt idx="9">
                  <c:v>26.531055023415302</c:v>
                </c:pt>
                <c:pt idx="10">
                  <c:v>27.061676123883608</c:v>
                </c:pt>
              </c:numCache>
            </c:numRef>
          </c:val>
          <c:smooth val="0"/>
          <c:extLst>
            <c:ext xmlns:c16="http://schemas.microsoft.com/office/drawing/2014/chart" uri="{C3380CC4-5D6E-409C-BE32-E72D297353CC}">
              <c16:uniqueId val="{00000000-C926-4C0B-A56F-63CCDFCADB0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632719843088"/>
          <c:y val="5.4705194996413034E-2"/>
          <c:w val="0.86267737609931638"/>
          <c:h val="0.72486615436184842"/>
        </c:manualLayout>
      </c:layout>
      <c:lineChart>
        <c:grouping val="standard"/>
        <c:varyColors val="0"/>
        <c:ser>
          <c:idx val="0"/>
          <c:order val="0"/>
          <c:tx>
            <c:strRef>
              <c:f>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609D-45D4-9AB9-7277EE2EC019}"/>
            </c:ext>
          </c:extLst>
        </c:ser>
        <c:ser>
          <c:idx val="1"/>
          <c:order val="1"/>
          <c:tx>
            <c:strRef>
              <c:f>Persona_2!$T$35</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Persona_2!$T$36:$T$46</c:f>
              <c:numCache>
                <c:formatCode>General</c:formatCode>
                <c:ptCount val="11"/>
                <c:pt idx="0">
                  <c:v>40.962401315789471</c:v>
                </c:pt>
                <c:pt idx="1">
                  <c:v>41.412987730263154</c:v>
                </c:pt>
                <c:pt idx="2">
                  <c:v>41.86853059529605</c:v>
                </c:pt>
                <c:pt idx="3">
                  <c:v>42.329084431844308</c:v>
                </c:pt>
                <c:pt idx="4">
                  <c:v>42.794704360594594</c:v>
                </c:pt>
                <c:pt idx="5">
                  <c:v>43.265446108561136</c:v>
                </c:pt>
                <c:pt idx="6">
                  <c:v>43.741366015755311</c:v>
                </c:pt>
                <c:pt idx="7">
                  <c:v>44.222521041928623</c:v>
                </c:pt>
                <c:pt idx="8">
                  <c:v>44.708968773389834</c:v>
                </c:pt>
                <c:pt idx="9">
                  <c:v>45.20076742989712</c:v>
                </c:pt>
                <c:pt idx="10">
                  <c:v>45.697975871625985</c:v>
                </c:pt>
              </c:numCache>
            </c:numRef>
          </c:val>
          <c:smooth val="0"/>
          <c:extLst>
            <c:ext xmlns:c16="http://schemas.microsoft.com/office/drawing/2014/chart" uri="{C3380CC4-5D6E-409C-BE32-E72D297353CC}">
              <c16:uniqueId val="{00000001-609D-45D4-9AB9-7277EE2EC019}"/>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52386211052921"/>
          <c:y val="8.2315676699609486E-2"/>
          <c:w val="0.8837110540498534"/>
          <c:h val="0.72106431449369734"/>
        </c:manualLayout>
      </c:layout>
      <c:lineChart>
        <c:grouping val="standard"/>
        <c:varyColors val="0"/>
        <c:ser>
          <c:idx val="0"/>
          <c:order val="0"/>
          <c:tx>
            <c:strRef>
              <c:f>Average_20_Year_Old_Man_Pro!$O$32</c:f>
              <c:strCache>
                <c:ptCount val="1"/>
                <c:pt idx="0">
                  <c:v>Vitality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Average_20_Year_Old_Man_Pro!$N$32:$N$43</c15:sqref>
                  </c15:fullRef>
                </c:ext>
              </c:extLst>
              <c:f>Average_20_Year_Old_Man_Pro!$N$33:$N$43</c:f>
              <c:strCache>
                <c:ptCount val="11"/>
                <c:pt idx="0">
                  <c:v>20</c:v>
                </c:pt>
                <c:pt idx="1">
                  <c:v>21</c:v>
                </c:pt>
                <c:pt idx="2">
                  <c:v>22</c:v>
                </c:pt>
                <c:pt idx="3">
                  <c:v>23</c:v>
                </c:pt>
                <c:pt idx="4">
                  <c:v>24</c:v>
                </c:pt>
                <c:pt idx="5">
                  <c:v>25</c:v>
                </c:pt>
                <c:pt idx="6">
                  <c:v>26</c:v>
                </c:pt>
                <c:pt idx="7">
                  <c:v>27</c:v>
                </c:pt>
                <c:pt idx="8">
                  <c:v>28</c:v>
                </c:pt>
                <c:pt idx="9">
                  <c:v>29</c:v>
                </c:pt>
                <c:pt idx="10">
                  <c:v>30</c:v>
                </c:pt>
              </c:strCache>
            </c:strRef>
          </c:cat>
          <c:val>
            <c:numRef>
              <c:extLst>
                <c:ext xmlns:c15="http://schemas.microsoft.com/office/drawing/2012/chart" uri="{02D57815-91ED-43cb-92C2-25804820EDAC}">
                  <c15:fullRef>
                    <c15:sqref>Average_20_Year_Old_Man_Pro!$O$33:$O$43</c15:sqref>
                  </c15:fullRef>
                </c:ext>
              </c:extLst>
              <c:f>Average_20_Year_Old_Man_Pro!$O$34:$O$43</c:f>
              <c:numCache>
                <c:formatCode>General</c:formatCode>
                <c:ptCount val="10"/>
                <c:pt idx="0">
                  <c:v>20.230000000000008</c:v>
                </c:pt>
                <c:pt idx="1">
                  <c:v>20.462645000000009</c:v>
                </c:pt>
                <c:pt idx="2">
                  <c:v>20.697965417500008</c:v>
                </c:pt>
                <c:pt idx="3">
                  <c:v>20.935992019801258</c:v>
                </c:pt>
                <c:pt idx="4">
                  <c:v>21.176755928028971</c:v>
                </c:pt>
                <c:pt idx="5">
                  <c:v>21.420288621201305</c:v>
                </c:pt>
                <c:pt idx="6">
                  <c:v>21.66662194034512</c:v>
                </c:pt>
                <c:pt idx="7">
                  <c:v>21.915788092659088</c:v>
                </c:pt>
                <c:pt idx="8">
                  <c:v>22.167819655724667</c:v>
                </c:pt>
                <c:pt idx="9">
                  <c:v>22.422749581765501</c:v>
                </c:pt>
              </c:numCache>
            </c:numRef>
          </c:val>
          <c:smooth val="0"/>
          <c:extLst>
            <c:ext xmlns:c16="http://schemas.microsoft.com/office/drawing/2014/chart" uri="{C3380CC4-5D6E-409C-BE32-E72D297353CC}">
              <c16:uniqueId val="{00000000-401C-48E8-A016-79D1911C2A41}"/>
            </c:ext>
          </c:extLst>
        </c:ser>
        <c:ser>
          <c:idx val="1"/>
          <c:order val="1"/>
          <c:tx>
            <c:strRef>
              <c:f>Persona_3!$Q$50</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20</c:v>
              </c:pt>
              <c:pt idx="1">
                <c:v>21</c:v>
              </c:pt>
              <c:pt idx="2">
                <c:v>22</c:v>
              </c:pt>
              <c:pt idx="3">
                <c:v>23</c:v>
              </c:pt>
              <c:pt idx="4">
                <c:v>24</c:v>
              </c:pt>
              <c:pt idx="5">
                <c:v>25</c:v>
              </c:pt>
              <c:pt idx="6">
                <c:v>26</c:v>
              </c:pt>
              <c:pt idx="7">
                <c:v>27</c:v>
              </c:pt>
              <c:pt idx="8">
                <c:v>28</c:v>
              </c:pt>
              <c:pt idx="9">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Persona_3!$Q$51:$Q$61</c15:sqref>
                  </c15:fullRef>
                </c:ext>
              </c:extLst>
              <c:f>Persona_3!$Q$52:$Q$61</c:f>
              <c:numCache>
                <c:formatCode>General</c:formatCode>
                <c:ptCount val="10"/>
                <c:pt idx="0">
                  <c:v>52.994170833333328</c:v>
                </c:pt>
                <c:pt idx="1">
                  <c:v>53.603603797916662</c:v>
                </c:pt>
                <c:pt idx="2">
                  <c:v>54.2200452415927</c:v>
                </c:pt>
                <c:pt idx="3">
                  <c:v>54.843575761871016</c:v>
                </c:pt>
                <c:pt idx="4">
                  <c:v>55.474276883132532</c:v>
                </c:pt>
                <c:pt idx="5">
                  <c:v>56.112231067288555</c:v>
                </c:pt>
                <c:pt idx="6">
                  <c:v>56.757521724562373</c:v>
                </c:pt>
                <c:pt idx="7">
                  <c:v>57.410233224394844</c:v>
                </c:pt>
                <c:pt idx="8">
                  <c:v>58.070450906475386</c:v>
                </c:pt>
                <c:pt idx="9">
                  <c:v>58.738261091899851</c:v>
                </c:pt>
              </c:numCache>
            </c:numRef>
          </c:val>
          <c:smooth val="0"/>
          <c:extLst>
            <c:ext xmlns:c16="http://schemas.microsoft.com/office/drawing/2014/chart" uri="{C3380CC4-5D6E-409C-BE32-E72D297353CC}">
              <c16:uniqueId val="{00000002-401C-48E8-A016-79D1911C2A41}"/>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89923842903965"/>
          <c:y val="5.1643116124185984E-2"/>
          <c:w val="0.83015447654245511"/>
          <c:h val="0.74026654797745295"/>
        </c:manualLayout>
      </c:layout>
      <c:lineChart>
        <c:grouping val="standard"/>
        <c:varyColors val="0"/>
        <c:ser>
          <c:idx val="0"/>
          <c:order val="0"/>
          <c:tx>
            <c:strRef>
              <c:f>Average_20_Year_Old_Man_Pro!$R$32</c:f>
              <c:strCache>
                <c:ptCount val="1"/>
                <c:pt idx="0">
                  <c:v>Strength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Average_20_Year_Old_Man_Pro!$Q$33:$Q$43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Average_20_Year_Old_Man_Pro!$R$33:$R$43</c:f>
              <c:numCache>
                <c:formatCode>General</c:formatCode>
                <c:ptCount val="11"/>
                <c:pt idx="0">
                  <c:v>19.999999999999996</c:v>
                </c:pt>
                <c:pt idx="1">
                  <c:v>20.245999999999995</c:v>
                </c:pt>
                <c:pt idx="2">
                  <c:v>20.495025799999993</c:v>
                </c:pt>
                <c:pt idx="3">
                  <c:v>20.747114617339992</c:v>
                </c:pt>
                <c:pt idx="4">
                  <c:v>21.002304127133275</c:v>
                </c:pt>
                <c:pt idx="5">
                  <c:v>21.260632467897015</c:v>
                </c:pt>
                <c:pt idx="6">
                  <c:v>21.522138247252148</c:v>
                </c:pt>
                <c:pt idx="7">
                  <c:v>21.786860547693347</c:v>
                </c:pt>
                <c:pt idx="8">
                  <c:v>22.054838932429977</c:v>
                </c:pt>
                <c:pt idx="9">
                  <c:v>22.326113451298866</c:v>
                </c:pt>
                <c:pt idx="10">
                  <c:v>22.600724646749843</c:v>
                </c:pt>
              </c:numCache>
            </c:numRef>
          </c:val>
          <c:smooth val="0"/>
          <c:extLst>
            <c:ext xmlns:c16="http://schemas.microsoft.com/office/drawing/2014/chart" uri="{C3380CC4-5D6E-409C-BE32-E72D297353CC}">
              <c16:uniqueId val="{00000000-DB72-4D30-ACC1-715879121E44}"/>
            </c:ext>
          </c:extLst>
        </c:ser>
        <c:ser>
          <c:idx val="1"/>
          <c:order val="1"/>
          <c:tx>
            <c:strRef>
              <c:f>Persona_3!$T$50</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Persona_3!$T$51:$T$61</c:f>
              <c:numCache>
                <c:formatCode>General</c:formatCode>
                <c:ptCount val="11"/>
                <c:pt idx="0">
                  <c:v>78.928571428571431</c:v>
                </c:pt>
                <c:pt idx="1">
                  <c:v>79.899392857142857</c:v>
                </c:pt>
                <c:pt idx="2">
                  <c:v>80.882155389285714</c:v>
                </c:pt>
                <c:pt idx="3">
                  <c:v>81.877005900573934</c:v>
                </c:pt>
                <c:pt idx="4">
                  <c:v>82.884093073150993</c:v>
                </c:pt>
                <c:pt idx="5">
                  <c:v>83.903567417950754</c:v>
                </c:pt>
                <c:pt idx="6">
                  <c:v>84.935581297191547</c:v>
                </c:pt>
                <c:pt idx="7">
                  <c:v>85.980288947147002</c:v>
                </c:pt>
                <c:pt idx="8">
                  <c:v>87.03784650119691</c:v>
                </c:pt>
                <c:pt idx="9">
                  <c:v>88.108412013161626</c:v>
                </c:pt>
                <c:pt idx="10">
                  <c:v>89.192145480923514</c:v>
                </c:pt>
              </c:numCache>
            </c:numRef>
          </c:val>
          <c:smooth val="0"/>
          <c:extLst>
            <c:ext xmlns:c16="http://schemas.microsoft.com/office/drawing/2014/chart" uri="{C3380CC4-5D6E-409C-BE32-E72D297353CC}">
              <c16:uniqueId val="{00000001-DB72-4D30-ACC1-715879121E4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39194948279868"/>
          <c:y val="5.1963819493239312E-2"/>
          <c:w val="0.87343758731540599"/>
          <c:h val="0.73865360516201217"/>
        </c:manualLayout>
      </c:layout>
      <c:lineChart>
        <c:grouping val="standard"/>
        <c:varyColors val="0"/>
        <c:ser>
          <c:idx val="0"/>
          <c:order val="0"/>
          <c:tx>
            <c:strRef>
              <c:f>Average_20_Year_Old_Man_Pro!$U$32</c:f>
              <c:strCache>
                <c:ptCount val="1"/>
                <c:pt idx="0">
                  <c:v>Metabolic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Average_20_Year_Old_Man_Pro!$T$33:$T$43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Average_20_Year_Old_Man_Pro!$U$33:$U$43</c:f>
              <c:numCache>
                <c:formatCode>General</c:formatCode>
                <c:ptCount val="11"/>
                <c:pt idx="0">
                  <c:v>16.296195488721803</c:v>
                </c:pt>
                <c:pt idx="1">
                  <c:v>16.385824563909772</c:v>
                </c:pt>
                <c:pt idx="2">
                  <c:v>16.475946599011277</c:v>
                </c:pt>
                <c:pt idx="3">
                  <c:v>16.566564305305839</c:v>
                </c:pt>
                <c:pt idx="4">
                  <c:v>16.657680408985023</c:v>
                </c:pt>
                <c:pt idx="5">
                  <c:v>16.749297651234439</c:v>
                </c:pt>
                <c:pt idx="6">
                  <c:v>16.841418788316229</c:v>
                </c:pt>
                <c:pt idx="7">
                  <c:v>16.934046591651967</c:v>
                </c:pt>
                <c:pt idx="8">
                  <c:v>17.027183847906052</c:v>
                </c:pt>
                <c:pt idx="9">
                  <c:v>17.120833359069536</c:v>
                </c:pt>
                <c:pt idx="10">
                  <c:v>17.214997942544418</c:v>
                </c:pt>
              </c:numCache>
            </c:numRef>
          </c:val>
          <c:smooth val="0"/>
          <c:extLst>
            <c:ext xmlns:c16="http://schemas.microsoft.com/office/drawing/2014/chart" uri="{C3380CC4-5D6E-409C-BE32-E72D297353CC}">
              <c16:uniqueId val="{00000000-351A-477D-B669-B61E5D65BCDC}"/>
            </c:ext>
          </c:extLst>
        </c:ser>
        <c:ser>
          <c:idx val="1"/>
          <c:order val="1"/>
          <c:tx>
            <c:strRef>
              <c:f>Persona_3!$W$50</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Persona_3!$W$51:$W$61</c:f>
              <c:numCache>
                <c:formatCode>General</c:formatCode>
                <c:ptCount val="11"/>
                <c:pt idx="0">
                  <c:v>25.132714285714286</c:v>
                </c:pt>
                <c:pt idx="1">
                  <c:v>25.409174142857143</c:v>
                </c:pt>
                <c:pt idx="2">
                  <c:v>25.688675058428572</c:v>
                </c:pt>
                <c:pt idx="3">
                  <c:v>25.971250484071287</c:v>
                </c:pt>
                <c:pt idx="4">
                  <c:v>26.25693423939607</c:v>
                </c:pt>
                <c:pt idx="5">
                  <c:v>26.545760516029429</c:v>
                </c:pt>
                <c:pt idx="6">
                  <c:v>26.837763881705751</c:v>
                </c:pt>
                <c:pt idx="7">
                  <c:v>27.132979284404513</c:v>
                </c:pt>
                <c:pt idx="8">
                  <c:v>27.431442056532962</c:v>
                </c:pt>
                <c:pt idx="9">
                  <c:v>27.733187919154826</c:v>
                </c:pt>
                <c:pt idx="10">
                  <c:v>28.03825298626553</c:v>
                </c:pt>
              </c:numCache>
            </c:numRef>
          </c:val>
          <c:smooth val="0"/>
          <c:extLst>
            <c:ext xmlns:c16="http://schemas.microsoft.com/office/drawing/2014/chart" uri="{C3380CC4-5D6E-409C-BE32-E72D297353CC}">
              <c16:uniqueId val="{00000001-351A-477D-B669-B61E5D65BCDC}"/>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sz="1000" b="0" i="0" u="none" strike="noStrike" kern="1200" baseline="0">
                    <a:solidFill>
                      <a:sysClr val="windowText" lastClr="000000">
                        <a:lumMod val="65000"/>
                        <a:lumOff val="35000"/>
                      </a:sysClr>
                    </a:solidFill>
                  </a:rPr>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8451846993506926"/>
          <c:y val="0.49645571042203773"/>
          <c:w val="0.28844402126354274"/>
          <c:h val="0.25351823923846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3281812046677"/>
          <c:y val="0.16851075490577316"/>
          <c:w val="0.82601923257525622"/>
          <c:h val="0.63011545331515539"/>
        </c:manualLayout>
      </c:layout>
      <c:lineChart>
        <c:grouping val="standard"/>
        <c:varyColors val="0"/>
        <c:ser>
          <c:idx val="0"/>
          <c:order val="0"/>
          <c:tx>
            <c:strRef>
              <c:f>Average_20_Year_Old_Man_Pro!$X$32</c:f>
              <c:strCache>
                <c:ptCount val="1"/>
                <c:pt idx="0">
                  <c:v>Mobility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Average_20_Year_Old_Man_Pro!$W$33:$W$43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Average_20_Year_Old_Man_Pro!$X$33:$X$43</c:f>
              <c:numCache>
                <c:formatCode>General</c:formatCode>
                <c:ptCount val="11"/>
                <c:pt idx="0">
                  <c:v>20</c:v>
                </c:pt>
                <c:pt idx="1">
                  <c:v>20.198</c:v>
                </c:pt>
                <c:pt idx="2">
                  <c:v>20.3979602</c:v>
                </c:pt>
                <c:pt idx="3">
                  <c:v>20.59990000598</c:v>
                </c:pt>
                <c:pt idx="4">
                  <c:v>20.803839016039202</c:v>
                </c:pt>
                <c:pt idx="5">
                  <c:v>21.009797022297992</c:v>
                </c:pt>
                <c:pt idx="6">
                  <c:v>21.217794012818743</c:v>
                </c:pt>
                <c:pt idx="7">
                  <c:v>21.42785017354565</c:v>
                </c:pt>
                <c:pt idx="8">
                  <c:v>21.639985890263752</c:v>
                </c:pt>
                <c:pt idx="9">
                  <c:v>21.854221750577363</c:v>
                </c:pt>
                <c:pt idx="10">
                  <c:v>22.070578545908077</c:v>
                </c:pt>
              </c:numCache>
            </c:numRef>
          </c:val>
          <c:smooth val="0"/>
          <c:extLst>
            <c:ext xmlns:c16="http://schemas.microsoft.com/office/drawing/2014/chart" uri="{C3380CC4-5D6E-409C-BE32-E72D297353CC}">
              <c16:uniqueId val="{00000000-C8F1-4ED1-9823-BD17B41A055B}"/>
            </c:ext>
          </c:extLst>
        </c:ser>
        <c:ser>
          <c:idx val="1"/>
          <c:order val="1"/>
          <c:tx>
            <c:strRef>
              <c:f>Persona_3!$Z$50</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Persona_3!$Z$51:$Z$61</c:f>
              <c:numCache>
                <c:formatCode>General</c:formatCode>
                <c:ptCount val="11"/>
                <c:pt idx="0">
                  <c:v>68</c:v>
                </c:pt>
                <c:pt idx="1">
                  <c:v>68.673199999999994</c:v>
                </c:pt>
                <c:pt idx="2">
                  <c:v>69.353064679999989</c:v>
                </c:pt>
                <c:pt idx="3">
                  <c:v>70.039660020331993</c:v>
                </c:pt>
                <c:pt idx="4">
                  <c:v>70.733052654533282</c:v>
                </c:pt>
                <c:pt idx="5">
                  <c:v>71.433309875813165</c:v>
                </c:pt>
                <c:pt idx="6">
                  <c:v>72.140499643583709</c:v>
                </c:pt>
                <c:pt idx="7">
                  <c:v>72.854690590055185</c:v>
                </c:pt>
                <c:pt idx="8">
                  <c:v>73.575952026896729</c:v>
                </c:pt>
                <c:pt idx="9">
                  <c:v>74.304353951963009</c:v>
                </c:pt>
                <c:pt idx="10">
                  <c:v>75.039967056087448</c:v>
                </c:pt>
              </c:numCache>
            </c:numRef>
          </c:val>
          <c:smooth val="0"/>
          <c:extLst>
            <c:ext xmlns:c16="http://schemas.microsoft.com/office/drawing/2014/chart" uri="{C3380CC4-5D6E-409C-BE32-E72D297353CC}">
              <c16:uniqueId val="{00000001-C8F1-4ED1-9823-BD17B41A055B}"/>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Average_20_Year_Old_Man_Pro!$AA$32</c:f>
              <c:strCache>
                <c:ptCount val="1"/>
                <c:pt idx="0">
                  <c:v>Cognitive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Average_20_Year_Old_Man_Pro!$Z$33:$Z$43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Average_20_Year_Old_Man_Pro!$AA$33:$AA$43</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0-0FE6-43D8-8C44-A3DD64FDDB8A}"/>
            </c:ext>
          </c:extLst>
        </c:ser>
        <c:ser>
          <c:idx val="0"/>
          <c:order val="1"/>
          <c:tx>
            <c:strRef>
              <c:f>Persona_3!$AC$50</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Persona_3!$AC$51:$AC$61</c:f>
              <c:numCache>
                <c:formatCode>General</c:formatCode>
                <c:ptCount val="11"/>
                <c:pt idx="0">
                  <c:v>18</c:v>
                </c:pt>
                <c:pt idx="1">
                  <c:v>18.36</c:v>
                </c:pt>
                <c:pt idx="2">
                  <c:v>18.7272</c:v>
                </c:pt>
                <c:pt idx="3">
                  <c:v>19.101744</c:v>
                </c:pt>
                <c:pt idx="4">
                  <c:v>19.483778879999999</c:v>
                </c:pt>
                <c:pt idx="5">
                  <c:v>19.873454457599998</c:v>
                </c:pt>
                <c:pt idx="6">
                  <c:v>20.270923546751998</c:v>
                </c:pt>
                <c:pt idx="7">
                  <c:v>20.676342017687038</c:v>
                </c:pt>
                <c:pt idx="8">
                  <c:v>21.089868858040777</c:v>
                </c:pt>
                <c:pt idx="9">
                  <c:v>21.511666235201591</c:v>
                </c:pt>
                <c:pt idx="10">
                  <c:v>21.941899559905622</c:v>
                </c:pt>
              </c:numCache>
            </c:numRef>
          </c:val>
          <c:smooth val="0"/>
          <c:extLst>
            <c:ext xmlns:c16="http://schemas.microsoft.com/office/drawing/2014/chart" uri="{C3380CC4-5D6E-409C-BE32-E72D297353CC}">
              <c16:uniqueId val="{00000001-0FE6-43D8-8C44-A3DD64FDDB8A}"/>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38148329108694"/>
          <c:y val="0.13749852387623121"/>
          <c:w val="0.84484216900524778"/>
          <c:h val="0.67794091958454994"/>
        </c:manualLayout>
      </c:layout>
      <c:lineChart>
        <c:grouping val="standard"/>
        <c:varyColors val="0"/>
        <c:ser>
          <c:idx val="0"/>
          <c:order val="0"/>
          <c:tx>
            <c:strRef>
              <c:f>'Average_60_Year_Old_Man_Pro '!$O$32</c:f>
              <c:strCache>
                <c:ptCount val="1"/>
                <c:pt idx="0">
                  <c:v>Vitality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'Average_60_Year_Old_Man_Pro '!$N$32:$N$43</c15:sqref>
                  </c15:fullRef>
                </c:ext>
              </c:extLst>
              <c:f>'Average_60_Year_Old_Man_Pro '!$N$33:$N$43</c:f>
              <c:strCache>
                <c:ptCount val="11"/>
                <c:pt idx="0">
                  <c:v>60</c:v>
                </c:pt>
                <c:pt idx="1">
                  <c:v>61</c:v>
                </c:pt>
                <c:pt idx="2">
                  <c:v>62</c:v>
                </c:pt>
                <c:pt idx="3">
                  <c:v>63</c:v>
                </c:pt>
                <c:pt idx="4">
                  <c:v>64</c:v>
                </c:pt>
                <c:pt idx="5">
                  <c:v>65</c:v>
                </c:pt>
                <c:pt idx="6">
                  <c:v>66</c:v>
                </c:pt>
                <c:pt idx="7">
                  <c:v>67</c:v>
                </c:pt>
                <c:pt idx="8">
                  <c:v>68</c:v>
                </c:pt>
                <c:pt idx="9">
                  <c:v>69</c:v>
                </c:pt>
                <c:pt idx="10">
                  <c:v>70</c:v>
                </c:pt>
              </c:strCache>
            </c:strRef>
          </c:cat>
          <c:val>
            <c:numRef>
              <c:extLst>
                <c:ext xmlns:c15="http://schemas.microsoft.com/office/drawing/2012/chart" uri="{02D57815-91ED-43cb-92C2-25804820EDAC}">
                  <c15:fullRef>
                    <c15:sqref>'Average_60_Year_Old_Man_Pro '!$O$33:$O$43</c15:sqref>
                  </c15:fullRef>
                </c:ext>
              </c:extLst>
              <c:f>'Average_60_Year_Old_Man_Pro '!$O$34:$O$43</c:f>
              <c:numCache>
                <c:formatCode>General</c:formatCode>
                <c:ptCount val="10"/>
                <c:pt idx="0">
                  <c:v>60.690000000000005</c:v>
                </c:pt>
                <c:pt idx="1">
                  <c:v>61.387935000000006</c:v>
                </c:pt>
                <c:pt idx="2">
                  <c:v>62.093896252500009</c:v>
                </c:pt>
                <c:pt idx="3">
                  <c:v>62.807976059403757</c:v>
                </c:pt>
                <c:pt idx="4">
                  <c:v>63.530267784086902</c:v>
                </c:pt>
                <c:pt idx="5">
                  <c:v>64.260865863603897</c:v>
                </c:pt>
                <c:pt idx="6">
                  <c:v>64.999865821035343</c:v>
                </c:pt>
                <c:pt idx="7">
                  <c:v>65.747364277977255</c:v>
                </c:pt>
                <c:pt idx="8">
                  <c:v>66.503458967173998</c:v>
                </c:pt>
                <c:pt idx="9">
                  <c:v>67.268248745296503</c:v>
                </c:pt>
              </c:numCache>
            </c:numRef>
          </c:val>
          <c:smooth val="0"/>
          <c:extLst>
            <c:ext xmlns:c16="http://schemas.microsoft.com/office/drawing/2014/chart" uri="{C3380CC4-5D6E-409C-BE32-E72D297353CC}">
              <c16:uniqueId val="{00000000-2F3B-4B2E-A0AE-E4486D3EF559}"/>
            </c:ext>
          </c:extLst>
        </c:ser>
        <c:ser>
          <c:idx val="1"/>
          <c:order val="1"/>
          <c:tx>
            <c:strRef>
              <c:f>Persona_4!$P$47</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60</c:v>
              </c:pt>
              <c:pt idx="1">
                <c:v>61</c:v>
              </c:pt>
              <c:pt idx="2">
                <c:v>62</c:v>
              </c:pt>
              <c:pt idx="3">
                <c:v>63</c:v>
              </c:pt>
              <c:pt idx="4">
                <c:v>64</c:v>
              </c:pt>
              <c:pt idx="5">
                <c:v>65</c:v>
              </c:pt>
              <c:pt idx="6">
                <c:v>66</c:v>
              </c:pt>
              <c:pt idx="7">
                <c:v>67</c:v>
              </c:pt>
              <c:pt idx="8">
                <c:v>68</c:v>
              </c:pt>
              <c:pt idx="9">
                <c:v>69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Persona_4!$P$48:$P$58</c15:sqref>
                  </c15:fullRef>
                </c:ext>
              </c:extLst>
              <c:f>Persona_4!$P$49:$P$58</c:f>
              <c:numCache>
                <c:formatCode>General</c:formatCode>
                <c:ptCount val="10"/>
                <c:pt idx="0">
                  <c:v>79.272125827814577</c:v>
                </c:pt>
                <c:pt idx="1">
                  <c:v>80.183755274834439</c:v>
                </c:pt>
                <c:pt idx="2">
                  <c:v>81.105868460495032</c:v>
                </c:pt>
                <c:pt idx="3">
                  <c:v>82.038585947790722</c:v>
                </c:pt>
                <c:pt idx="4">
                  <c:v>82.982029686190316</c:v>
                </c:pt>
                <c:pt idx="5">
                  <c:v>83.936323027581508</c:v>
                </c:pt>
                <c:pt idx="6">
                  <c:v>84.901590742398696</c:v>
                </c:pt>
                <c:pt idx="7">
                  <c:v>85.877959035936286</c:v>
                </c:pt>
                <c:pt idx="8">
                  <c:v>86.865555564849558</c:v>
                </c:pt>
                <c:pt idx="9">
                  <c:v>87.864509453845329</c:v>
                </c:pt>
              </c:numCache>
            </c:numRef>
          </c:val>
          <c:smooth val="0"/>
          <c:extLst>
            <c:ext xmlns:c16="http://schemas.microsoft.com/office/drawing/2014/chart" uri="{C3380CC4-5D6E-409C-BE32-E72D297353CC}">
              <c16:uniqueId val="{00000001-2F3B-4B2E-A0AE-E4486D3EF559}"/>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4548663144858676"/>
          <c:y val="0.58744368564241844"/>
          <c:w val="0.32392496591833819"/>
          <c:h val="0.26680959984010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2732693723632"/>
          <c:y val="5.2477998308082287E-2"/>
          <c:w val="0.852930829019654"/>
          <c:h val="0.73606759857374038"/>
        </c:manualLayout>
      </c:layout>
      <c:lineChart>
        <c:grouping val="standard"/>
        <c:varyColors val="0"/>
        <c:ser>
          <c:idx val="0"/>
          <c:order val="0"/>
          <c:tx>
            <c:strRef>
              <c:f>'Average_60_Year_Old_Man_Pro '!$R$32</c:f>
              <c:strCache>
                <c:ptCount val="1"/>
                <c:pt idx="0">
                  <c:v>Strength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'!$Q$33:$Q$43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'!$R$33:$R$43</c:f>
              <c:numCache>
                <c:formatCode>General</c:formatCode>
                <c:ptCount val="11"/>
                <c:pt idx="0">
                  <c:v>60</c:v>
                </c:pt>
                <c:pt idx="1">
                  <c:v>60.738</c:v>
                </c:pt>
                <c:pt idx="2">
                  <c:v>61.485077400000002</c:v>
                </c:pt>
                <c:pt idx="3">
                  <c:v>62.241343852020002</c:v>
                </c:pt>
                <c:pt idx="4">
                  <c:v>63.00691238139985</c:v>
                </c:pt>
                <c:pt idx="5">
                  <c:v>63.781897403691069</c:v>
                </c:pt>
                <c:pt idx="6">
                  <c:v>64.566414741756475</c:v>
                </c:pt>
                <c:pt idx="7">
                  <c:v>65.360581643080081</c:v>
                </c:pt>
                <c:pt idx="8">
                  <c:v>66.164516797289963</c:v>
                </c:pt>
                <c:pt idx="9">
                  <c:v>66.978340353896627</c:v>
                </c:pt>
                <c:pt idx="10">
                  <c:v>67.80217394024956</c:v>
                </c:pt>
              </c:numCache>
            </c:numRef>
          </c:val>
          <c:smooth val="0"/>
          <c:extLst>
            <c:ext xmlns:c16="http://schemas.microsoft.com/office/drawing/2014/chart" uri="{C3380CC4-5D6E-409C-BE32-E72D297353CC}">
              <c16:uniqueId val="{00000000-4175-43F5-81AE-8330544153D7}"/>
            </c:ext>
          </c:extLst>
        </c:ser>
        <c:ser>
          <c:idx val="1"/>
          <c:order val="1"/>
          <c:tx>
            <c:strRef>
              <c:f>Persona_4!$S$47</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Persona_4!$S$48:$S$58</c:f>
              <c:numCache>
                <c:formatCode>General</c:formatCode>
                <c:ptCount val="11"/>
                <c:pt idx="0">
                  <c:v>48.125</c:v>
                </c:pt>
                <c:pt idx="1">
                  <c:v>48.7169375</c:v>
                </c:pt>
                <c:pt idx="2">
                  <c:v>49.316155831250001</c:v>
                </c:pt>
                <c:pt idx="3">
                  <c:v>49.922744547974375</c:v>
                </c:pt>
                <c:pt idx="4">
                  <c:v>50.536794305914462</c:v>
                </c:pt>
                <c:pt idx="5">
                  <c:v>51.158396875877209</c:v>
                </c:pt>
                <c:pt idx="6">
                  <c:v>51.787645157450498</c:v>
                </c:pt>
                <c:pt idx="7">
                  <c:v>52.424633192887143</c:v>
                </c:pt>
                <c:pt idx="8">
                  <c:v>53.069456181159651</c:v>
                </c:pt>
                <c:pt idx="9">
                  <c:v>53.722210492187912</c:v>
                </c:pt>
                <c:pt idx="10">
                  <c:v>54.382993681241821</c:v>
                </c:pt>
              </c:numCache>
            </c:numRef>
          </c:val>
          <c:smooth val="0"/>
          <c:extLst>
            <c:ext xmlns:c16="http://schemas.microsoft.com/office/drawing/2014/chart" uri="{C3380CC4-5D6E-409C-BE32-E72D297353CC}">
              <c16:uniqueId val="{00000001-4175-43F5-81AE-8330544153D7}"/>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0444609930467874"/>
          <c:y val="0.46302573788498258"/>
          <c:w val="0.34218595050155537"/>
          <c:h val="0.26583954192335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1336801667793"/>
          <c:y val="5.2885356131956725E-2"/>
          <c:w val="0.84701397747604568"/>
          <c:h val="0.73401883657516398"/>
        </c:manualLayout>
      </c:layout>
      <c:lineChart>
        <c:grouping val="standard"/>
        <c:varyColors val="0"/>
        <c:ser>
          <c:idx val="0"/>
          <c:order val="0"/>
          <c:tx>
            <c:strRef>
              <c:f>'Average_60_Year_Old_Man_Pro '!$U$32</c:f>
              <c:strCache>
                <c:ptCount val="1"/>
                <c:pt idx="0">
                  <c:v>Metabolic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'!$T$33:$T$43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'!$U$33:$U$43</c:f>
              <c:numCache>
                <c:formatCode>General</c:formatCode>
                <c:ptCount val="11"/>
                <c:pt idx="0">
                  <c:v>60.507857142857141</c:v>
                </c:pt>
                <c:pt idx="1">
                  <c:v>60.840650357142856</c:v>
                </c:pt>
                <c:pt idx="2">
                  <c:v>61.175273934107139</c:v>
                </c:pt>
                <c:pt idx="3">
                  <c:v>61.51173794074473</c:v>
                </c:pt>
                <c:pt idx="4">
                  <c:v>61.85005249941883</c:v>
                </c:pt>
                <c:pt idx="5">
                  <c:v>62.190227788165636</c:v>
                </c:pt>
                <c:pt idx="6">
                  <c:v>62.532274041000548</c:v>
                </c:pt>
                <c:pt idx="7">
                  <c:v>62.876201548226049</c:v>
                </c:pt>
                <c:pt idx="8">
                  <c:v>63.222020656741293</c:v>
                </c:pt>
                <c:pt idx="9">
                  <c:v>63.569741770353367</c:v>
                </c:pt>
                <c:pt idx="10">
                  <c:v>63.919375350090313</c:v>
                </c:pt>
              </c:numCache>
            </c:numRef>
          </c:val>
          <c:smooth val="0"/>
          <c:extLst>
            <c:ext xmlns:c16="http://schemas.microsoft.com/office/drawing/2014/chart" uri="{C3380CC4-5D6E-409C-BE32-E72D297353CC}">
              <c16:uniqueId val="{00000000-0B66-4A9B-92DD-E23F0BC4EB6E}"/>
            </c:ext>
          </c:extLst>
        </c:ser>
        <c:ser>
          <c:idx val="1"/>
          <c:order val="1"/>
          <c:tx>
            <c:strRef>
              <c:f>Persona_4!$V$47</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Persona_4!$V$48:$V$58</c:f>
              <c:numCache>
                <c:formatCode>General</c:formatCode>
                <c:ptCount val="11"/>
                <c:pt idx="0">
                  <c:v>63.302500000000002</c:v>
                </c:pt>
                <c:pt idx="1">
                  <c:v>63.998827500000004</c:v>
                </c:pt>
                <c:pt idx="2">
                  <c:v>64.702814602499998</c:v>
                </c:pt>
                <c:pt idx="3">
                  <c:v>65.414545563127504</c:v>
                </c:pt>
                <c:pt idx="4">
                  <c:v>66.134105564321914</c:v>
                </c:pt>
                <c:pt idx="5">
                  <c:v>66.86158072552945</c:v>
                </c:pt>
                <c:pt idx="6">
                  <c:v>67.597058113510272</c:v>
                </c:pt>
                <c:pt idx="7">
                  <c:v>68.340625752758882</c:v>
                </c:pt>
                <c:pt idx="8">
                  <c:v>69.092372636039229</c:v>
                </c:pt>
                <c:pt idx="9">
                  <c:v>69.85238873503566</c:v>
                </c:pt>
                <c:pt idx="10">
                  <c:v>70.620765011121051</c:v>
                </c:pt>
              </c:numCache>
            </c:numRef>
          </c:val>
          <c:smooth val="0"/>
          <c:extLst>
            <c:ext xmlns:c16="http://schemas.microsoft.com/office/drawing/2014/chart" uri="{C3380CC4-5D6E-409C-BE32-E72D297353CC}">
              <c16:uniqueId val="{00000001-0B66-4A9B-92DD-E23F0BC4EB6E}"/>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1281793889352321"/>
          <c:y val="0.4867773359938794"/>
          <c:w val="0.33765496386768123"/>
          <c:h val="0.26437460195054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98187762972777"/>
          <c:y val="5.0679566920064499E-2"/>
          <c:w val="0.84621761929904527"/>
          <c:h val="0.74511261420587804"/>
        </c:manualLayout>
      </c:layout>
      <c:lineChart>
        <c:grouping val="standard"/>
        <c:varyColors val="0"/>
        <c:ser>
          <c:idx val="0"/>
          <c:order val="0"/>
          <c:tx>
            <c:strRef>
              <c:f>'Average_60_Year_Old_Man_Pro '!$X$32</c:f>
              <c:strCache>
                <c:ptCount val="1"/>
                <c:pt idx="0">
                  <c:v>Mobility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'!$W$33:$W$43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'!$X$33:$X$43</c:f>
              <c:numCache>
                <c:formatCode>General</c:formatCode>
                <c:ptCount val="11"/>
                <c:pt idx="0">
                  <c:v>60</c:v>
                </c:pt>
                <c:pt idx="1">
                  <c:v>60.594000000000001</c:v>
                </c:pt>
                <c:pt idx="2">
                  <c:v>61.1938806</c:v>
                </c:pt>
                <c:pt idx="3">
                  <c:v>61.799700017939998</c:v>
                </c:pt>
                <c:pt idx="4">
                  <c:v>62.411517048117602</c:v>
                </c:pt>
                <c:pt idx="5">
                  <c:v>63.029391066893965</c:v>
                </c:pt>
                <c:pt idx="6">
                  <c:v>63.653382038456215</c:v>
                </c:pt>
                <c:pt idx="7">
                  <c:v>64.283550520636936</c:v>
                </c:pt>
                <c:pt idx="8">
                  <c:v>64.919957670791248</c:v>
                </c:pt>
                <c:pt idx="9">
                  <c:v>65.562665251732085</c:v>
                </c:pt>
                <c:pt idx="10">
                  <c:v>66.211735637724232</c:v>
                </c:pt>
              </c:numCache>
            </c:numRef>
          </c:val>
          <c:smooth val="0"/>
          <c:extLst>
            <c:ext xmlns:c16="http://schemas.microsoft.com/office/drawing/2014/chart" uri="{C3380CC4-5D6E-409C-BE32-E72D297353CC}">
              <c16:uniqueId val="{00000000-9FA0-449F-8A59-1B10FAF1BCCF}"/>
            </c:ext>
          </c:extLst>
        </c:ser>
        <c:ser>
          <c:idx val="1"/>
          <c:order val="1"/>
          <c:tx>
            <c:strRef>
              <c:f>Persona_4!$Y$47</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Persona_4!$Y$48:$Y$58</c:f>
              <c:numCache>
                <c:formatCode>General</c:formatCode>
                <c:ptCount val="11"/>
                <c:pt idx="0">
                  <c:v>80.25</c:v>
                </c:pt>
                <c:pt idx="1">
                  <c:v>81.044475000000006</c:v>
                </c:pt>
                <c:pt idx="2">
                  <c:v>81.846815302500005</c:v>
                </c:pt>
                <c:pt idx="3">
                  <c:v>82.657098773994761</c:v>
                </c:pt>
                <c:pt idx="4">
                  <c:v>83.475404051857311</c:v>
                </c:pt>
                <c:pt idx="5">
                  <c:v>84.301810551970704</c:v>
                </c:pt>
                <c:pt idx="6">
                  <c:v>85.136398476435218</c:v>
                </c:pt>
                <c:pt idx="7">
                  <c:v>85.979248821351931</c:v>
                </c:pt>
                <c:pt idx="8">
                  <c:v>86.830443384683321</c:v>
                </c:pt>
                <c:pt idx="9">
                  <c:v>87.690064774191683</c:v>
                </c:pt>
                <c:pt idx="10">
                  <c:v>88.55819641545618</c:v>
                </c:pt>
              </c:numCache>
            </c:numRef>
          </c:val>
          <c:smooth val="0"/>
          <c:extLst>
            <c:ext xmlns:c16="http://schemas.microsoft.com/office/drawing/2014/chart" uri="{C3380CC4-5D6E-409C-BE32-E72D297353CC}">
              <c16:uniqueId val="{00000001-9FA0-449F-8A59-1B10FAF1BCCF}"/>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3434526952352532"/>
          <c:y val="0.46889990513452579"/>
          <c:w val="0.3239628497590778"/>
          <c:h val="0.26045660534647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'Average_60_Year_Old_Man_Pro '!$AA$32</c:f>
              <c:strCache>
                <c:ptCount val="1"/>
                <c:pt idx="0">
                  <c:v>Cognitive Decline of an average 60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'Average_60_Year_Old_Man_Pro '!$Z$33:$Z$43</c:f>
              <c:numCache>
                <c:formatCode>General</c:formatCode>
                <c:ptCount val="11"/>
                <c:pt idx="0">
                  <c:v>60</c:v>
                </c:pt>
                <c:pt idx="1">
                  <c:v>61</c:v>
                </c:pt>
                <c:pt idx="2">
                  <c:v>62</c:v>
                </c:pt>
                <c:pt idx="3">
                  <c:v>63</c:v>
                </c:pt>
                <c:pt idx="4">
                  <c:v>64</c:v>
                </c:pt>
                <c:pt idx="5">
                  <c:v>65</c:v>
                </c:pt>
                <c:pt idx="6">
                  <c:v>66</c:v>
                </c:pt>
                <c:pt idx="7">
                  <c:v>67</c:v>
                </c:pt>
                <c:pt idx="8">
                  <c:v>68</c:v>
                </c:pt>
                <c:pt idx="9">
                  <c:v>69</c:v>
                </c:pt>
                <c:pt idx="10">
                  <c:v>70</c:v>
                </c:pt>
              </c:numCache>
            </c:numRef>
          </c:cat>
          <c:val>
            <c:numRef>
              <c:f>'Average_60_Year_Old_Man_Pro '!$AA$33:$AA$43</c:f>
              <c:numCache>
                <c:formatCode>General</c:formatCode>
                <c:ptCount val="11"/>
                <c:pt idx="0">
                  <c:v>60</c:v>
                </c:pt>
                <c:pt idx="1">
                  <c:v>61.2</c:v>
                </c:pt>
                <c:pt idx="2">
                  <c:v>62.423999999999999</c:v>
                </c:pt>
                <c:pt idx="3">
                  <c:v>63.67248</c:v>
                </c:pt>
                <c:pt idx="4">
                  <c:v>64.945929599999999</c:v>
                </c:pt>
                <c:pt idx="5">
                  <c:v>66.244848192000006</c:v>
                </c:pt>
                <c:pt idx="6">
                  <c:v>67.56974515584001</c:v>
                </c:pt>
                <c:pt idx="7">
                  <c:v>68.921140058956809</c:v>
                </c:pt>
                <c:pt idx="8">
                  <c:v>70.29956286013595</c:v>
                </c:pt>
                <c:pt idx="9">
                  <c:v>71.705554117338664</c:v>
                </c:pt>
                <c:pt idx="10">
                  <c:v>73.139665199685439</c:v>
                </c:pt>
              </c:numCache>
            </c:numRef>
          </c:val>
          <c:smooth val="0"/>
          <c:extLst>
            <c:ext xmlns:c16="http://schemas.microsoft.com/office/drawing/2014/chart" uri="{C3380CC4-5D6E-409C-BE32-E72D297353CC}">
              <c16:uniqueId val="{00000000-1CF7-4929-A7F2-88939132A069}"/>
            </c:ext>
          </c:extLst>
        </c:ser>
        <c:ser>
          <c:idx val="0"/>
          <c:order val="1"/>
          <c:tx>
            <c:strRef>
              <c:f>Persona_4!$AB$47</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Persona_4!$AB$48:$AB$58</c:f>
              <c:numCache>
                <c:formatCode>General</c:formatCode>
                <c:ptCount val="11"/>
                <c:pt idx="0">
                  <c:v>71.300000000000011</c:v>
                </c:pt>
                <c:pt idx="1">
                  <c:v>72.726000000000013</c:v>
                </c:pt>
                <c:pt idx="2">
                  <c:v>74.180520000000016</c:v>
                </c:pt>
                <c:pt idx="3">
                  <c:v>75.664130400000019</c:v>
                </c:pt>
                <c:pt idx="4">
                  <c:v>77.177413008000016</c:v>
                </c:pt>
                <c:pt idx="5">
                  <c:v>78.720961268160011</c:v>
                </c:pt>
                <c:pt idx="6">
                  <c:v>80.295380493523211</c:v>
                </c:pt>
                <c:pt idx="7">
                  <c:v>81.901288103393682</c:v>
                </c:pt>
                <c:pt idx="8">
                  <c:v>83.539313865461551</c:v>
                </c:pt>
                <c:pt idx="9">
                  <c:v>85.210100142770784</c:v>
                </c:pt>
                <c:pt idx="10">
                  <c:v>86.914302145626195</c:v>
                </c:pt>
              </c:numCache>
            </c:numRef>
          </c:val>
          <c:smooth val="0"/>
          <c:extLst>
            <c:ext xmlns:c16="http://schemas.microsoft.com/office/drawing/2014/chart" uri="{C3380CC4-5D6E-409C-BE32-E72D297353CC}">
              <c16:uniqueId val="{00000001-1CF7-4929-A7F2-88939132A069}"/>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478029323100737"/>
          <c:y val="0.19499652536483669"/>
          <c:w val="0.84521970676899261"/>
          <c:h val="0.64815197555924631"/>
        </c:manualLayout>
      </c:layout>
      <c:lineChart>
        <c:grouping val="standard"/>
        <c:varyColors val="0"/>
        <c:ser>
          <c:idx val="0"/>
          <c:order val="0"/>
          <c:tx>
            <c:strRef>
              <c:f>Average_50_Year_Old_Woman_Pro!$O$32</c:f>
              <c:strCache>
                <c:ptCount val="1"/>
                <c:pt idx="0">
                  <c:v>Vitality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Average_50_Year_Old_Woman_Pro!$N$32:$N$43</c15:sqref>
                  </c15:fullRef>
                </c:ext>
              </c:extLst>
              <c:f>Average_50_Year_Old_Woman_Pro!$N$33:$N$43</c:f>
              <c:strCache>
                <c:ptCount val="11"/>
                <c:pt idx="0">
                  <c:v>50</c:v>
                </c:pt>
                <c:pt idx="1">
                  <c:v>51</c:v>
                </c:pt>
                <c:pt idx="2">
                  <c:v>52</c:v>
                </c:pt>
                <c:pt idx="3">
                  <c:v>53</c:v>
                </c:pt>
                <c:pt idx="4">
                  <c:v>54</c:v>
                </c:pt>
                <c:pt idx="5">
                  <c:v>55</c:v>
                </c:pt>
                <c:pt idx="6">
                  <c:v>56</c:v>
                </c:pt>
                <c:pt idx="7">
                  <c:v>57</c:v>
                </c:pt>
                <c:pt idx="8">
                  <c:v>58</c:v>
                </c:pt>
                <c:pt idx="9">
                  <c:v>59</c:v>
                </c:pt>
                <c:pt idx="10">
                  <c:v>60</c:v>
                </c:pt>
              </c:strCache>
            </c:strRef>
          </c:cat>
          <c:val>
            <c:numRef>
              <c:extLst>
                <c:ext xmlns:c15="http://schemas.microsoft.com/office/drawing/2012/chart" uri="{02D57815-91ED-43cb-92C2-25804820EDAC}">
                  <c15:fullRef>
                    <c15:sqref>Average_50_Year_Old_Woman_Pro!$O$33:$O$43</c15:sqref>
                  </c15:fullRef>
                </c:ext>
              </c:extLst>
              <c:f>Average_50_Year_Old_Woman_Pro!$O$34:$O$43</c:f>
              <c:numCache>
                <c:formatCode>General</c:formatCode>
                <c:ptCount val="10"/>
                <c:pt idx="0">
                  <c:v>50.57500000000001</c:v>
                </c:pt>
                <c:pt idx="1">
                  <c:v>51.156612500000008</c:v>
                </c:pt>
                <c:pt idx="2">
                  <c:v>51.744913543750009</c:v>
                </c:pt>
                <c:pt idx="3">
                  <c:v>52.339980049503133</c:v>
                </c:pt>
                <c:pt idx="4">
                  <c:v>52.941889820072419</c:v>
                </c:pt>
                <c:pt idx="5">
                  <c:v>53.55072155300325</c:v>
                </c:pt>
                <c:pt idx="6">
                  <c:v>54.166554850862788</c:v>
                </c:pt>
                <c:pt idx="7">
                  <c:v>54.789470231647712</c:v>
                </c:pt>
                <c:pt idx="8">
                  <c:v>55.419549139311663</c:v>
                </c:pt>
                <c:pt idx="9">
                  <c:v>56.056873954413746</c:v>
                </c:pt>
              </c:numCache>
            </c:numRef>
          </c:val>
          <c:smooth val="0"/>
          <c:extLst>
            <c:ext xmlns:c16="http://schemas.microsoft.com/office/drawing/2014/chart" uri="{C3380CC4-5D6E-409C-BE32-E72D297353CC}">
              <c16:uniqueId val="{00000000-975E-45EE-8B26-E15383EDC0F3}"/>
            </c:ext>
          </c:extLst>
        </c:ser>
        <c:ser>
          <c:idx val="1"/>
          <c:order val="1"/>
          <c:tx>
            <c:strRef>
              <c:f>'Persona_6 '!$N$35</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50</c:v>
              </c:pt>
              <c:pt idx="1">
                <c:v>51</c:v>
              </c:pt>
              <c:pt idx="2">
                <c:v>52</c:v>
              </c:pt>
              <c:pt idx="3">
                <c:v>53</c:v>
              </c:pt>
              <c:pt idx="4">
                <c:v>54</c:v>
              </c:pt>
              <c:pt idx="5">
                <c:v>55</c:v>
              </c:pt>
              <c:pt idx="6">
                <c:v>56</c:v>
              </c:pt>
              <c:pt idx="7">
                <c:v>57</c:v>
              </c:pt>
              <c:pt idx="8">
                <c:v>58</c:v>
              </c:pt>
              <c:pt idx="9">
                <c:v>59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'Persona_6 '!$N$36:$N$46</c15:sqref>
                  </c15:fullRef>
                </c:ext>
              </c:extLst>
              <c:f>'Persona_6 '!$N$37:$N$46</c:f>
              <c:numCache>
                <c:formatCode>General</c:formatCode>
                <c:ptCount val="10"/>
                <c:pt idx="0">
                  <c:v>24.379531578947386</c:v>
                </c:pt>
                <c:pt idx="1">
                  <c:v>24.09916696578949</c:v>
                </c:pt>
                <c:pt idx="2">
                  <c:v>23.82202654568291</c:v>
                </c:pt>
                <c:pt idx="3">
                  <c:v>23.548073240407557</c:v>
                </c:pt>
                <c:pt idx="4">
                  <c:v>23.277270398142871</c:v>
                </c:pt>
                <c:pt idx="5">
                  <c:v>23.00958178856423</c:v>
                </c:pt>
                <c:pt idx="6">
                  <c:v>22.74497159799574</c:v>
                </c:pt>
                <c:pt idx="7">
                  <c:v>22.48340442461879</c:v>
                </c:pt>
                <c:pt idx="8">
                  <c:v>22.224845273735674</c:v>
                </c:pt>
                <c:pt idx="9">
                  <c:v>21.969259553087713</c:v>
                </c:pt>
              </c:numCache>
            </c:numRef>
          </c:val>
          <c:smooth val="0"/>
          <c:extLst>
            <c:ext xmlns:c16="http://schemas.microsoft.com/office/drawing/2014/chart" uri="{C3380CC4-5D6E-409C-BE32-E72D297353CC}">
              <c16:uniqueId val="{00000001-975E-45EE-8B26-E15383EDC0F3}"/>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9713743558530528"/>
          <c:y val="0.57777971638680992"/>
          <c:w val="0.2835790981107626"/>
          <c:h val="0.3908092404728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99275695707781"/>
          <c:y val="5.6885508243715924E-2"/>
          <c:w val="0.79892161014663832"/>
          <c:h val="0.73975755453394199"/>
        </c:manualLayout>
      </c:layout>
      <c:lineChart>
        <c:grouping val="standard"/>
        <c:varyColors val="0"/>
        <c:ser>
          <c:idx val="0"/>
          <c:order val="0"/>
          <c:tx>
            <c:strRef>
              <c:f>Average_50_Year_Old_Woman_Pro!$R$32</c:f>
              <c:strCache>
                <c:ptCount val="1"/>
                <c:pt idx="0">
                  <c:v>Strength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Average_50_Year_Old_Woman_Pro!$Q$33:$Q$43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Average_50_Year_Old_Woman_Pro!$R$33:$R$43</c:f>
              <c:numCache>
                <c:formatCode>General</c:formatCode>
                <c:ptCount val="11"/>
                <c:pt idx="0">
                  <c:v>50</c:v>
                </c:pt>
                <c:pt idx="1">
                  <c:v>50.615000000000002</c:v>
                </c:pt>
                <c:pt idx="2">
                  <c:v>51.237564500000005</c:v>
                </c:pt>
                <c:pt idx="3">
                  <c:v>51.867786543350007</c:v>
                </c:pt>
                <c:pt idx="4">
                  <c:v>52.505760317833214</c:v>
                </c:pt>
                <c:pt idx="5">
                  <c:v>53.151581169742563</c:v>
                </c:pt>
                <c:pt idx="6">
                  <c:v>53.805345618130396</c:v>
                </c:pt>
                <c:pt idx="7">
                  <c:v>54.467151369233399</c:v>
                </c:pt>
                <c:pt idx="8">
                  <c:v>55.137097331074969</c:v>
                </c:pt>
                <c:pt idx="9">
                  <c:v>55.815283628247194</c:v>
                </c:pt>
                <c:pt idx="10">
                  <c:v>56.501811616874633</c:v>
                </c:pt>
              </c:numCache>
            </c:numRef>
          </c:val>
          <c:smooth val="0"/>
          <c:extLst>
            <c:ext xmlns:c16="http://schemas.microsoft.com/office/drawing/2014/chart" uri="{C3380CC4-5D6E-409C-BE32-E72D297353CC}">
              <c16:uniqueId val="{00000000-9C4C-4E5C-9183-4E28EB49D634}"/>
            </c:ext>
          </c:extLst>
        </c:ser>
        <c:ser>
          <c:idx val="1"/>
          <c:order val="1"/>
          <c:tx>
            <c:strRef>
              <c:f>'Persona_6 '!$Q$35</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'!$Q$36:$Q$46</c:f>
              <c:numCache>
                <c:formatCode>General</c:formatCode>
                <c:ptCount val="11"/>
                <c:pt idx="0">
                  <c:v>43.333333333333329</c:v>
                </c:pt>
                <c:pt idx="1">
                  <c:v>43.86633333333333</c:v>
                </c:pt>
                <c:pt idx="2">
                  <c:v>44.405889233333333</c:v>
                </c:pt>
                <c:pt idx="3">
                  <c:v>44.952081670903333</c:v>
                </c:pt>
                <c:pt idx="4">
                  <c:v>45.504992275455443</c:v>
                </c:pt>
                <c:pt idx="5">
                  <c:v>46.064703680443543</c:v>
                </c:pt>
                <c:pt idx="6">
                  <c:v>46.631299535712998</c:v>
                </c:pt>
                <c:pt idx="7">
                  <c:v>47.204864520002268</c:v>
                </c:pt>
                <c:pt idx="8">
                  <c:v>47.785484353598292</c:v>
                </c:pt>
                <c:pt idx="9">
                  <c:v>48.373245811147548</c:v>
                </c:pt>
                <c:pt idx="10">
                  <c:v>48.968236734624661</c:v>
                </c:pt>
              </c:numCache>
            </c:numRef>
          </c:val>
          <c:smooth val="0"/>
          <c:extLst>
            <c:ext xmlns:c16="http://schemas.microsoft.com/office/drawing/2014/chart" uri="{C3380CC4-5D6E-409C-BE32-E72D297353CC}">
              <c16:uniqueId val="{00000001-9C4C-4E5C-9183-4E28EB49D63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4017309390583577"/>
          <c:y val="0.45539475773777288"/>
          <c:w val="0.32407843159324112"/>
          <c:h val="0.387689061268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87315616224683"/>
          <c:y val="5.3307304207270402E-2"/>
          <c:w val="0.85911957632306446"/>
          <c:h val="0.73189669448923822"/>
        </c:manualLayout>
      </c:layout>
      <c:lineChart>
        <c:grouping val="standard"/>
        <c:varyColors val="0"/>
        <c:ser>
          <c:idx val="0"/>
          <c:order val="0"/>
          <c:tx>
            <c:strRef>
              <c:f>Average_50_Year_Old_Woman_Pro!$X$32</c:f>
              <c:strCache>
                <c:ptCount val="1"/>
                <c:pt idx="0">
                  <c:v>Mobility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Average_50_Year_Old_Woman_Pro!$W$33:$W$43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Average_50_Year_Old_Woman_Pro!$X$33:$X$43</c:f>
              <c:numCache>
                <c:formatCode>General</c:formatCode>
                <c:ptCount val="11"/>
                <c:pt idx="0">
                  <c:v>50</c:v>
                </c:pt>
                <c:pt idx="1">
                  <c:v>50.494999999999997</c:v>
                </c:pt>
                <c:pt idx="2">
                  <c:v>50.9949005</c:v>
                </c:pt>
                <c:pt idx="3">
                  <c:v>51.499750014950003</c:v>
                </c:pt>
                <c:pt idx="4">
                  <c:v>52.009597540098007</c:v>
                </c:pt>
                <c:pt idx="5">
                  <c:v>52.524492555744978</c:v>
                </c:pt>
                <c:pt idx="6">
                  <c:v>53.04448503204685</c:v>
                </c:pt>
                <c:pt idx="7">
                  <c:v>53.569625433864111</c:v>
                </c:pt>
                <c:pt idx="8">
                  <c:v>54.099964725659369</c:v>
                </c:pt>
                <c:pt idx="9">
                  <c:v>54.635554376443395</c:v>
                </c:pt>
                <c:pt idx="10">
                  <c:v>55.176446364770186</c:v>
                </c:pt>
              </c:numCache>
            </c:numRef>
          </c:val>
          <c:smooth val="0"/>
          <c:extLst>
            <c:ext xmlns:c16="http://schemas.microsoft.com/office/drawing/2014/chart" uri="{C3380CC4-5D6E-409C-BE32-E72D297353CC}">
              <c16:uniqueId val="{00000000-81F5-40D7-8BA8-575D680BBE3B}"/>
            </c:ext>
          </c:extLst>
        </c:ser>
        <c:ser>
          <c:idx val="1"/>
          <c:order val="1"/>
          <c:tx>
            <c:strRef>
              <c:f>'Persona_6 '!$W$35</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'!$W$36:$W$46</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1-81F5-40D7-8BA8-575D680BBE3B}"/>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Average_50_Year_Old_Woman_Pro!$AA$32</c:f>
              <c:strCache>
                <c:ptCount val="1"/>
                <c:pt idx="0">
                  <c:v>Cognitive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Average_50_Year_Old_Woman_Pro!$Z$33:$Z$43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Average_50_Year_Old_Woman_Pro!$AA$33:$AA$43</c:f>
              <c:numCache>
                <c:formatCode>General</c:formatCode>
                <c:ptCount val="11"/>
                <c:pt idx="0">
                  <c:v>50</c:v>
                </c:pt>
                <c:pt idx="1">
                  <c:v>51</c:v>
                </c:pt>
                <c:pt idx="2">
                  <c:v>52.02</c:v>
                </c:pt>
                <c:pt idx="3">
                  <c:v>53.060400000000001</c:v>
                </c:pt>
                <c:pt idx="4">
                  <c:v>54.121608000000002</c:v>
                </c:pt>
                <c:pt idx="5">
                  <c:v>55.204040160000005</c:v>
                </c:pt>
                <c:pt idx="6">
                  <c:v>56.308120963200004</c:v>
                </c:pt>
                <c:pt idx="7">
                  <c:v>57.434283382464002</c:v>
                </c:pt>
                <c:pt idx="8">
                  <c:v>58.582969050113284</c:v>
                </c:pt>
                <c:pt idx="9">
                  <c:v>59.754628431115549</c:v>
                </c:pt>
                <c:pt idx="10">
                  <c:v>60.949720999737863</c:v>
                </c:pt>
              </c:numCache>
            </c:numRef>
          </c:val>
          <c:smooth val="0"/>
          <c:extLst>
            <c:ext xmlns:c16="http://schemas.microsoft.com/office/drawing/2014/chart" uri="{C3380CC4-5D6E-409C-BE32-E72D297353CC}">
              <c16:uniqueId val="{00000000-D8A3-440E-9EF5-CA93831E7A95}"/>
            </c:ext>
          </c:extLst>
        </c:ser>
        <c:ser>
          <c:idx val="0"/>
          <c:order val="1"/>
          <c:tx>
            <c:strRef>
              <c:f>'Persona_6 '!$Z$35</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'!$Z$36:$Z$46</c:f>
              <c:numCache>
                <c:formatCode>General</c:formatCode>
                <c:ptCount val="11"/>
                <c:pt idx="0">
                  <c:v>18</c:v>
                </c:pt>
                <c:pt idx="1">
                  <c:v>18.36</c:v>
                </c:pt>
                <c:pt idx="2">
                  <c:v>18.7272</c:v>
                </c:pt>
                <c:pt idx="3">
                  <c:v>19.101744</c:v>
                </c:pt>
                <c:pt idx="4">
                  <c:v>19.483778879999999</c:v>
                </c:pt>
                <c:pt idx="5">
                  <c:v>19.873454457599998</c:v>
                </c:pt>
                <c:pt idx="6">
                  <c:v>20.270923546751998</c:v>
                </c:pt>
                <c:pt idx="7">
                  <c:v>20.676342017687038</c:v>
                </c:pt>
                <c:pt idx="8">
                  <c:v>21.089868858040777</c:v>
                </c:pt>
                <c:pt idx="9">
                  <c:v>21.511666235201591</c:v>
                </c:pt>
                <c:pt idx="10">
                  <c:v>21.941899559905622</c:v>
                </c:pt>
              </c:numCache>
            </c:numRef>
          </c:val>
          <c:smooth val="0"/>
          <c:extLst>
            <c:ext xmlns:c16="http://schemas.microsoft.com/office/drawing/2014/chart" uri="{C3380CC4-5D6E-409C-BE32-E72D297353CC}">
              <c16:uniqueId val="{00000001-D8A3-440E-9EF5-CA93831E7A9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632719843088"/>
          <c:y val="5.4705194996413034E-2"/>
          <c:w val="0.86267737609931638"/>
          <c:h val="0.72486615436184842"/>
        </c:manualLayout>
      </c:layout>
      <c:lineChart>
        <c:grouping val="standard"/>
        <c:varyColors val="0"/>
        <c:ser>
          <c:idx val="0"/>
          <c:order val="0"/>
          <c:tx>
            <c:strRef>
              <c:f>Average_50_Year_Old_Woman_Pro!$U$32</c:f>
              <c:strCache>
                <c:ptCount val="1"/>
                <c:pt idx="0">
                  <c:v>Metabolic Decline of an average 50 Year old Woman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Average_50_Year_Old_Woman_Pro!$T$33:$T$43</c:f>
              <c:numCache>
                <c:formatCode>General</c:formatCode>
                <c:ptCount val="11"/>
                <c:pt idx="0">
                  <c:v>50</c:v>
                </c:pt>
                <c:pt idx="1">
                  <c:v>51</c:v>
                </c:pt>
                <c:pt idx="2">
                  <c:v>52</c:v>
                </c:pt>
                <c:pt idx="3">
                  <c:v>53</c:v>
                </c:pt>
                <c:pt idx="4">
                  <c:v>54</c:v>
                </c:pt>
                <c:pt idx="5">
                  <c:v>55</c:v>
                </c:pt>
                <c:pt idx="6">
                  <c:v>56</c:v>
                </c:pt>
                <c:pt idx="7">
                  <c:v>57</c:v>
                </c:pt>
                <c:pt idx="8">
                  <c:v>58</c:v>
                </c:pt>
                <c:pt idx="9">
                  <c:v>59</c:v>
                </c:pt>
                <c:pt idx="10">
                  <c:v>60</c:v>
                </c:pt>
              </c:numCache>
            </c:numRef>
          </c:cat>
          <c:val>
            <c:numRef>
              <c:f>Average_50_Year_Old_Woman_Pro!$U$33:$U$43</c:f>
              <c:numCache>
                <c:formatCode>General</c:formatCode>
                <c:ptCount val="11"/>
                <c:pt idx="0">
                  <c:v>50.007714285714286</c:v>
                </c:pt>
                <c:pt idx="1">
                  <c:v>50.282756714285718</c:v>
                </c:pt>
                <c:pt idx="2">
                  <c:v>50.559311876214288</c:v>
                </c:pt>
                <c:pt idx="3">
                  <c:v>50.837388091533469</c:v>
                </c:pt>
                <c:pt idx="4">
                  <c:v>51.116993726036903</c:v>
                </c:pt>
                <c:pt idx="5">
                  <c:v>51.398137191530104</c:v>
                </c:pt>
                <c:pt idx="6">
                  <c:v>51.680826946083521</c:v>
                </c:pt>
                <c:pt idx="7">
                  <c:v>51.965071494286981</c:v>
                </c:pt>
                <c:pt idx="8">
                  <c:v>52.250879387505563</c:v>
                </c:pt>
                <c:pt idx="9">
                  <c:v>52.538259224136844</c:v>
                </c:pt>
                <c:pt idx="10">
                  <c:v>52.827219649869598</c:v>
                </c:pt>
              </c:numCache>
            </c:numRef>
          </c:val>
          <c:smooth val="0"/>
          <c:extLst>
            <c:ext xmlns:c16="http://schemas.microsoft.com/office/drawing/2014/chart" uri="{C3380CC4-5D6E-409C-BE32-E72D297353CC}">
              <c16:uniqueId val="{00000000-C7F1-489A-B2E5-E98267FA7B48}"/>
            </c:ext>
          </c:extLst>
        </c:ser>
        <c:ser>
          <c:idx val="1"/>
          <c:order val="1"/>
          <c:tx>
            <c:strRef>
              <c:f>'Persona_6 '!$T$35</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'!$T$36:$T$46</c:f>
              <c:numCache>
                <c:formatCode>General</c:formatCode>
                <c:ptCount val="11"/>
                <c:pt idx="0">
                  <c:v>47.176977443609019</c:v>
                </c:pt>
                <c:pt idx="1">
                  <c:v>47.695924195488715</c:v>
                </c:pt>
                <c:pt idx="2">
                  <c:v>48.220579361639089</c:v>
                </c:pt>
                <c:pt idx="3">
                  <c:v>48.751005734617117</c:v>
                </c:pt>
                <c:pt idx="4">
                  <c:v>49.287266797697903</c:v>
                </c:pt>
                <c:pt idx="5">
                  <c:v>49.829426732472577</c:v>
                </c:pt>
                <c:pt idx="6">
                  <c:v>50.377550426529773</c:v>
                </c:pt>
                <c:pt idx="7">
                  <c:v>50.931703481221604</c:v>
                </c:pt>
                <c:pt idx="8">
                  <c:v>51.491952219515042</c:v>
                </c:pt>
                <c:pt idx="9">
                  <c:v>52.058363693929707</c:v>
                </c:pt>
                <c:pt idx="10">
                  <c:v>52.63100569456293</c:v>
                </c:pt>
              </c:numCache>
            </c:numRef>
          </c:val>
          <c:smooth val="0"/>
          <c:extLst>
            <c:ext xmlns:c16="http://schemas.microsoft.com/office/drawing/2014/chart" uri="{C3380CC4-5D6E-409C-BE32-E72D297353CC}">
              <c16:uniqueId val="{00000001-C7F1-489A-B2E5-E98267FA7B48}"/>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5" Type="http://schemas.openxmlformats.org/officeDocument/2006/relationships/chart" Target="../charts/chart40.xml"/><Relationship Id="rId4" Type="http://schemas.openxmlformats.org/officeDocument/2006/relationships/chart" Target="../charts/chart3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5" Type="http://schemas.openxmlformats.org/officeDocument/2006/relationships/chart" Target="../charts/chart45.xml"/><Relationship Id="rId4" Type="http://schemas.openxmlformats.org/officeDocument/2006/relationships/chart" Target="../charts/chart4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5" Type="http://schemas.openxmlformats.org/officeDocument/2006/relationships/chart" Target="../charts/chart50.xml"/><Relationship Id="rId4" Type="http://schemas.openxmlformats.org/officeDocument/2006/relationships/chart" Target="../charts/chart4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5" Type="http://schemas.openxmlformats.org/officeDocument/2006/relationships/chart" Target="../charts/chart55.xml"/><Relationship Id="rId4" Type="http://schemas.openxmlformats.org/officeDocument/2006/relationships/chart" Target="../charts/chart5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5" Type="http://schemas.openxmlformats.org/officeDocument/2006/relationships/chart" Target="../charts/chart60.xml"/><Relationship Id="rId4" Type="http://schemas.openxmlformats.org/officeDocument/2006/relationships/chart" Target="../charts/chart59.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5" Type="http://schemas.openxmlformats.org/officeDocument/2006/relationships/chart" Target="../charts/chart65.xml"/><Relationship Id="rId4" Type="http://schemas.openxmlformats.org/officeDocument/2006/relationships/chart" Target="../charts/chart6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68.xml"/><Relationship Id="rId2" Type="http://schemas.openxmlformats.org/officeDocument/2006/relationships/chart" Target="../charts/chart67.xml"/><Relationship Id="rId1" Type="http://schemas.openxmlformats.org/officeDocument/2006/relationships/chart" Target="../charts/chart66.xml"/><Relationship Id="rId5" Type="http://schemas.openxmlformats.org/officeDocument/2006/relationships/chart" Target="../charts/chart70.xml"/><Relationship Id="rId4" Type="http://schemas.openxmlformats.org/officeDocument/2006/relationships/chart" Target="../charts/chart6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73.xml"/><Relationship Id="rId2" Type="http://schemas.openxmlformats.org/officeDocument/2006/relationships/chart" Target="../charts/chart72.xml"/><Relationship Id="rId1" Type="http://schemas.openxmlformats.org/officeDocument/2006/relationships/chart" Target="../charts/chart71.xml"/><Relationship Id="rId5" Type="http://schemas.openxmlformats.org/officeDocument/2006/relationships/chart" Target="../charts/chart75.xml"/><Relationship Id="rId4" Type="http://schemas.openxmlformats.org/officeDocument/2006/relationships/chart" Target="../charts/chart74.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 Id="rId5" Type="http://schemas.openxmlformats.org/officeDocument/2006/relationships/chart" Target="../charts/chart80.xml"/><Relationship Id="rId4" Type="http://schemas.openxmlformats.org/officeDocument/2006/relationships/chart" Target="../charts/chart7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83.xml"/><Relationship Id="rId2" Type="http://schemas.openxmlformats.org/officeDocument/2006/relationships/chart" Target="../charts/chart82.xml"/><Relationship Id="rId1" Type="http://schemas.openxmlformats.org/officeDocument/2006/relationships/chart" Target="../charts/chart81.xml"/><Relationship Id="rId5" Type="http://schemas.openxmlformats.org/officeDocument/2006/relationships/chart" Target="../charts/chart85.xml"/><Relationship Id="rId4" Type="http://schemas.openxmlformats.org/officeDocument/2006/relationships/chart" Target="../charts/chart84.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88.xml"/><Relationship Id="rId2" Type="http://schemas.openxmlformats.org/officeDocument/2006/relationships/chart" Target="../charts/chart87.xml"/><Relationship Id="rId1" Type="http://schemas.openxmlformats.org/officeDocument/2006/relationships/chart" Target="../charts/chart86.xml"/><Relationship Id="rId5" Type="http://schemas.openxmlformats.org/officeDocument/2006/relationships/chart" Target="../charts/chart90.xml"/><Relationship Id="rId4" Type="http://schemas.openxmlformats.org/officeDocument/2006/relationships/chart" Target="../charts/chart89.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5" Type="http://schemas.openxmlformats.org/officeDocument/2006/relationships/chart" Target="../charts/chart95.xml"/><Relationship Id="rId4" Type="http://schemas.openxmlformats.org/officeDocument/2006/relationships/chart" Target="../charts/chart94.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98.xml"/><Relationship Id="rId2" Type="http://schemas.openxmlformats.org/officeDocument/2006/relationships/chart" Target="../charts/chart97.xml"/><Relationship Id="rId1" Type="http://schemas.openxmlformats.org/officeDocument/2006/relationships/chart" Target="../charts/chart96.xml"/><Relationship Id="rId5" Type="http://schemas.openxmlformats.org/officeDocument/2006/relationships/chart" Target="../charts/chart100.xml"/><Relationship Id="rId4" Type="http://schemas.openxmlformats.org/officeDocument/2006/relationships/chart" Target="../charts/chart99.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103.xml"/><Relationship Id="rId2" Type="http://schemas.openxmlformats.org/officeDocument/2006/relationships/chart" Target="../charts/chart102.xml"/><Relationship Id="rId1" Type="http://schemas.openxmlformats.org/officeDocument/2006/relationships/chart" Target="../charts/chart101.xml"/><Relationship Id="rId5" Type="http://schemas.openxmlformats.org/officeDocument/2006/relationships/chart" Target="../charts/chart105.xml"/><Relationship Id="rId4" Type="http://schemas.openxmlformats.org/officeDocument/2006/relationships/chart" Target="../charts/chart104.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108.xml"/><Relationship Id="rId2" Type="http://schemas.openxmlformats.org/officeDocument/2006/relationships/chart" Target="../charts/chart107.xml"/><Relationship Id="rId1" Type="http://schemas.openxmlformats.org/officeDocument/2006/relationships/chart" Target="../charts/chart106.xml"/><Relationship Id="rId5" Type="http://schemas.openxmlformats.org/officeDocument/2006/relationships/chart" Target="../charts/chart110.xml"/><Relationship Id="rId4" Type="http://schemas.openxmlformats.org/officeDocument/2006/relationships/chart" Target="../charts/chart109.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113.xml"/><Relationship Id="rId2" Type="http://schemas.openxmlformats.org/officeDocument/2006/relationships/chart" Target="../charts/chart112.xml"/><Relationship Id="rId1" Type="http://schemas.openxmlformats.org/officeDocument/2006/relationships/chart" Target="../charts/chart111.xml"/><Relationship Id="rId5" Type="http://schemas.openxmlformats.org/officeDocument/2006/relationships/chart" Target="../charts/chart115.xml"/><Relationship Id="rId4" Type="http://schemas.openxmlformats.org/officeDocument/2006/relationships/chart" Target="../charts/chart114.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118.xml"/><Relationship Id="rId2" Type="http://schemas.openxmlformats.org/officeDocument/2006/relationships/chart" Target="../charts/chart117.xml"/><Relationship Id="rId1" Type="http://schemas.openxmlformats.org/officeDocument/2006/relationships/chart" Target="../charts/chart116.xml"/><Relationship Id="rId5" Type="http://schemas.openxmlformats.org/officeDocument/2006/relationships/chart" Target="../charts/chart120.xml"/><Relationship Id="rId4" Type="http://schemas.openxmlformats.org/officeDocument/2006/relationships/chart" Target="../charts/chart119.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123.xml"/><Relationship Id="rId2" Type="http://schemas.openxmlformats.org/officeDocument/2006/relationships/chart" Target="../charts/chart122.xml"/><Relationship Id="rId1" Type="http://schemas.openxmlformats.org/officeDocument/2006/relationships/chart" Target="../charts/chart121.xml"/><Relationship Id="rId5" Type="http://schemas.openxmlformats.org/officeDocument/2006/relationships/chart" Target="../charts/chart125.xml"/><Relationship Id="rId4" Type="http://schemas.openxmlformats.org/officeDocument/2006/relationships/chart" Target="../charts/chart124.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128.xml"/><Relationship Id="rId2" Type="http://schemas.openxmlformats.org/officeDocument/2006/relationships/chart" Target="../charts/chart127.xml"/><Relationship Id="rId1" Type="http://schemas.openxmlformats.org/officeDocument/2006/relationships/chart" Target="../charts/chart126.xml"/><Relationship Id="rId5" Type="http://schemas.openxmlformats.org/officeDocument/2006/relationships/chart" Target="../charts/chart130.xml"/><Relationship Id="rId4" Type="http://schemas.openxmlformats.org/officeDocument/2006/relationships/chart" Target="../charts/chart129.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133.xml"/><Relationship Id="rId2" Type="http://schemas.openxmlformats.org/officeDocument/2006/relationships/chart" Target="../charts/chart132.xml"/><Relationship Id="rId1" Type="http://schemas.openxmlformats.org/officeDocument/2006/relationships/chart" Target="../charts/chart131.xml"/><Relationship Id="rId5" Type="http://schemas.openxmlformats.org/officeDocument/2006/relationships/chart" Target="../charts/chart135.xml"/><Relationship Id="rId4" Type="http://schemas.openxmlformats.org/officeDocument/2006/relationships/chart" Target="../charts/chart134.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138.xml"/><Relationship Id="rId2" Type="http://schemas.openxmlformats.org/officeDocument/2006/relationships/chart" Target="../charts/chart137.xml"/><Relationship Id="rId1" Type="http://schemas.openxmlformats.org/officeDocument/2006/relationships/chart" Target="../charts/chart136.xml"/><Relationship Id="rId5" Type="http://schemas.openxmlformats.org/officeDocument/2006/relationships/chart" Target="../charts/chart140.xml"/><Relationship Id="rId4" Type="http://schemas.openxmlformats.org/officeDocument/2006/relationships/chart" Target="../charts/chart139.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143.xml"/><Relationship Id="rId2" Type="http://schemas.openxmlformats.org/officeDocument/2006/relationships/chart" Target="../charts/chart142.xml"/><Relationship Id="rId1" Type="http://schemas.openxmlformats.org/officeDocument/2006/relationships/chart" Target="../charts/chart141.xml"/><Relationship Id="rId5" Type="http://schemas.openxmlformats.org/officeDocument/2006/relationships/chart" Target="../charts/chart145.xml"/><Relationship Id="rId4" Type="http://schemas.openxmlformats.org/officeDocument/2006/relationships/chart" Target="../charts/chart144.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148.xml"/><Relationship Id="rId2" Type="http://schemas.openxmlformats.org/officeDocument/2006/relationships/chart" Target="../charts/chart147.xml"/><Relationship Id="rId1" Type="http://schemas.openxmlformats.org/officeDocument/2006/relationships/chart" Target="../charts/chart146.xml"/><Relationship Id="rId5" Type="http://schemas.openxmlformats.org/officeDocument/2006/relationships/chart" Target="../charts/chart150.xml"/><Relationship Id="rId4" Type="http://schemas.openxmlformats.org/officeDocument/2006/relationships/chart" Target="../charts/chart149.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153.xml"/><Relationship Id="rId2" Type="http://schemas.openxmlformats.org/officeDocument/2006/relationships/chart" Target="../charts/chart152.xml"/><Relationship Id="rId1" Type="http://schemas.openxmlformats.org/officeDocument/2006/relationships/chart" Target="../charts/chart151.xml"/><Relationship Id="rId5" Type="http://schemas.openxmlformats.org/officeDocument/2006/relationships/chart" Target="../charts/chart155.xml"/><Relationship Id="rId4" Type="http://schemas.openxmlformats.org/officeDocument/2006/relationships/chart" Target="../charts/chart154.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158.xml"/><Relationship Id="rId2" Type="http://schemas.openxmlformats.org/officeDocument/2006/relationships/chart" Target="../charts/chart157.xml"/><Relationship Id="rId1" Type="http://schemas.openxmlformats.org/officeDocument/2006/relationships/chart" Target="../charts/chart156.xml"/><Relationship Id="rId5" Type="http://schemas.openxmlformats.org/officeDocument/2006/relationships/chart" Target="../charts/chart160.xml"/><Relationship Id="rId4" Type="http://schemas.openxmlformats.org/officeDocument/2006/relationships/chart" Target="../charts/chart159.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163.xml"/><Relationship Id="rId2" Type="http://schemas.openxmlformats.org/officeDocument/2006/relationships/chart" Target="../charts/chart162.xml"/><Relationship Id="rId1" Type="http://schemas.openxmlformats.org/officeDocument/2006/relationships/chart" Target="../charts/chart161.xml"/><Relationship Id="rId5" Type="http://schemas.openxmlformats.org/officeDocument/2006/relationships/chart" Target="../charts/chart165.xml"/><Relationship Id="rId4" Type="http://schemas.openxmlformats.org/officeDocument/2006/relationships/chart" Target="../charts/chart164.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168.xml"/><Relationship Id="rId2" Type="http://schemas.openxmlformats.org/officeDocument/2006/relationships/chart" Target="../charts/chart167.xml"/><Relationship Id="rId1" Type="http://schemas.openxmlformats.org/officeDocument/2006/relationships/chart" Target="../charts/chart166.xml"/><Relationship Id="rId5" Type="http://schemas.openxmlformats.org/officeDocument/2006/relationships/chart" Target="../charts/chart170.xml"/><Relationship Id="rId4" Type="http://schemas.openxmlformats.org/officeDocument/2006/relationships/chart" Target="../charts/chart169.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173.xml"/><Relationship Id="rId2" Type="http://schemas.openxmlformats.org/officeDocument/2006/relationships/chart" Target="../charts/chart172.xml"/><Relationship Id="rId1" Type="http://schemas.openxmlformats.org/officeDocument/2006/relationships/chart" Target="../charts/chart171.xml"/><Relationship Id="rId5" Type="http://schemas.openxmlformats.org/officeDocument/2006/relationships/chart" Target="../charts/chart175.xml"/><Relationship Id="rId4" Type="http://schemas.openxmlformats.org/officeDocument/2006/relationships/chart" Target="../charts/chart174.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178.xml"/><Relationship Id="rId2" Type="http://schemas.openxmlformats.org/officeDocument/2006/relationships/chart" Target="../charts/chart177.xml"/><Relationship Id="rId1" Type="http://schemas.openxmlformats.org/officeDocument/2006/relationships/chart" Target="../charts/chart176.xml"/><Relationship Id="rId5" Type="http://schemas.openxmlformats.org/officeDocument/2006/relationships/chart" Target="../charts/chart180.xml"/><Relationship Id="rId4" Type="http://schemas.openxmlformats.org/officeDocument/2006/relationships/chart" Target="../charts/chart179.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183.xml"/><Relationship Id="rId2" Type="http://schemas.openxmlformats.org/officeDocument/2006/relationships/chart" Target="../charts/chart182.xml"/><Relationship Id="rId1" Type="http://schemas.openxmlformats.org/officeDocument/2006/relationships/chart" Target="../charts/chart181.xml"/><Relationship Id="rId5" Type="http://schemas.openxmlformats.org/officeDocument/2006/relationships/chart" Target="../charts/chart185.xml"/><Relationship Id="rId4" Type="http://schemas.openxmlformats.org/officeDocument/2006/relationships/chart" Target="../charts/chart184.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188.xml"/><Relationship Id="rId2" Type="http://schemas.openxmlformats.org/officeDocument/2006/relationships/chart" Target="../charts/chart187.xml"/><Relationship Id="rId1" Type="http://schemas.openxmlformats.org/officeDocument/2006/relationships/chart" Target="../charts/chart186.xml"/><Relationship Id="rId5" Type="http://schemas.openxmlformats.org/officeDocument/2006/relationships/chart" Target="../charts/chart190.xml"/><Relationship Id="rId4" Type="http://schemas.openxmlformats.org/officeDocument/2006/relationships/chart" Target="../charts/chart189.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193.xml"/><Relationship Id="rId2" Type="http://schemas.openxmlformats.org/officeDocument/2006/relationships/chart" Target="../charts/chart192.xml"/><Relationship Id="rId1" Type="http://schemas.openxmlformats.org/officeDocument/2006/relationships/chart" Target="../charts/chart191.xml"/><Relationship Id="rId5" Type="http://schemas.openxmlformats.org/officeDocument/2006/relationships/chart" Target="../charts/chart195.xml"/><Relationship Id="rId4" Type="http://schemas.openxmlformats.org/officeDocument/2006/relationships/chart" Target="../charts/chart194.xml"/></Relationships>
</file>

<file path=xl/drawings/drawing1.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60A0238D-F219-451F-85CA-99A445396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77EADABB-09A4-4F14-A09A-AD383EF06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70640D4F-67A3-4604-9E63-DF87554DD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D585ED66-45A5-457A-94BF-9A24F2C5F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C2D5E928-B8C1-49FD-AB94-F23CCCDC2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034F6486-61A1-414D-890A-19A1E1D6A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D7A1D29A-3CD5-4273-B47E-6021EBCE1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D1D0B3B1-E77A-4142-9F63-C39F7DA52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CF5BF381-5E16-4DE2-BCCF-FB3C9517E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67987A95-77D5-4895-9DEC-F0D66525E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1A28D1DC-EC38-4F09-B5A3-6CAF4E8B8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B8C639D5-46FC-4113-87B4-4DA452414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387F6D5B-0D0E-4D91-A760-3EB80A744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4E9E6271-A88F-4B4C-B864-6C1917987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E551AA6E-CC07-42D4-9271-1C4339CFD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B3F0CD35-9590-4E41-9CAE-E43619601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8919E052-EE89-49B3-9DDA-AB53EDDBF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55EDCF3D-D87D-4CA1-B168-71C144DE4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A3A436E9-B557-4E4B-9ED7-1F1B9D19D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2904E248-6E6D-44AC-ABD9-1C033DE0E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E11523D1-2D3D-4AAD-A83B-902B9E5AE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2C3C00DF-29CE-424B-9F64-3944B3B24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066A09BA-5311-4BF0-9B2D-20480BF7C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A4ACC56D-6A2A-4643-BFB8-9A98608A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8" name="Chart 7">
          <a:extLst>
            <a:ext uri="{FF2B5EF4-FFF2-40B4-BE49-F238E27FC236}">
              <a16:creationId xmlns:a16="http://schemas.microsoft.com/office/drawing/2014/main" id="{4FE5E72C-5EB0-928B-5167-C959E4201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F5110F24-4A7C-44AA-BA88-5B7EEC20C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14452DE1-F9B7-4D11-80F4-1EC6236BB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ED792C72-1D21-40E0-B4E8-2DE05B4E3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5A6844B4-8083-4A0F-9B2D-5A27AD983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B74C1C2D-EB63-44B2-B9D9-1F921B28F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5C204C28-EF36-47C5-B1BE-C0080ADFE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64C2C4ED-5C99-4816-90C2-92911FAAC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F62EEF6B-F734-44A4-AC14-C657FC7E2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BC0E9D4A-64B9-451A-AE70-9CFD70491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06D0ABE6-C26B-43D9-B9BD-ECCE28B0A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61014822-7244-4C79-82AC-9A61DCA6E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AE653093-EA89-487F-B850-2EA7DC2AD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5B122000-E054-433F-A9EC-9E0DB2716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3455DAC1-9688-41B7-B7EB-16378E6D9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D6BA7856-E79A-4871-9BFD-12F0E1B3B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6D6E109C-DB38-4931-B04F-6ABF51487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F9A83EDA-AC33-4531-9B93-2629B1BDC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5BEA00A6-4DB4-436F-823F-692892C96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DF788CA3-F931-41A1-B7B3-FECFE08A3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3845F307-AFA0-4965-A140-29B903F24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9FD0844A-7051-4539-9A98-C61847306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815220BF-4F8B-42F8-A88E-9EFA73A9E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1910E70C-EEB6-4D32-ABFD-3E7A23D96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F83E186C-418E-4528-BF2C-5FC9C49E7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C0C1F9F7-46F5-4550-B15E-0D6B35D34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7EDD37F1-9323-4E7C-B1BE-C0E5390C3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79DBB35D-BD5C-4AB1-A164-BB96BDA45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A31D3119-9E44-40AF-8710-F798E837C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2F358C70-20A6-4266-BC77-4962620A2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1C62EF86-2A59-45AB-B095-E5464CF99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1A02C34A-8AC8-48C3-AAAC-F537FC337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ACCC887B-3B1E-405D-A83A-72FA3E344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8150CF5A-3CE9-4D72-9489-19998DF90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DE7A3A6A-ABBF-4F83-88EC-C1E022D35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675EB859-F1CB-4769-BCC0-EDD5BB936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F8DF7752-A30C-45DA-A228-47FA09388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80AF0476-DD13-4D16-931D-FD51FA28C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09B5E80D-211B-4649-A3E5-A55BD9B58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FA247A82-5DB7-4736-B218-47AB493E2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73BE8DDB-299C-4C67-9E92-83E8A449D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12412B9C-6126-45DD-8D0B-E932B582D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57A96559-20AB-4152-9DFE-D4D6F5F60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04694735-1C67-4AA5-BB88-0A045D71D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58712EFA-82DF-486F-BFB2-80755351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0F6F6C3E-1DC9-4B14-86CC-375CCBAB8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898EC936-C546-4BE4-9AD8-1A38B546B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27E93300-5D7E-4151-99F4-724DD222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D0E53A99-267A-4D22-969C-48FC0509D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9741C8C6-C85C-474B-84CA-C7D364151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9B79A46C-82FA-4F23-8E81-FB14F49E6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D81DED87-A7EF-4F1A-846A-3653FE0A3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FBF5C934-9B50-49F7-894B-B47DF9E66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12175B81-3991-432B-B4FD-1FBD0E8BE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05E31145-BF1C-4A11-B8D7-4AE43E03E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B150DF34-E124-4A02-876A-75B9F08F7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0CAB01E7-D16A-4077-96AB-85FF1E0DE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9A66A1C1-C0E6-4B4D-8D3A-6811B022A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807C5842-C5F0-448F-9EF4-6B12796EB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DD586394-A17B-403B-AFC8-2588CBE49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6A59EC33-2A12-4933-93A1-C317E5059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2AB41729-D362-4FEB-8847-1E2ADDBD6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327FE831-5F51-4355-8AB7-865E1B8CF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66DA0B95-3F48-4A8C-848A-49436EE31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98746684-A988-4F11-B78B-67542DAA9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A50A1FC0-F286-4CDE-A5F8-89ADA91A6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628A7457-BD51-4CE4-AB2B-34E371E2A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4E0909BD-4C3B-43F7-9E02-5BE365386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C2F04BCB-08CD-4F61-8BA1-740816D1F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B767FB06-4B29-4044-929A-37969C4D5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94819CDF-16B9-4AFF-B4D2-56E2AAE69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5F75CCA4-C91B-4630-8438-0ED739910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2A9CF4A1-5D82-4CCE-961E-EE0B103AD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BCFE5528-9441-41DB-B208-683328091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816FC12A-EA18-47FA-96C5-759CF1353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91634422-3760-458F-985C-B4F7B8A8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D06FBA5F-EA45-40D9-B03A-AE76CA672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70CDFAFC-0042-4BD4-BC18-A3017ECE6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991C2AC7-0B0E-4888-A365-F13FAE22B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0C9E7B51-2E30-4D91-8AD5-E9DFD3EDC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A7164B42-724A-4B1A-BD24-F6739F501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0518B288-F6EA-4680-B7FD-C23A8D8AC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93B160E1-9025-4DC6-A49B-63E42BF0D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954D72C7-E4CA-470C-8962-973C30975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0C736062-A7AE-4BF9-B29E-B5C4FCC40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A03FE566-8FC1-4040-A641-72AA6EB17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E24E191A-D8B7-4619-8188-DCBCEE5D6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15D97974-EE2F-428B-907E-036E43BD4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8D3D44EF-92D0-428C-9B86-88CB2A66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679860</xdr:colOff>
      <xdr:row>61</xdr:row>
      <xdr:rowOff>178509</xdr:rowOff>
    </xdr:from>
    <xdr:to>
      <xdr:col>17</xdr:col>
      <xdr:colOff>1066350</xdr:colOff>
      <xdr:row>77</xdr:row>
      <xdr:rowOff>51098</xdr:rowOff>
    </xdr:to>
    <xdr:graphicFrame macro="">
      <xdr:nvGraphicFramePr>
        <xdr:cNvPr id="5" name="Chart 4">
          <a:extLst>
            <a:ext uri="{FF2B5EF4-FFF2-40B4-BE49-F238E27FC236}">
              <a16:creationId xmlns:a16="http://schemas.microsoft.com/office/drawing/2014/main" id="{96A41659-0DCC-405B-A3AE-3A697724C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69D76837-7000-41EC-87BB-A9A9BCF4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11</xdr:col>
      <xdr:colOff>577307</xdr:colOff>
      <xdr:row>46</xdr:row>
      <xdr:rowOff>101614</xdr:rowOff>
    </xdr:from>
    <xdr:to>
      <xdr:col>16</xdr:col>
      <xdr:colOff>351959</xdr:colOff>
      <xdr:row>61</xdr:row>
      <xdr:rowOff>53200</xdr:rowOff>
    </xdr:to>
    <xdr:graphicFrame macro="">
      <xdr:nvGraphicFramePr>
        <xdr:cNvPr id="2" name="Chart 1">
          <a:extLst>
            <a:ext uri="{FF2B5EF4-FFF2-40B4-BE49-F238E27FC236}">
              <a16:creationId xmlns:a16="http://schemas.microsoft.com/office/drawing/2014/main" id="{7DE0219B-9E76-4325-A8BE-3B071F21B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558389</xdr:colOff>
      <xdr:row>46</xdr:row>
      <xdr:rowOff>108250</xdr:rowOff>
    </xdr:from>
    <xdr:to>
      <xdr:col>20</xdr:col>
      <xdr:colOff>351194</xdr:colOff>
      <xdr:row>61</xdr:row>
      <xdr:rowOff>79001</xdr:rowOff>
    </xdr:to>
    <xdr:graphicFrame macro="">
      <xdr:nvGraphicFramePr>
        <xdr:cNvPr id="3" name="Chart 2">
          <a:extLst>
            <a:ext uri="{FF2B5EF4-FFF2-40B4-BE49-F238E27FC236}">
              <a16:creationId xmlns:a16="http://schemas.microsoft.com/office/drawing/2014/main" id="{F787DB4A-051A-4729-961E-73C796005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554691</xdr:colOff>
      <xdr:row>46</xdr:row>
      <xdr:rowOff>112058</xdr:rowOff>
    </xdr:from>
    <xdr:to>
      <xdr:col>27</xdr:col>
      <xdr:colOff>235324</xdr:colOff>
      <xdr:row>61</xdr:row>
      <xdr:rowOff>64209</xdr:rowOff>
    </xdr:to>
    <xdr:graphicFrame macro="">
      <xdr:nvGraphicFramePr>
        <xdr:cNvPr id="4" name="Chart 3">
          <a:extLst>
            <a:ext uri="{FF2B5EF4-FFF2-40B4-BE49-F238E27FC236}">
              <a16:creationId xmlns:a16="http://schemas.microsoft.com/office/drawing/2014/main" id="{9080C61B-A48F-40A2-99D9-6FFCC6977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689030</xdr:colOff>
      <xdr:row>65</xdr:row>
      <xdr:rowOff>75019</xdr:rowOff>
    </xdr:from>
    <xdr:to>
      <xdr:col>17</xdr:col>
      <xdr:colOff>1077425</xdr:colOff>
      <xdr:row>80</xdr:row>
      <xdr:rowOff>132437</xdr:rowOff>
    </xdr:to>
    <xdr:graphicFrame macro="">
      <xdr:nvGraphicFramePr>
        <xdr:cNvPr id="5" name="Chart 4">
          <a:extLst>
            <a:ext uri="{FF2B5EF4-FFF2-40B4-BE49-F238E27FC236}">
              <a16:creationId xmlns:a16="http://schemas.microsoft.com/office/drawing/2014/main" id="{AD602FE0-A1DB-4E44-BB1B-8FACC3A78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907676</xdr:colOff>
      <xdr:row>64</xdr:row>
      <xdr:rowOff>62864</xdr:rowOff>
    </xdr:from>
    <xdr:to>
      <xdr:col>25</xdr:col>
      <xdr:colOff>717176</xdr:colOff>
      <xdr:row>79</xdr:row>
      <xdr:rowOff>101412</xdr:rowOff>
    </xdr:to>
    <xdr:graphicFrame macro="">
      <xdr:nvGraphicFramePr>
        <xdr:cNvPr id="6" name="Chart 5">
          <a:extLst>
            <a:ext uri="{FF2B5EF4-FFF2-40B4-BE49-F238E27FC236}">
              <a16:creationId xmlns:a16="http://schemas.microsoft.com/office/drawing/2014/main" id="{CBD1E4C2-A8D1-4690-A097-84E2D5073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13</xdr:col>
      <xdr:colOff>374073</xdr:colOff>
      <xdr:row>46</xdr:row>
      <xdr:rowOff>13855</xdr:rowOff>
    </xdr:from>
    <xdr:to>
      <xdr:col>17</xdr:col>
      <xdr:colOff>799889</xdr:colOff>
      <xdr:row>60</xdr:row>
      <xdr:rowOff>145550</xdr:rowOff>
    </xdr:to>
    <xdr:graphicFrame macro="">
      <xdr:nvGraphicFramePr>
        <xdr:cNvPr id="7" name="Chart 6">
          <a:extLst>
            <a:ext uri="{FF2B5EF4-FFF2-40B4-BE49-F238E27FC236}">
              <a16:creationId xmlns:a16="http://schemas.microsoft.com/office/drawing/2014/main" id="{74FBAF1B-1492-4F0E-9991-31F39249D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1006319</xdr:colOff>
      <xdr:row>46</xdr:row>
      <xdr:rowOff>20491</xdr:rowOff>
    </xdr:from>
    <xdr:to>
      <xdr:col>22</xdr:col>
      <xdr:colOff>577451</xdr:colOff>
      <xdr:row>60</xdr:row>
      <xdr:rowOff>171351</xdr:rowOff>
    </xdr:to>
    <xdr:graphicFrame macro="">
      <xdr:nvGraphicFramePr>
        <xdr:cNvPr id="8" name="Chart 7">
          <a:extLst>
            <a:ext uri="{FF2B5EF4-FFF2-40B4-BE49-F238E27FC236}">
              <a16:creationId xmlns:a16="http://schemas.microsoft.com/office/drawing/2014/main" id="{F0A9D23B-8BE5-4BEE-A885-3E7CBCD1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368572</xdr:colOff>
      <xdr:row>46</xdr:row>
      <xdr:rowOff>33263</xdr:rowOff>
    </xdr:from>
    <xdr:to>
      <xdr:col>30</xdr:col>
      <xdr:colOff>340150</xdr:colOff>
      <xdr:row>60</xdr:row>
      <xdr:rowOff>165523</xdr:rowOff>
    </xdr:to>
    <xdr:graphicFrame macro="">
      <xdr:nvGraphicFramePr>
        <xdr:cNvPr id="9" name="Chart 8">
          <a:extLst>
            <a:ext uri="{FF2B5EF4-FFF2-40B4-BE49-F238E27FC236}">
              <a16:creationId xmlns:a16="http://schemas.microsoft.com/office/drawing/2014/main" id="{AE15F430-F7E7-4EF8-AFDA-A218A60CD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117222</xdr:colOff>
      <xdr:row>64</xdr:row>
      <xdr:rowOff>1103</xdr:rowOff>
    </xdr:from>
    <xdr:to>
      <xdr:col>19</xdr:col>
      <xdr:colOff>1002476</xdr:colOff>
      <xdr:row>79</xdr:row>
      <xdr:rowOff>53802</xdr:rowOff>
    </xdr:to>
    <xdr:graphicFrame macro="">
      <xdr:nvGraphicFramePr>
        <xdr:cNvPr id="10" name="Chart 9">
          <a:extLst>
            <a:ext uri="{FF2B5EF4-FFF2-40B4-BE49-F238E27FC236}">
              <a16:creationId xmlns:a16="http://schemas.microsoft.com/office/drawing/2014/main" id="{F810FBE8-477D-4382-9000-41137F225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302660</xdr:colOff>
      <xdr:row>63</xdr:row>
      <xdr:rowOff>155214</xdr:rowOff>
    </xdr:from>
    <xdr:to>
      <xdr:col>28</xdr:col>
      <xdr:colOff>458523</xdr:colOff>
      <xdr:row>79</xdr:row>
      <xdr:rowOff>13653</xdr:rowOff>
    </xdr:to>
    <xdr:graphicFrame macro="">
      <xdr:nvGraphicFramePr>
        <xdr:cNvPr id="11" name="Chart 10">
          <a:extLst>
            <a:ext uri="{FF2B5EF4-FFF2-40B4-BE49-F238E27FC236}">
              <a16:creationId xmlns:a16="http://schemas.microsoft.com/office/drawing/2014/main" id="{CAE7AF6A-E713-422B-A2B1-4707BAF6F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12</xdr:col>
      <xdr:colOff>221672</xdr:colOff>
      <xdr:row>44</xdr:row>
      <xdr:rowOff>27709</xdr:rowOff>
    </xdr:from>
    <xdr:to>
      <xdr:col>16</xdr:col>
      <xdr:colOff>928536</xdr:colOff>
      <xdr:row>59</xdr:row>
      <xdr:rowOff>53516</xdr:rowOff>
    </xdr:to>
    <xdr:graphicFrame macro="">
      <xdr:nvGraphicFramePr>
        <xdr:cNvPr id="2" name="Chart 1">
          <a:extLst>
            <a:ext uri="{FF2B5EF4-FFF2-40B4-BE49-F238E27FC236}">
              <a16:creationId xmlns:a16="http://schemas.microsoft.com/office/drawing/2014/main" id="{FCFA9D8B-9646-43B5-A47F-0FB66E461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1134966</xdr:colOff>
      <xdr:row>44</xdr:row>
      <xdr:rowOff>34345</xdr:rowOff>
    </xdr:from>
    <xdr:to>
      <xdr:col>21</xdr:col>
      <xdr:colOff>20299</xdr:colOff>
      <xdr:row>59</xdr:row>
      <xdr:rowOff>79317</xdr:rowOff>
    </xdr:to>
    <xdr:graphicFrame macro="">
      <xdr:nvGraphicFramePr>
        <xdr:cNvPr id="3" name="Chart 2">
          <a:extLst>
            <a:ext uri="{FF2B5EF4-FFF2-40B4-BE49-F238E27FC236}">
              <a16:creationId xmlns:a16="http://schemas.microsoft.com/office/drawing/2014/main" id="{55E7059E-F5FF-4747-9003-ED62FCA00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223796</xdr:colOff>
      <xdr:row>44</xdr:row>
      <xdr:rowOff>38153</xdr:rowOff>
    </xdr:from>
    <xdr:to>
      <xdr:col>28</xdr:col>
      <xdr:colOff>195374</xdr:colOff>
      <xdr:row>59</xdr:row>
      <xdr:rowOff>64525</xdr:rowOff>
    </xdr:to>
    <xdr:graphicFrame macro="">
      <xdr:nvGraphicFramePr>
        <xdr:cNvPr id="4" name="Chart 3">
          <a:extLst>
            <a:ext uri="{FF2B5EF4-FFF2-40B4-BE49-F238E27FC236}">
              <a16:creationId xmlns:a16="http://schemas.microsoft.com/office/drawing/2014/main" id="{BB89E721-1F02-48DE-AC70-6AE9A975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1068412</xdr:colOff>
      <xdr:row>61</xdr:row>
      <xdr:rowOff>157053</xdr:rowOff>
    </xdr:from>
    <xdr:to>
      <xdr:col>18</xdr:col>
      <xdr:colOff>290131</xdr:colOff>
      <xdr:row>77</xdr:row>
      <xdr:rowOff>108812</xdr:rowOff>
    </xdr:to>
    <xdr:graphicFrame macro="">
      <xdr:nvGraphicFramePr>
        <xdr:cNvPr id="5" name="Chart 4">
          <a:extLst>
            <a:ext uri="{FF2B5EF4-FFF2-40B4-BE49-F238E27FC236}">
              <a16:creationId xmlns:a16="http://schemas.microsoft.com/office/drawing/2014/main" id="{AD2F1547-CB23-4119-BB7A-32AF4AA95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1041897</xdr:colOff>
      <xdr:row>62</xdr:row>
      <xdr:rowOff>78024</xdr:rowOff>
    </xdr:from>
    <xdr:to>
      <xdr:col>26</xdr:col>
      <xdr:colOff>78512</xdr:colOff>
      <xdr:row>78</xdr:row>
      <xdr:rowOff>10684</xdr:rowOff>
    </xdr:to>
    <xdr:graphicFrame macro="">
      <xdr:nvGraphicFramePr>
        <xdr:cNvPr id="6" name="Chart 5">
          <a:extLst>
            <a:ext uri="{FF2B5EF4-FFF2-40B4-BE49-F238E27FC236}">
              <a16:creationId xmlns:a16="http://schemas.microsoft.com/office/drawing/2014/main" id="{5F0C66DF-B38B-48DD-AD26-E41FA814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11</xdr:col>
      <xdr:colOff>650240</xdr:colOff>
      <xdr:row>45</xdr:row>
      <xdr:rowOff>162560</xdr:rowOff>
    </xdr:from>
    <xdr:to>
      <xdr:col>16</xdr:col>
      <xdr:colOff>424892</xdr:colOff>
      <xdr:row>60</xdr:row>
      <xdr:rowOff>114146</xdr:rowOff>
    </xdr:to>
    <xdr:graphicFrame macro="">
      <xdr:nvGraphicFramePr>
        <xdr:cNvPr id="2" name="Chart 1">
          <a:extLst>
            <a:ext uri="{FF2B5EF4-FFF2-40B4-BE49-F238E27FC236}">
              <a16:creationId xmlns:a16="http://schemas.microsoft.com/office/drawing/2014/main" id="{BB7084C6-C779-4AD1-8F9C-81CFA691A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627512</xdr:colOff>
      <xdr:row>45</xdr:row>
      <xdr:rowOff>173006</xdr:rowOff>
    </xdr:from>
    <xdr:to>
      <xdr:col>20</xdr:col>
      <xdr:colOff>426032</xdr:colOff>
      <xdr:row>60</xdr:row>
      <xdr:rowOff>136137</xdr:rowOff>
    </xdr:to>
    <xdr:graphicFrame macro="">
      <xdr:nvGraphicFramePr>
        <xdr:cNvPr id="3" name="Chart 2">
          <a:extLst>
            <a:ext uri="{FF2B5EF4-FFF2-40B4-BE49-F238E27FC236}">
              <a16:creationId xmlns:a16="http://schemas.microsoft.com/office/drawing/2014/main" id="{74E051D4-98AD-4DD6-903B-10C8B7C80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627624</xdr:colOff>
      <xdr:row>45</xdr:row>
      <xdr:rowOff>173004</xdr:rowOff>
    </xdr:from>
    <xdr:to>
      <xdr:col>27</xdr:col>
      <xdr:colOff>308257</xdr:colOff>
      <xdr:row>60</xdr:row>
      <xdr:rowOff>125155</xdr:rowOff>
    </xdr:to>
    <xdr:graphicFrame macro="">
      <xdr:nvGraphicFramePr>
        <xdr:cNvPr id="4" name="Chart 3">
          <a:extLst>
            <a:ext uri="{FF2B5EF4-FFF2-40B4-BE49-F238E27FC236}">
              <a16:creationId xmlns:a16="http://schemas.microsoft.com/office/drawing/2014/main" id="{D178261C-B49E-49EB-94B4-B3E2DC0C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761963</xdr:colOff>
      <xdr:row>64</xdr:row>
      <xdr:rowOff>135965</xdr:rowOff>
    </xdr:from>
    <xdr:to>
      <xdr:col>17</xdr:col>
      <xdr:colOff>1150358</xdr:colOff>
      <xdr:row>80</xdr:row>
      <xdr:rowOff>10503</xdr:rowOff>
    </xdr:to>
    <xdr:graphicFrame macro="">
      <xdr:nvGraphicFramePr>
        <xdr:cNvPr id="5" name="Chart 4">
          <a:extLst>
            <a:ext uri="{FF2B5EF4-FFF2-40B4-BE49-F238E27FC236}">
              <a16:creationId xmlns:a16="http://schemas.microsoft.com/office/drawing/2014/main" id="{3788AB13-3755-41B1-9B54-DF3CD3F0B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980609</xdr:colOff>
      <xdr:row>63</xdr:row>
      <xdr:rowOff>123810</xdr:rowOff>
    </xdr:from>
    <xdr:to>
      <xdr:col>26</xdr:col>
      <xdr:colOff>17949</xdr:colOff>
      <xdr:row>78</xdr:row>
      <xdr:rowOff>162358</xdr:rowOff>
    </xdr:to>
    <xdr:graphicFrame macro="">
      <xdr:nvGraphicFramePr>
        <xdr:cNvPr id="6" name="Chart 5">
          <a:extLst>
            <a:ext uri="{FF2B5EF4-FFF2-40B4-BE49-F238E27FC236}">
              <a16:creationId xmlns:a16="http://schemas.microsoft.com/office/drawing/2014/main" id="{1972E6F0-F829-4DBA-BAF4-F70B0FE58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13</xdr:col>
      <xdr:colOff>374073</xdr:colOff>
      <xdr:row>46</xdr:row>
      <xdr:rowOff>13855</xdr:rowOff>
    </xdr:from>
    <xdr:to>
      <xdr:col>17</xdr:col>
      <xdr:colOff>799889</xdr:colOff>
      <xdr:row>60</xdr:row>
      <xdr:rowOff>145550</xdr:rowOff>
    </xdr:to>
    <xdr:graphicFrame macro="">
      <xdr:nvGraphicFramePr>
        <xdr:cNvPr id="2" name="Chart 1">
          <a:extLst>
            <a:ext uri="{FF2B5EF4-FFF2-40B4-BE49-F238E27FC236}">
              <a16:creationId xmlns:a16="http://schemas.microsoft.com/office/drawing/2014/main" id="{3271D41E-CFFA-48C6-A5F5-2B822A19F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1006319</xdr:colOff>
      <xdr:row>46</xdr:row>
      <xdr:rowOff>20491</xdr:rowOff>
    </xdr:from>
    <xdr:to>
      <xdr:col>22</xdr:col>
      <xdr:colOff>577451</xdr:colOff>
      <xdr:row>60</xdr:row>
      <xdr:rowOff>171351</xdr:rowOff>
    </xdr:to>
    <xdr:graphicFrame macro="">
      <xdr:nvGraphicFramePr>
        <xdr:cNvPr id="3" name="Chart 2">
          <a:extLst>
            <a:ext uri="{FF2B5EF4-FFF2-40B4-BE49-F238E27FC236}">
              <a16:creationId xmlns:a16="http://schemas.microsoft.com/office/drawing/2014/main" id="{793DEBD4-77B3-4773-91D6-00725357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368572</xdr:colOff>
      <xdr:row>46</xdr:row>
      <xdr:rowOff>33263</xdr:rowOff>
    </xdr:from>
    <xdr:to>
      <xdr:col>30</xdr:col>
      <xdr:colOff>340150</xdr:colOff>
      <xdr:row>60</xdr:row>
      <xdr:rowOff>165523</xdr:rowOff>
    </xdr:to>
    <xdr:graphicFrame macro="">
      <xdr:nvGraphicFramePr>
        <xdr:cNvPr id="4" name="Chart 3">
          <a:extLst>
            <a:ext uri="{FF2B5EF4-FFF2-40B4-BE49-F238E27FC236}">
              <a16:creationId xmlns:a16="http://schemas.microsoft.com/office/drawing/2014/main" id="{F5C679E6-6A38-4BDA-ABD5-E4D5508D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117222</xdr:colOff>
      <xdr:row>64</xdr:row>
      <xdr:rowOff>1103</xdr:rowOff>
    </xdr:from>
    <xdr:to>
      <xdr:col>19</xdr:col>
      <xdr:colOff>1002476</xdr:colOff>
      <xdr:row>79</xdr:row>
      <xdr:rowOff>53802</xdr:rowOff>
    </xdr:to>
    <xdr:graphicFrame macro="">
      <xdr:nvGraphicFramePr>
        <xdr:cNvPr id="5" name="Chart 4">
          <a:extLst>
            <a:ext uri="{FF2B5EF4-FFF2-40B4-BE49-F238E27FC236}">
              <a16:creationId xmlns:a16="http://schemas.microsoft.com/office/drawing/2014/main" id="{1F69E5EB-8BB3-4149-B230-DE4C881AE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302660</xdr:colOff>
      <xdr:row>63</xdr:row>
      <xdr:rowOff>155214</xdr:rowOff>
    </xdr:from>
    <xdr:to>
      <xdr:col>28</xdr:col>
      <xdr:colOff>458523</xdr:colOff>
      <xdr:row>79</xdr:row>
      <xdr:rowOff>13653</xdr:rowOff>
    </xdr:to>
    <xdr:graphicFrame macro="">
      <xdr:nvGraphicFramePr>
        <xdr:cNvPr id="6" name="Chart 5">
          <a:extLst>
            <a:ext uri="{FF2B5EF4-FFF2-40B4-BE49-F238E27FC236}">
              <a16:creationId xmlns:a16="http://schemas.microsoft.com/office/drawing/2014/main" id="{750CD0BC-E088-4DDA-BDC3-3382066BB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221672</xdr:colOff>
      <xdr:row>44</xdr:row>
      <xdr:rowOff>27709</xdr:rowOff>
    </xdr:from>
    <xdr:to>
      <xdr:col>16</xdr:col>
      <xdr:colOff>928536</xdr:colOff>
      <xdr:row>59</xdr:row>
      <xdr:rowOff>53516</xdr:rowOff>
    </xdr:to>
    <xdr:graphicFrame macro="">
      <xdr:nvGraphicFramePr>
        <xdr:cNvPr id="2" name="Chart 1">
          <a:extLst>
            <a:ext uri="{FF2B5EF4-FFF2-40B4-BE49-F238E27FC236}">
              <a16:creationId xmlns:a16="http://schemas.microsoft.com/office/drawing/2014/main" id="{4416EE59-58D5-4AF8-B15A-8B0B302DD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1134966</xdr:colOff>
      <xdr:row>44</xdr:row>
      <xdr:rowOff>34345</xdr:rowOff>
    </xdr:from>
    <xdr:to>
      <xdr:col>21</xdr:col>
      <xdr:colOff>20299</xdr:colOff>
      <xdr:row>59</xdr:row>
      <xdr:rowOff>79317</xdr:rowOff>
    </xdr:to>
    <xdr:graphicFrame macro="">
      <xdr:nvGraphicFramePr>
        <xdr:cNvPr id="3" name="Chart 2">
          <a:extLst>
            <a:ext uri="{FF2B5EF4-FFF2-40B4-BE49-F238E27FC236}">
              <a16:creationId xmlns:a16="http://schemas.microsoft.com/office/drawing/2014/main" id="{DC84BE03-481B-4C0C-B117-D863B87F1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223796</xdr:colOff>
      <xdr:row>44</xdr:row>
      <xdr:rowOff>38153</xdr:rowOff>
    </xdr:from>
    <xdr:to>
      <xdr:col>28</xdr:col>
      <xdr:colOff>195374</xdr:colOff>
      <xdr:row>59</xdr:row>
      <xdr:rowOff>64525</xdr:rowOff>
    </xdr:to>
    <xdr:graphicFrame macro="">
      <xdr:nvGraphicFramePr>
        <xdr:cNvPr id="4" name="Chart 3">
          <a:extLst>
            <a:ext uri="{FF2B5EF4-FFF2-40B4-BE49-F238E27FC236}">
              <a16:creationId xmlns:a16="http://schemas.microsoft.com/office/drawing/2014/main" id="{F1290344-90F7-4734-8026-A55724449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1068412</xdr:colOff>
      <xdr:row>61</xdr:row>
      <xdr:rowOff>157053</xdr:rowOff>
    </xdr:from>
    <xdr:to>
      <xdr:col>18</xdr:col>
      <xdr:colOff>290131</xdr:colOff>
      <xdr:row>77</xdr:row>
      <xdr:rowOff>108812</xdr:rowOff>
    </xdr:to>
    <xdr:graphicFrame macro="">
      <xdr:nvGraphicFramePr>
        <xdr:cNvPr id="5" name="Chart 4">
          <a:extLst>
            <a:ext uri="{FF2B5EF4-FFF2-40B4-BE49-F238E27FC236}">
              <a16:creationId xmlns:a16="http://schemas.microsoft.com/office/drawing/2014/main" id="{657E3896-8A08-4471-8321-C65691013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1041897</xdr:colOff>
      <xdr:row>62</xdr:row>
      <xdr:rowOff>78024</xdr:rowOff>
    </xdr:from>
    <xdr:to>
      <xdr:col>26</xdr:col>
      <xdr:colOff>78512</xdr:colOff>
      <xdr:row>78</xdr:row>
      <xdr:rowOff>10684</xdr:rowOff>
    </xdr:to>
    <xdr:graphicFrame macro="">
      <xdr:nvGraphicFramePr>
        <xdr:cNvPr id="6" name="Chart 5">
          <a:extLst>
            <a:ext uri="{FF2B5EF4-FFF2-40B4-BE49-F238E27FC236}">
              <a16:creationId xmlns:a16="http://schemas.microsoft.com/office/drawing/2014/main" id="{5F51E4EF-9D5E-49A3-ACFF-9A0DA23B3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650240</xdr:colOff>
      <xdr:row>45</xdr:row>
      <xdr:rowOff>162560</xdr:rowOff>
    </xdr:from>
    <xdr:to>
      <xdr:col>16</xdr:col>
      <xdr:colOff>424892</xdr:colOff>
      <xdr:row>60</xdr:row>
      <xdr:rowOff>114146</xdr:rowOff>
    </xdr:to>
    <xdr:graphicFrame macro="">
      <xdr:nvGraphicFramePr>
        <xdr:cNvPr id="2" name="Chart 1">
          <a:extLst>
            <a:ext uri="{FF2B5EF4-FFF2-40B4-BE49-F238E27FC236}">
              <a16:creationId xmlns:a16="http://schemas.microsoft.com/office/drawing/2014/main" id="{CDFC6C7D-AA87-4647-B33F-553A856E3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627512</xdr:colOff>
      <xdr:row>45</xdr:row>
      <xdr:rowOff>173006</xdr:rowOff>
    </xdr:from>
    <xdr:to>
      <xdr:col>20</xdr:col>
      <xdr:colOff>426032</xdr:colOff>
      <xdr:row>60</xdr:row>
      <xdr:rowOff>136137</xdr:rowOff>
    </xdr:to>
    <xdr:graphicFrame macro="">
      <xdr:nvGraphicFramePr>
        <xdr:cNvPr id="3" name="Chart 2">
          <a:extLst>
            <a:ext uri="{FF2B5EF4-FFF2-40B4-BE49-F238E27FC236}">
              <a16:creationId xmlns:a16="http://schemas.microsoft.com/office/drawing/2014/main" id="{EB546E46-98AB-436F-A125-759268234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627624</xdr:colOff>
      <xdr:row>45</xdr:row>
      <xdr:rowOff>173004</xdr:rowOff>
    </xdr:from>
    <xdr:to>
      <xdr:col>27</xdr:col>
      <xdr:colOff>308257</xdr:colOff>
      <xdr:row>60</xdr:row>
      <xdr:rowOff>125155</xdr:rowOff>
    </xdr:to>
    <xdr:graphicFrame macro="">
      <xdr:nvGraphicFramePr>
        <xdr:cNvPr id="4" name="Chart 3">
          <a:extLst>
            <a:ext uri="{FF2B5EF4-FFF2-40B4-BE49-F238E27FC236}">
              <a16:creationId xmlns:a16="http://schemas.microsoft.com/office/drawing/2014/main" id="{6F5756EE-E35D-412F-8A80-CAF8A7E71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761963</xdr:colOff>
      <xdr:row>64</xdr:row>
      <xdr:rowOff>135965</xdr:rowOff>
    </xdr:from>
    <xdr:to>
      <xdr:col>17</xdr:col>
      <xdr:colOff>1150358</xdr:colOff>
      <xdr:row>80</xdr:row>
      <xdr:rowOff>10503</xdr:rowOff>
    </xdr:to>
    <xdr:graphicFrame macro="">
      <xdr:nvGraphicFramePr>
        <xdr:cNvPr id="5" name="Chart 4">
          <a:extLst>
            <a:ext uri="{FF2B5EF4-FFF2-40B4-BE49-F238E27FC236}">
              <a16:creationId xmlns:a16="http://schemas.microsoft.com/office/drawing/2014/main" id="{DC9DCA74-E90A-498C-BEF4-BFFEBCEC7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980609</xdr:colOff>
      <xdr:row>63</xdr:row>
      <xdr:rowOff>123810</xdr:rowOff>
    </xdr:from>
    <xdr:to>
      <xdr:col>26</xdr:col>
      <xdr:colOff>17949</xdr:colOff>
      <xdr:row>78</xdr:row>
      <xdr:rowOff>162358</xdr:rowOff>
    </xdr:to>
    <xdr:graphicFrame macro="">
      <xdr:nvGraphicFramePr>
        <xdr:cNvPr id="6" name="Chart 5">
          <a:extLst>
            <a:ext uri="{FF2B5EF4-FFF2-40B4-BE49-F238E27FC236}">
              <a16:creationId xmlns:a16="http://schemas.microsoft.com/office/drawing/2014/main" id="{41765558-94E4-4760-AD97-62E2FABA2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13</xdr:col>
      <xdr:colOff>374073</xdr:colOff>
      <xdr:row>46</xdr:row>
      <xdr:rowOff>13855</xdr:rowOff>
    </xdr:from>
    <xdr:to>
      <xdr:col>17</xdr:col>
      <xdr:colOff>799889</xdr:colOff>
      <xdr:row>60</xdr:row>
      <xdr:rowOff>145550</xdr:rowOff>
    </xdr:to>
    <xdr:graphicFrame macro="">
      <xdr:nvGraphicFramePr>
        <xdr:cNvPr id="2" name="Chart 1">
          <a:extLst>
            <a:ext uri="{FF2B5EF4-FFF2-40B4-BE49-F238E27FC236}">
              <a16:creationId xmlns:a16="http://schemas.microsoft.com/office/drawing/2014/main" id="{4D376619-8F6E-4387-8E95-40E8C7A0F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1006319</xdr:colOff>
      <xdr:row>46</xdr:row>
      <xdr:rowOff>20491</xdr:rowOff>
    </xdr:from>
    <xdr:to>
      <xdr:col>22</xdr:col>
      <xdr:colOff>577451</xdr:colOff>
      <xdr:row>60</xdr:row>
      <xdr:rowOff>171351</xdr:rowOff>
    </xdr:to>
    <xdr:graphicFrame macro="">
      <xdr:nvGraphicFramePr>
        <xdr:cNvPr id="3" name="Chart 2">
          <a:extLst>
            <a:ext uri="{FF2B5EF4-FFF2-40B4-BE49-F238E27FC236}">
              <a16:creationId xmlns:a16="http://schemas.microsoft.com/office/drawing/2014/main" id="{A7A08704-EB87-4C27-95FF-D265A6597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368572</xdr:colOff>
      <xdr:row>46</xdr:row>
      <xdr:rowOff>33263</xdr:rowOff>
    </xdr:from>
    <xdr:to>
      <xdr:col>30</xdr:col>
      <xdr:colOff>340150</xdr:colOff>
      <xdr:row>60</xdr:row>
      <xdr:rowOff>165523</xdr:rowOff>
    </xdr:to>
    <xdr:graphicFrame macro="">
      <xdr:nvGraphicFramePr>
        <xdr:cNvPr id="4" name="Chart 3">
          <a:extLst>
            <a:ext uri="{FF2B5EF4-FFF2-40B4-BE49-F238E27FC236}">
              <a16:creationId xmlns:a16="http://schemas.microsoft.com/office/drawing/2014/main" id="{460723B8-FE6B-4096-BBB2-6D7BC318D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117222</xdr:colOff>
      <xdr:row>64</xdr:row>
      <xdr:rowOff>1103</xdr:rowOff>
    </xdr:from>
    <xdr:to>
      <xdr:col>19</xdr:col>
      <xdr:colOff>1002476</xdr:colOff>
      <xdr:row>79</xdr:row>
      <xdr:rowOff>53802</xdr:rowOff>
    </xdr:to>
    <xdr:graphicFrame macro="">
      <xdr:nvGraphicFramePr>
        <xdr:cNvPr id="5" name="Chart 4">
          <a:extLst>
            <a:ext uri="{FF2B5EF4-FFF2-40B4-BE49-F238E27FC236}">
              <a16:creationId xmlns:a16="http://schemas.microsoft.com/office/drawing/2014/main" id="{D98B6149-E7F3-40E2-BFE8-E4728A307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302660</xdr:colOff>
      <xdr:row>63</xdr:row>
      <xdr:rowOff>155214</xdr:rowOff>
    </xdr:from>
    <xdr:to>
      <xdr:col>28</xdr:col>
      <xdr:colOff>458523</xdr:colOff>
      <xdr:row>79</xdr:row>
      <xdr:rowOff>13653</xdr:rowOff>
    </xdr:to>
    <xdr:graphicFrame macro="">
      <xdr:nvGraphicFramePr>
        <xdr:cNvPr id="6" name="Chart 5">
          <a:extLst>
            <a:ext uri="{FF2B5EF4-FFF2-40B4-BE49-F238E27FC236}">
              <a16:creationId xmlns:a16="http://schemas.microsoft.com/office/drawing/2014/main" id="{CD880607-AD7A-43CD-A262-CD9C08610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11</xdr:col>
      <xdr:colOff>650240</xdr:colOff>
      <xdr:row>45</xdr:row>
      <xdr:rowOff>162560</xdr:rowOff>
    </xdr:from>
    <xdr:to>
      <xdr:col>16</xdr:col>
      <xdr:colOff>424892</xdr:colOff>
      <xdr:row>60</xdr:row>
      <xdr:rowOff>114146</xdr:rowOff>
    </xdr:to>
    <xdr:graphicFrame macro="">
      <xdr:nvGraphicFramePr>
        <xdr:cNvPr id="2" name="Chart 1">
          <a:extLst>
            <a:ext uri="{FF2B5EF4-FFF2-40B4-BE49-F238E27FC236}">
              <a16:creationId xmlns:a16="http://schemas.microsoft.com/office/drawing/2014/main" id="{3726EF86-83B2-43F6-8D27-B76E3A0D5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627512</xdr:colOff>
      <xdr:row>45</xdr:row>
      <xdr:rowOff>173006</xdr:rowOff>
    </xdr:from>
    <xdr:to>
      <xdr:col>20</xdr:col>
      <xdr:colOff>426032</xdr:colOff>
      <xdr:row>60</xdr:row>
      <xdr:rowOff>136137</xdr:rowOff>
    </xdr:to>
    <xdr:graphicFrame macro="">
      <xdr:nvGraphicFramePr>
        <xdr:cNvPr id="3" name="Chart 2">
          <a:extLst>
            <a:ext uri="{FF2B5EF4-FFF2-40B4-BE49-F238E27FC236}">
              <a16:creationId xmlns:a16="http://schemas.microsoft.com/office/drawing/2014/main" id="{0DF52D39-1E56-43E5-A8A3-D9C752183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627624</xdr:colOff>
      <xdr:row>45</xdr:row>
      <xdr:rowOff>173004</xdr:rowOff>
    </xdr:from>
    <xdr:to>
      <xdr:col>27</xdr:col>
      <xdr:colOff>308257</xdr:colOff>
      <xdr:row>60</xdr:row>
      <xdr:rowOff>125155</xdr:rowOff>
    </xdr:to>
    <xdr:graphicFrame macro="">
      <xdr:nvGraphicFramePr>
        <xdr:cNvPr id="4" name="Chart 3">
          <a:extLst>
            <a:ext uri="{FF2B5EF4-FFF2-40B4-BE49-F238E27FC236}">
              <a16:creationId xmlns:a16="http://schemas.microsoft.com/office/drawing/2014/main" id="{3F8B0754-2EFC-4530-8893-05D04FAC4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761963</xdr:colOff>
      <xdr:row>64</xdr:row>
      <xdr:rowOff>135965</xdr:rowOff>
    </xdr:from>
    <xdr:to>
      <xdr:col>17</xdr:col>
      <xdr:colOff>1150358</xdr:colOff>
      <xdr:row>80</xdr:row>
      <xdr:rowOff>10503</xdr:rowOff>
    </xdr:to>
    <xdr:graphicFrame macro="">
      <xdr:nvGraphicFramePr>
        <xdr:cNvPr id="5" name="Chart 4">
          <a:extLst>
            <a:ext uri="{FF2B5EF4-FFF2-40B4-BE49-F238E27FC236}">
              <a16:creationId xmlns:a16="http://schemas.microsoft.com/office/drawing/2014/main" id="{3076D888-2652-4517-8915-474A094B8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980609</xdr:colOff>
      <xdr:row>63</xdr:row>
      <xdr:rowOff>123810</xdr:rowOff>
    </xdr:from>
    <xdr:to>
      <xdr:col>26</xdr:col>
      <xdr:colOff>17949</xdr:colOff>
      <xdr:row>78</xdr:row>
      <xdr:rowOff>162358</xdr:rowOff>
    </xdr:to>
    <xdr:graphicFrame macro="">
      <xdr:nvGraphicFramePr>
        <xdr:cNvPr id="6" name="Chart 5">
          <a:extLst>
            <a:ext uri="{FF2B5EF4-FFF2-40B4-BE49-F238E27FC236}">
              <a16:creationId xmlns:a16="http://schemas.microsoft.com/office/drawing/2014/main" id="{EC35A347-3D5A-4821-AA35-970D5029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12</xdr:col>
      <xdr:colOff>221672</xdr:colOff>
      <xdr:row>44</xdr:row>
      <xdr:rowOff>27709</xdr:rowOff>
    </xdr:from>
    <xdr:to>
      <xdr:col>16</xdr:col>
      <xdr:colOff>928536</xdr:colOff>
      <xdr:row>59</xdr:row>
      <xdr:rowOff>53516</xdr:rowOff>
    </xdr:to>
    <xdr:graphicFrame macro="">
      <xdr:nvGraphicFramePr>
        <xdr:cNvPr id="2" name="Chart 1">
          <a:extLst>
            <a:ext uri="{FF2B5EF4-FFF2-40B4-BE49-F238E27FC236}">
              <a16:creationId xmlns:a16="http://schemas.microsoft.com/office/drawing/2014/main" id="{27D290D2-105E-4F90-BE9C-1EF28DFC6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1134966</xdr:colOff>
      <xdr:row>44</xdr:row>
      <xdr:rowOff>34345</xdr:rowOff>
    </xdr:from>
    <xdr:to>
      <xdr:col>21</xdr:col>
      <xdr:colOff>20299</xdr:colOff>
      <xdr:row>59</xdr:row>
      <xdr:rowOff>79317</xdr:rowOff>
    </xdr:to>
    <xdr:graphicFrame macro="">
      <xdr:nvGraphicFramePr>
        <xdr:cNvPr id="3" name="Chart 2">
          <a:extLst>
            <a:ext uri="{FF2B5EF4-FFF2-40B4-BE49-F238E27FC236}">
              <a16:creationId xmlns:a16="http://schemas.microsoft.com/office/drawing/2014/main" id="{067F0C46-441A-4A30-814A-8FAC67049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223796</xdr:colOff>
      <xdr:row>44</xdr:row>
      <xdr:rowOff>38153</xdr:rowOff>
    </xdr:from>
    <xdr:to>
      <xdr:col>28</xdr:col>
      <xdr:colOff>195374</xdr:colOff>
      <xdr:row>59</xdr:row>
      <xdr:rowOff>64525</xdr:rowOff>
    </xdr:to>
    <xdr:graphicFrame macro="">
      <xdr:nvGraphicFramePr>
        <xdr:cNvPr id="4" name="Chart 3">
          <a:extLst>
            <a:ext uri="{FF2B5EF4-FFF2-40B4-BE49-F238E27FC236}">
              <a16:creationId xmlns:a16="http://schemas.microsoft.com/office/drawing/2014/main" id="{CD2979B2-FCA1-4582-982E-5D4ACC2E9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1068412</xdr:colOff>
      <xdr:row>61</xdr:row>
      <xdr:rowOff>157053</xdr:rowOff>
    </xdr:from>
    <xdr:to>
      <xdr:col>18</xdr:col>
      <xdr:colOff>290131</xdr:colOff>
      <xdr:row>77</xdr:row>
      <xdr:rowOff>108812</xdr:rowOff>
    </xdr:to>
    <xdr:graphicFrame macro="">
      <xdr:nvGraphicFramePr>
        <xdr:cNvPr id="5" name="Chart 4">
          <a:extLst>
            <a:ext uri="{FF2B5EF4-FFF2-40B4-BE49-F238E27FC236}">
              <a16:creationId xmlns:a16="http://schemas.microsoft.com/office/drawing/2014/main" id="{659C0C92-027B-4E38-8E51-F6BF918C7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1041897</xdr:colOff>
      <xdr:row>62</xdr:row>
      <xdr:rowOff>78024</xdr:rowOff>
    </xdr:from>
    <xdr:to>
      <xdr:col>26</xdr:col>
      <xdr:colOff>78512</xdr:colOff>
      <xdr:row>78</xdr:row>
      <xdr:rowOff>10684</xdr:rowOff>
    </xdr:to>
    <xdr:graphicFrame macro="">
      <xdr:nvGraphicFramePr>
        <xdr:cNvPr id="6" name="Chart 5">
          <a:extLst>
            <a:ext uri="{FF2B5EF4-FFF2-40B4-BE49-F238E27FC236}">
              <a16:creationId xmlns:a16="http://schemas.microsoft.com/office/drawing/2014/main" id="{CA020885-DE26-427F-BBE7-D4FBD01AD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12</xdr:col>
      <xdr:colOff>221672</xdr:colOff>
      <xdr:row>44</xdr:row>
      <xdr:rowOff>27709</xdr:rowOff>
    </xdr:from>
    <xdr:to>
      <xdr:col>16</xdr:col>
      <xdr:colOff>928536</xdr:colOff>
      <xdr:row>59</xdr:row>
      <xdr:rowOff>53516</xdr:rowOff>
    </xdr:to>
    <xdr:graphicFrame macro="">
      <xdr:nvGraphicFramePr>
        <xdr:cNvPr id="2" name="Chart 1">
          <a:extLst>
            <a:ext uri="{FF2B5EF4-FFF2-40B4-BE49-F238E27FC236}">
              <a16:creationId xmlns:a16="http://schemas.microsoft.com/office/drawing/2014/main" id="{580DDFD7-C98E-4CD9-85FE-B1021F461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1134966</xdr:colOff>
      <xdr:row>44</xdr:row>
      <xdr:rowOff>34345</xdr:rowOff>
    </xdr:from>
    <xdr:to>
      <xdr:col>21</xdr:col>
      <xdr:colOff>20299</xdr:colOff>
      <xdr:row>59</xdr:row>
      <xdr:rowOff>79317</xdr:rowOff>
    </xdr:to>
    <xdr:graphicFrame macro="">
      <xdr:nvGraphicFramePr>
        <xdr:cNvPr id="3" name="Chart 2">
          <a:extLst>
            <a:ext uri="{FF2B5EF4-FFF2-40B4-BE49-F238E27FC236}">
              <a16:creationId xmlns:a16="http://schemas.microsoft.com/office/drawing/2014/main" id="{1C4EB4E9-2175-4604-B56A-A1982EFEA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223796</xdr:colOff>
      <xdr:row>44</xdr:row>
      <xdr:rowOff>38153</xdr:rowOff>
    </xdr:from>
    <xdr:to>
      <xdr:col>28</xdr:col>
      <xdr:colOff>195374</xdr:colOff>
      <xdr:row>59</xdr:row>
      <xdr:rowOff>64525</xdr:rowOff>
    </xdr:to>
    <xdr:graphicFrame macro="">
      <xdr:nvGraphicFramePr>
        <xdr:cNvPr id="4" name="Chart 3">
          <a:extLst>
            <a:ext uri="{FF2B5EF4-FFF2-40B4-BE49-F238E27FC236}">
              <a16:creationId xmlns:a16="http://schemas.microsoft.com/office/drawing/2014/main" id="{F84026DB-50FF-4B8B-B626-A82811A2D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1068412</xdr:colOff>
      <xdr:row>61</xdr:row>
      <xdr:rowOff>157053</xdr:rowOff>
    </xdr:from>
    <xdr:to>
      <xdr:col>18</xdr:col>
      <xdr:colOff>290131</xdr:colOff>
      <xdr:row>77</xdr:row>
      <xdr:rowOff>108812</xdr:rowOff>
    </xdr:to>
    <xdr:graphicFrame macro="">
      <xdr:nvGraphicFramePr>
        <xdr:cNvPr id="5" name="Chart 4">
          <a:extLst>
            <a:ext uri="{FF2B5EF4-FFF2-40B4-BE49-F238E27FC236}">
              <a16:creationId xmlns:a16="http://schemas.microsoft.com/office/drawing/2014/main" id="{7968E302-FDA1-4690-A40D-DBBFEBB68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1041897</xdr:colOff>
      <xdr:row>62</xdr:row>
      <xdr:rowOff>78024</xdr:rowOff>
    </xdr:from>
    <xdr:to>
      <xdr:col>26</xdr:col>
      <xdr:colOff>78512</xdr:colOff>
      <xdr:row>78</xdr:row>
      <xdr:rowOff>10684</xdr:rowOff>
    </xdr:to>
    <xdr:graphicFrame macro="">
      <xdr:nvGraphicFramePr>
        <xdr:cNvPr id="6" name="Chart 5">
          <a:extLst>
            <a:ext uri="{FF2B5EF4-FFF2-40B4-BE49-F238E27FC236}">
              <a16:creationId xmlns:a16="http://schemas.microsoft.com/office/drawing/2014/main" id="{274F0545-F4E5-4E73-9AB2-9E140EC38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13</xdr:col>
      <xdr:colOff>38626</xdr:colOff>
      <xdr:row>40</xdr:row>
      <xdr:rowOff>12038</xdr:rowOff>
    </xdr:from>
    <xdr:to>
      <xdr:col>17</xdr:col>
      <xdr:colOff>555979</xdr:colOff>
      <xdr:row>56</xdr:row>
      <xdr:rowOff>20265</xdr:rowOff>
    </xdr:to>
    <xdr:graphicFrame macro="">
      <xdr:nvGraphicFramePr>
        <xdr:cNvPr id="6" name="Chart 5">
          <a:extLst>
            <a:ext uri="{FF2B5EF4-FFF2-40B4-BE49-F238E27FC236}">
              <a16:creationId xmlns:a16="http://schemas.microsoft.com/office/drawing/2014/main" id="{9886003F-1117-40BA-95EA-5D6BC9147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784050</xdr:colOff>
      <xdr:row>40</xdr:row>
      <xdr:rowOff>36115</xdr:rowOff>
    </xdr:from>
    <xdr:to>
      <xdr:col>22</xdr:col>
      <xdr:colOff>121596</xdr:colOff>
      <xdr:row>56</xdr:row>
      <xdr:rowOff>50665</xdr:rowOff>
    </xdr:to>
    <xdr:graphicFrame macro="">
      <xdr:nvGraphicFramePr>
        <xdr:cNvPr id="3" name="Chart 2">
          <a:extLst>
            <a:ext uri="{FF2B5EF4-FFF2-40B4-BE49-F238E27FC236}">
              <a16:creationId xmlns:a16="http://schemas.microsoft.com/office/drawing/2014/main" id="{F43AC942-A423-4019-95DF-A05CF444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314122</xdr:colOff>
      <xdr:row>40</xdr:row>
      <xdr:rowOff>111462</xdr:rowOff>
    </xdr:from>
    <xdr:to>
      <xdr:col>30</xdr:col>
      <xdr:colOff>20387</xdr:colOff>
      <xdr:row>55</xdr:row>
      <xdr:rowOff>128283</xdr:rowOff>
    </xdr:to>
    <xdr:graphicFrame macro="">
      <xdr:nvGraphicFramePr>
        <xdr:cNvPr id="4" name="Chart 3">
          <a:extLst>
            <a:ext uri="{FF2B5EF4-FFF2-40B4-BE49-F238E27FC236}">
              <a16:creationId xmlns:a16="http://schemas.microsoft.com/office/drawing/2014/main" id="{C46BEE29-5C88-41E7-90F3-C074FEAA3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988022</xdr:colOff>
      <xdr:row>57</xdr:row>
      <xdr:rowOff>112059</xdr:rowOff>
    </xdr:from>
    <xdr:to>
      <xdr:col>25</xdr:col>
      <xdr:colOff>311859</xdr:colOff>
      <xdr:row>72</xdr:row>
      <xdr:rowOff>150607</xdr:rowOff>
    </xdr:to>
    <xdr:graphicFrame macro="">
      <xdr:nvGraphicFramePr>
        <xdr:cNvPr id="5" name="Chart 4">
          <a:extLst>
            <a:ext uri="{FF2B5EF4-FFF2-40B4-BE49-F238E27FC236}">
              <a16:creationId xmlns:a16="http://schemas.microsoft.com/office/drawing/2014/main" id="{B37DB5BC-A691-4CB1-BCDA-195F1874F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728382</xdr:colOff>
      <xdr:row>57</xdr:row>
      <xdr:rowOff>168088</xdr:rowOff>
    </xdr:from>
    <xdr:to>
      <xdr:col>17</xdr:col>
      <xdr:colOff>1077782</xdr:colOff>
      <xdr:row>72</xdr:row>
      <xdr:rowOff>120239</xdr:rowOff>
    </xdr:to>
    <xdr:graphicFrame macro="">
      <xdr:nvGraphicFramePr>
        <xdr:cNvPr id="2" name="Chart 1">
          <a:extLst>
            <a:ext uri="{FF2B5EF4-FFF2-40B4-BE49-F238E27FC236}">
              <a16:creationId xmlns:a16="http://schemas.microsoft.com/office/drawing/2014/main" id="{1027A0EB-EA0E-4158-B10A-45D5D67B8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14</xdr:col>
      <xdr:colOff>872777</xdr:colOff>
      <xdr:row>5</xdr:row>
      <xdr:rowOff>54879</xdr:rowOff>
    </xdr:from>
    <xdr:to>
      <xdr:col>19</xdr:col>
      <xdr:colOff>482972</xdr:colOff>
      <xdr:row>14</xdr:row>
      <xdr:rowOff>341900</xdr:rowOff>
    </xdr:to>
    <xdr:graphicFrame macro="">
      <xdr:nvGraphicFramePr>
        <xdr:cNvPr id="2" name="Chart 1">
          <a:extLst>
            <a:ext uri="{FF2B5EF4-FFF2-40B4-BE49-F238E27FC236}">
              <a16:creationId xmlns:a16="http://schemas.microsoft.com/office/drawing/2014/main" id="{71A553D5-7A75-4A90-B937-5BF7A0193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1778116</xdr:colOff>
      <xdr:row>4</xdr:row>
      <xdr:rowOff>97038</xdr:rowOff>
    </xdr:from>
    <xdr:to>
      <xdr:col>26</xdr:col>
      <xdr:colOff>406063</xdr:colOff>
      <xdr:row>14</xdr:row>
      <xdr:rowOff>38921</xdr:rowOff>
    </xdr:to>
    <xdr:graphicFrame macro="">
      <xdr:nvGraphicFramePr>
        <xdr:cNvPr id="3" name="Chart 2">
          <a:extLst>
            <a:ext uri="{FF2B5EF4-FFF2-40B4-BE49-F238E27FC236}">
              <a16:creationId xmlns:a16="http://schemas.microsoft.com/office/drawing/2014/main" id="{D50863D8-913F-4793-A5AC-EBA9C6242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763056</xdr:colOff>
      <xdr:row>15</xdr:row>
      <xdr:rowOff>343971</xdr:rowOff>
    </xdr:from>
    <xdr:to>
      <xdr:col>22</xdr:col>
      <xdr:colOff>354078</xdr:colOff>
      <xdr:row>28</xdr:row>
      <xdr:rowOff>41885</xdr:rowOff>
    </xdr:to>
    <xdr:graphicFrame macro="">
      <xdr:nvGraphicFramePr>
        <xdr:cNvPr id="4" name="Chart 3">
          <a:extLst>
            <a:ext uri="{FF2B5EF4-FFF2-40B4-BE49-F238E27FC236}">
              <a16:creationId xmlns:a16="http://schemas.microsoft.com/office/drawing/2014/main" id="{5BB9995B-2AE9-4ADE-B6D2-41CBC0ED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75270</xdr:colOff>
      <xdr:row>16</xdr:row>
      <xdr:rowOff>59652</xdr:rowOff>
    </xdr:from>
    <xdr:to>
      <xdr:col>33</xdr:col>
      <xdr:colOff>211602</xdr:colOff>
      <xdr:row>28</xdr:row>
      <xdr:rowOff>85025</xdr:rowOff>
    </xdr:to>
    <xdr:graphicFrame macro="">
      <xdr:nvGraphicFramePr>
        <xdr:cNvPr id="5" name="Chart 4">
          <a:extLst>
            <a:ext uri="{FF2B5EF4-FFF2-40B4-BE49-F238E27FC236}">
              <a16:creationId xmlns:a16="http://schemas.microsoft.com/office/drawing/2014/main" id="{895A79D7-D3E2-4C95-BB35-FE7721EEF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39144</xdr:colOff>
      <xdr:row>3</xdr:row>
      <xdr:rowOff>221816</xdr:rowOff>
    </xdr:from>
    <xdr:to>
      <xdr:col>35</xdr:col>
      <xdr:colOff>576218</xdr:colOff>
      <xdr:row>13</xdr:row>
      <xdr:rowOff>162105</xdr:rowOff>
    </xdr:to>
    <xdr:graphicFrame macro="">
      <xdr:nvGraphicFramePr>
        <xdr:cNvPr id="6" name="Chart 5">
          <a:extLst>
            <a:ext uri="{FF2B5EF4-FFF2-40B4-BE49-F238E27FC236}">
              <a16:creationId xmlns:a16="http://schemas.microsoft.com/office/drawing/2014/main" id="{AF9251BF-E735-4982-BB96-F61E34437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12</xdr:col>
      <xdr:colOff>280147</xdr:colOff>
      <xdr:row>14</xdr:row>
      <xdr:rowOff>145677</xdr:rowOff>
    </xdr:from>
    <xdr:to>
      <xdr:col>16</xdr:col>
      <xdr:colOff>1135964</xdr:colOff>
      <xdr:row>25</xdr:row>
      <xdr:rowOff>157444</xdr:rowOff>
    </xdr:to>
    <xdr:graphicFrame macro="">
      <xdr:nvGraphicFramePr>
        <xdr:cNvPr id="2" name="Chart 1">
          <a:extLst>
            <a:ext uri="{FF2B5EF4-FFF2-40B4-BE49-F238E27FC236}">
              <a16:creationId xmlns:a16="http://schemas.microsoft.com/office/drawing/2014/main" id="{43E43E78-E5CC-414E-8627-B28CC64AA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49908</xdr:colOff>
      <xdr:row>14</xdr:row>
      <xdr:rowOff>156123</xdr:rowOff>
    </xdr:from>
    <xdr:to>
      <xdr:col>20</xdr:col>
      <xdr:colOff>573586</xdr:colOff>
      <xdr:row>25</xdr:row>
      <xdr:rowOff>175625</xdr:rowOff>
    </xdr:to>
    <xdr:graphicFrame macro="">
      <xdr:nvGraphicFramePr>
        <xdr:cNvPr id="3" name="Chart 2">
          <a:extLst>
            <a:ext uri="{FF2B5EF4-FFF2-40B4-BE49-F238E27FC236}">
              <a16:creationId xmlns:a16="http://schemas.microsoft.com/office/drawing/2014/main" id="{D596ED08-BF3E-4880-A4E6-C103E310C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168156</xdr:colOff>
      <xdr:row>14</xdr:row>
      <xdr:rowOff>163741</xdr:rowOff>
    </xdr:from>
    <xdr:to>
      <xdr:col>29</xdr:col>
      <xdr:colOff>48164</xdr:colOff>
      <xdr:row>25</xdr:row>
      <xdr:rowOff>162738</xdr:rowOff>
    </xdr:to>
    <xdr:graphicFrame macro="">
      <xdr:nvGraphicFramePr>
        <xdr:cNvPr id="4" name="Chart 3">
          <a:extLst>
            <a:ext uri="{FF2B5EF4-FFF2-40B4-BE49-F238E27FC236}">
              <a16:creationId xmlns:a16="http://schemas.microsoft.com/office/drawing/2014/main" id="{56746AC2-6F52-4625-9141-F45956303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518950</xdr:colOff>
      <xdr:row>26</xdr:row>
      <xdr:rowOff>97744</xdr:rowOff>
    </xdr:from>
    <xdr:to>
      <xdr:col>19</xdr:col>
      <xdr:colOff>82895</xdr:colOff>
      <xdr:row>42</xdr:row>
      <xdr:rowOff>24367</xdr:rowOff>
    </xdr:to>
    <xdr:graphicFrame macro="">
      <xdr:nvGraphicFramePr>
        <xdr:cNvPr id="5" name="Chart 4">
          <a:extLst>
            <a:ext uri="{FF2B5EF4-FFF2-40B4-BE49-F238E27FC236}">
              <a16:creationId xmlns:a16="http://schemas.microsoft.com/office/drawing/2014/main" id="{BAFD6E37-FC39-43FA-8CF0-A71C12478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1700647</xdr:colOff>
      <xdr:row>28</xdr:row>
      <xdr:rowOff>163905</xdr:rowOff>
    </xdr:from>
    <xdr:to>
      <xdr:col>27</xdr:col>
      <xdr:colOff>355264</xdr:colOff>
      <xdr:row>44</xdr:row>
      <xdr:rowOff>77625</xdr:rowOff>
    </xdr:to>
    <xdr:graphicFrame macro="">
      <xdr:nvGraphicFramePr>
        <xdr:cNvPr id="6" name="Chart 5">
          <a:extLst>
            <a:ext uri="{FF2B5EF4-FFF2-40B4-BE49-F238E27FC236}">
              <a16:creationId xmlns:a16="http://schemas.microsoft.com/office/drawing/2014/main" id="{6F8140E0-EFF9-4864-B30B-F235B4AE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12</xdr:col>
      <xdr:colOff>283724</xdr:colOff>
      <xdr:row>14</xdr:row>
      <xdr:rowOff>192527</xdr:rowOff>
    </xdr:from>
    <xdr:to>
      <xdr:col>16</xdr:col>
      <xdr:colOff>1102554</xdr:colOff>
      <xdr:row>25</xdr:row>
      <xdr:rowOff>109051</xdr:rowOff>
    </xdr:to>
    <xdr:graphicFrame macro="">
      <xdr:nvGraphicFramePr>
        <xdr:cNvPr id="2" name="Chart 1">
          <a:extLst>
            <a:ext uri="{FF2B5EF4-FFF2-40B4-BE49-F238E27FC236}">
              <a16:creationId xmlns:a16="http://schemas.microsoft.com/office/drawing/2014/main" id="{3F9DA801-61AF-4943-9C13-012274392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11962</xdr:colOff>
      <xdr:row>12</xdr:row>
      <xdr:rowOff>176384</xdr:rowOff>
    </xdr:from>
    <xdr:to>
      <xdr:col>20</xdr:col>
      <xdr:colOff>532668</xdr:colOff>
      <xdr:row>23</xdr:row>
      <xdr:rowOff>102548</xdr:rowOff>
    </xdr:to>
    <xdr:graphicFrame macro="">
      <xdr:nvGraphicFramePr>
        <xdr:cNvPr id="3" name="Chart 2">
          <a:extLst>
            <a:ext uri="{FF2B5EF4-FFF2-40B4-BE49-F238E27FC236}">
              <a16:creationId xmlns:a16="http://schemas.microsoft.com/office/drawing/2014/main" id="{3340B0C7-50BF-4CA9-B453-E606DD929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132605</xdr:colOff>
      <xdr:row>14</xdr:row>
      <xdr:rowOff>210591</xdr:rowOff>
    </xdr:from>
    <xdr:to>
      <xdr:col>28</xdr:col>
      <xdr:colOff>265761</xdr:colOff>
      <xdr:row>25</xdr:row>
      <xdr:rowOff>112440</xdr:rowOff>
    </xdr:to>
    <xdr:graphicFrame macro="">
      <xdr:nvGraphicFramePr>
        <xdr:cNvPr id="4" name="Chart 3">
          <a:extLst>
            <a:ext uri="{FF2B5EF4-FFF2-40B4-BE49-F238E27FC236}">
              <a16:creationId xmlns:a16="http://schemas.microsoft.com/office/drawing/2014/main" id="{55130A1E-1F86-4BCA-A2AE-BE754A4C0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491192</xdr:colOff>
      <xdr:row>26</xdr:row>
      <xdr:rowOff>36726</xdr:rowOff>
    </xdr:from>
    <xdr:to>
      <xdr:col>19</xdr:col>
      <xdr:colOff>45462</xdr:colOff>
      <xdr:row>41</xdr:row>
      <xdr:rowOff>53547</xdr:rowOff>
    </xdr:to>
    <xdr:graphicFrame macro="">
      <xdr:nvGraphicFramePr>
        <xdr:cNvPr id="5" name="Chart 4">
          <a:extLst>
            <a:ext uri="{FF2B5EF4-FFF2-40B4-BE49-F238E27FC236}">
              <a16:creationId xmlns:a16="http://schemas.microsoft.com/office/drawing/2014/main" id="{772AB92C-8DA3-48A2-9088-47EC5962A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1657317</xdr:colOff>
      <xdr:row>28</xdr:row>
      <xdr:rowOff>99891</xdr:rowOff>
    </xdr:from>
    <xdr:to>
      <xdr:col>26</xdr:col>
      <xdr:colOff>585248</xdr:colOff>
      <xdr:row>43</xdr:row>
      <xdr:rowOff>90042</xdr:rowOff>
    </xdr:to>
    <xdr:graphicFrame macro="">
      <xdr:nvGraphicFramePr>
        <xdr:cNvPr id="6" name="Chart 5">
          <a:extLst>
            <a:ext uri="{FF2B5EF4-FFF2-40B4-BE49-F238E27FC236}">
              <a16:creationId xmlns:a16="http://schemas.microsoft.com/office/drawing/2014/main" id="{1E602C1E-D6A2-4E2F-B00E-B46594AFE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14</xdr:col>
      <xdr:colOff>872777</xdr:colOff>
      <xdr:row>5</xdr:row>
      <xdr:rowOff>54879</xdr:rowOff>
    </xdr:from>
    <xdr:to>
      <xdr:col>19</xdr:col>
      <xdr:colOff>482972</xdr:colOff>
      <xdr:row>14</xdr:row>
      <xdr:rowOff>341900</xdr:rowOff>
    </xdr:to>
    <xdr:graphicFrame macro="">
      <xdr:nvGraphicFramePr>
        <xdr:cNvPr id="2" name="Chart 1">
          <a:extLst>
            <a:ext uri="{FF2B5EF4-FFF2-40B4-BE49-F238E27FC236}">
              <a16:creationId xmlns:a16="http://schemas.microsoft.com/office/drawing/2014/main" id="{B5E5D32D-B77C-4F5E-B86E-F2972D49D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1778116</xdr:colOff>
      <xdr:row>4</xdr:row>
      <xdr:rowOff>97038</xdr:rowOff>
    </xdr:from>
    <xdr:to>
      <xdr:col>26</xdr:col>
      <xdr:colOff>406063</xdr:colOff>
      <xdr:row>14</xdr:row>
      <xdr:rowOff>38921</xdr:rowOff>
    </xdr:to>
    <xdr:graphicFrame macro="">
      <xdr:nvGraphicFramePr>
        <xdr:cNvPr id="3" name="Chart 2">
          <a:extLst>
            <a:ext uri="{FF2B5EF4-FFF2-40B4-BE49-F238E27FC236}">
              <a16:creationId xmlns:a16="http://schemas.microsoft.com/office/drawing/2014/main" id="{2D6F96BA-B1AD-43CB-913B-CB930FE6F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763056</xdr:colOff>
      <xdr:row>15</xdr:row>
      <xdr:rowOff>343971</xdr:rowOff>
    </xdr:from>
    <xdr:to>
      <xdr:col>22</xdr:col>
      <xdr:colOff>354078</xdr:colOff>
      <xdr:row>28</xdr:row>
      <xdr:rowOff>41885</xdr:rowOff>
    </xdr:to>
    <xdr:graphicFrame macro="">
      <xdr:nvGraphicFramePr>
        <xdr:cNvPr id="4" name="Chart 3">
          <a:extLst>
            <a:ext uri="{FF2B5EF4-FFF2-40B4-BE49-F238E27FC236}">
              <a16:creationId xmlns:a16="http://schemas.microsoft.com/office/drawing/2014/main" id="{9228200A-F37A-4AB8-BB6F-8A3969CE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75270</xdr:colOff>
      <xdr:row>16</xdr:row>
      <xdr:rowOff>59652</xdr:rowOff>
    </xdr:from>
    <xdr:to>
      <xdr:col>33</xdr:col>
      <xdr:colOff>211602</xdr:colOff>
      <xdr:row>28</xdr:row>
      <xdr:rowOff>85025</xdr:rowOff>
    </xdr:to>
    <xdr:graphicFrame macro="">
      <xdr:nvGraphicFramePr>
        <xdr:cNvPr id="5" name="Chart 4">
          <a:extLst>
            <a:ext uri="{FF2B5EF4-FFF2-40B4-BE49-F238E27FC236}">
              <a16:creationId xmlns:a16="http://schemas.microsoft.com/office/drawing/2014/main" id="{E8A25141-6104-4036-AC3C-811D92AD3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39144</xdr:colOff>
      <xdr:row>3</xdr:row>
      <xdr:rowOff>221816</xdr:rowOff>
    </xdr:from>
    <xdr:to>
      <xdr:col>35</xdr:col>
      <xdr:colOff>576218</xdr:colOff>
      <xdr:row>13</xdr:row>
      <xdr:rowOff>162105</xdr:rowOff>
    </xdr:to>
    <xdr:graphicFrame macro="">
      <xdr:nvGraphicFramePr>
        <xdr:cNvPr id="6" name="Chart 5">
          <a:extLst>
            <a:ext uri="{FF2B5EF4-FFF2-40B4-BE49-F238E27FC236}">
              <a16:creationId xmlns:a16="http://schemas.microsoft.com/office/drawing/2014/main" id="{13509D84-BECC-44BE-8176-4E58537C3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n%20Wilson\Documents\AI%20Dump\Decline%20Rates.xlsx" TargetMode="External"/><Relationship Id="rId1" Type="http://schemas.openxmlformats.org/officeDocument/2006/relationships/externalLinkPath" Target="Decline%20R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itality Normative Data"/>
      <sheetName val="Strength_Normative_Data"/>
      <sheetName val="Mobility_Normative_Data"/>
      <sheetName val="Metabolic_Normative_Data"/>
      <sheetName val="Average_20_Year_Old_Man_Pro"/>
      <sheetName val="Average_20_Year_Old_Woman_Pro"/>
      <sheetName val="Average_25_Year_old_Man_Pro "/>
      <sheetName val="Average_25_Year_Old_Woman_P "/>
      <sheetName val="Average_30_Year_Old_Man_Profile"/>
      <sheetName val="Average_30_Year_Old_Woman_Pro"/>
      <sheetName val="Average_35_Year_old_Man_Pro"/>
      <sheetName val="Average_35_Year_Old_Woman_Pro"/>
      <sheetName val="Average_40_Year_Old_Man_Pro"/>
      <sheetName val="Average_40_Year_Old_Woman_Pro"/>
      <sheetName val="Average_45_Year_Old_Man_Pro"/>
      <sheetName val="Average_45_Year_Old_Woman_P"/>
      <sheetName val="Average_50_Year_Old_Man_Pro"/>
      <sheetName val="Average_50_Year_Old_Woman_Pro"/>
      <sheetName val="Average_55_Year_Old_Man_Pro "/>
      <sheetName val="Average_55_Year_Old_Woman_P "/>
      <sheetName val="Average_60_Year_Old_Man_Pro "/>
      <sheetName val="Average_60_Year_Old_Woman_Pro"/>
      <sheetName val="Average_65_Year_Old_Man_Pro "/>
      <sheetName val="Average_65_Year_Old_Woman_P "/>
      <sheetName val="Average_70_Year_Old_Man_Pro"/>
      <sheetName val="Average_70_Year_Old_Woman_Pro"/>
      <sheetName val="Average_75_Year_Old_Man_Pro"/>
      <sheetName val="Average_75_Year_Old_Woman_P"/>
      <sheetName val="Algorithm_Template"/>
      <sheetName val="Persona_1.1"/>
      <sheetName val="Persona_1.2"/>
      <sheetName val="Persona_1.3"/>
      <sheetName val="Persona_1.4"/>
      <sheetName val="Persona_1.5"/>
      <sheetName val="Persona_1.6"/>
      <sheetName val="Persona_1"/>
      <sheetName val="Persona_2"/>
      <sheetName val="Persona_3"/>
      <sheetName val="Persona_4"/>
      <sheetName val="Persona_5"/>
      <sheetName val="Persona_6 "/>
    </sheetNames>
    <sheetDataSet>
      <sheetData sheetId="0"/>
      <sheetData sheetId="1">
        <row r="3">
          <cell r="A3">
            <v>20</v>
          </cell>
          <cell r="B3">
            <v>48</v>
          </cell>
          <cell r="J3">
            <v>20</v>
          </cell>
          <cell r="K3">
            <v>53</v>
          </cell>
          <cell r="L3">
            <v>35</v>
          </cell>
          <cell r="O3">
            <v>20</v>
          </cell>
          <cell r="P3">
            <v>4.3</v>
          </cell>
          <cell r="Q3">
            <v>3.2</v>
          </cell>
        </row>
        <row r="4">
          <cell r="B4">
            <v>50</v>
          </cell>
          <cell r="K4">
            <v>51</v>
          </cell>
          <cell r="L4">
            <v>33.5</v>
          </cell>
          <cell r="P4">
            <v>4.0999999999999996</v>
          </cell>
          <cell r="Q4">
            <v>3.1</v>
          </cell>
        </row>
        <row r="5">
          <cell r="A5">
            <v>30</v>
          </cell>
          <cell r="B5">
            <v>51</v>
          </cell>
          <cell r="K5">
            <v>49</v>
          </cell>
          <cell r="L5">
            <v>32</v>
          </cell>
          <cell r="P5">
            <v>3.9</v>
          </cell>
          <cell r="Q5">
            <v>3</v>
          </cell>
        </row>
        <row r="6">
          <cell r="B6">
            <v>50</v>
          </cell>
          <cell r="K6">
            <v>46.5</v>
          </cell>
          <cell r="L6">
            <v>30</v>
          </cell>
          <cell r="P6">
            <v>3.7</v>
          </cell>
          <cell r="Q6">
            <v>2.85</v>
          </cell>
        </row>
        <row r="7">
          <cell r="B7">
            <v>49</v>
          </cell>
          <cell r="K7">
            <v>44</v>
          </cell>
          <cell r="L7">
            <v>28</v>
          </cell>
          <cell r="P7">
            <v>3.5</v>
          </cell>
          <cell r="Q7">
            <v>2.7</v>
          </cell>
        </row>
        <row r="8">
          <cell r="B8">
            <v>47</v>
          </cell>
          <cell r="K8">
            <v>41.5</v>
          </cell>
          <cell r="L8">
            <v>26</v>
          </cell>
          <cell r="P8">
            <v>3.3</v>
          </cell>
          <cell r="Q8">
            <v>2.5499999999999998</v>
          </cell>
        </row>
        <row r="9">
          <cell r="B9">
            <v>46</v>
          </cell>
          <cell r="K9">
            <v>39</v>
          </cell>
          <cell r="L9">
            <v>24</v>
          </cell>
          <cell r="P9">
            <v>3.1</v>
          </cell>
          <cell r="Q9">
            <v>2.4</v>
          </cell>
        </row>
        <row r="10">
          <cell r="B10">
            <v>44</v>
          </cell>
          <cell r="K10">
            <v>35.5</v>
          </cell>
          <cell r="L10">
            <v>21.5</v>
          </cell>
          <cell r="P10">
            <v>2.9</v>
          </cell>
          <cell r="Q10">
            <v>2.25</v>
          </cell>
        </row>
        <row r="11">
          <cell r="B11">
            <v>42</v>
          </cell>
          <cell r="K11">
            <v>32</v>
          </cell>
          <cell r="L11">
            <v>19</v>
          </cell>
          <cell r="P11">
            <v>2.7</v>
          </cell>
          <cell r="Q11">
            <v>2.1</v>
          </cell>
        </row>
        <row r="12">
          <cell r="B12">
            <v>39</v>
          </cell>
          <cell r="K12">
            <v>28.5</v>
          </cell>
          <cell r="L12">
            <v>16.5</v>
          </cell>
          <cell r="P12">
            <v>2.5</v>
          </cell>
          <cell r="Q12">
            <v>1.95</v>
          </cell>
        </row>
        <row r="13">
          <cell r="B13">
            <v>36</v>
          </cell>
          <cell r="K13">
            <v>25</v>
          </cell>
          <cell r="L13">
            <v>14</v>
          </cell>
          <cell r="P13">
            <v>2.2999999999999998</v>
          </cell>
          <cell r="Q13">
            <v>1.8</v>
          </cell>
        </row>
        <row r="14">
          <cell r="B14">
            <v>33</v>
          </cell>
          <cell r="K14">
            <v>21.5</v>
          </cell>
          <cell r="L14">
            <v>12</v>
          </cell>
          <cell r="P14">
            <v>2.1</v>
          </cell>
          <cell r="Q14">
            <v>1.65</v>
          </cell>
        </row>
        <row r="15">
          <cell r="B15">
            <v>30</v>
          </cell>
          <cell r="K15">
            <v>18</v>
          </cell>
          <cell r="L15">
            <v>10</v>
          </cell>
          <cell r="P15">
            <v>1.9</v>
          </cell>
          <cell r="Q15">
            <v>1.5</v>
          </cell>
        </row>
        <row r="16">
          <cell r="B16">
            <v>26</v>
          </cell>
          <cell r="P16">
            <v>1.7</v>
          </cell>
          <cell r="Q16">
            <v>1.35</v>
          </cell>
        </row>
        <row r="17">
          <cell r="P17">
            <v>1.5</v>
          </cell>
          <cell r="Q17">
            <v>1.2</v>
          </cell>
        </row>
      </sheetData>
      <sheetData sheetId="2">
        <row r="3">
          <cell r="A3">
            <v>20</v>
          </cell>
          <cell r="C3">
            <v>1.34</v>
          </cell>
          <cell r="E3">
            <v>18</v>
          </cell>
          <cell r="F3">
            <v>3</v>
          </cell>
          <cell r="G3">
            <v>3</v>
          </cell>
          <cell r="I3">
            <v>20</v>
          </cell>
          <cell r="J3">
            <v>45</v>
          </cell>
          <cell r="K3">
            <v>45</v>
          </cell>
          <cell r="M3">
            <v>20</v>
          </cell>
          <cell r="N3">
            <v>39</v>
          </cell>
          <cell r="O3">
            <v>42</v>
          </cell>
        </row>
        <row r="4">
          <cell r="A4">
            <v>25</v>
          </cell>
          <cell r="C4">
            <v>1.34</v>
          </cell>
          <cell r="F4">
            <v>5</v>
          </cell>
          <cell r="G4">
            <v>5.5</v>
          </cell>
          <cell r="J4">
            <v>44</v>
          </cell>
          <cell r="K4">
            <v>44</v>
          </cell>
          <cell r="N4">
            <v>38</v>
          </cell>
          <cell r="O4">
            <v>41</v>
          </cell>
        </row>
        <row r="5">
          <cell r="A5">
            <v>30</v>
          </cell>
          <cell r="C5">
            <v>1.34</v>
          </cell>
          <cell r="F5">
            <v>5.2</v>
          </cell>
          <cell r="G5">
            <v>5.8</v>
          </cell>
          <cell r="J5">
            <v>43</v>
          </cell>
          <cell r="K5">
            <v>43</v>
          </cell>
          <cell r="N5">
            <v>37</v>
          </cell>
          <cell r="O5">
            <v>40</v>
          </cell>
        </row>
        <row r="6">
          <cell r="A6">
            <v>35</v>
          </cell>
          <cell r="C6">
            <v>1.34</v>
          </cell>
          <cell r="F6">
            <v>5.5</v>
          </cell>
          <cell r="G6">
            <v>6</v>
          </cell>
          <cell r="J6">
            <v>41</v>
          </cell>
          <cell r="K6">
            <v>41</v>
          </cell>
          <cell r="N6">
            <v>36</v>
          </cell>
          <cell r="O6">
            <v>38</v>
          </cell>
        </row>
        <row r="7">
          <cell r="A7">
            <v>40</v>
          </cell>
          <cell r="C7">
            <v>1.39</v>
          </cell>
          <cell r="F7">
            <v>5.8</v>
          </cell>
          <cell r="G7">
            <v>6.2</v>
          </cell>
          <cell r="J7">
            <v>39</v>
          </cell>
          <cell r="K7">
            <v>39</v>
          </cell>
          <cell r="N7">
            <v>34</v>
          </cell>
          <cell r="O7">
            <v>37</v>
          </cell>
        </row>
        <row r="8">
          <cell r="A8">
            <v>45</v>
          </cell>
          <cell r="C8">
            <v>1.39</v>
          </cell>
          <cell r="F8">
            <v>6</v>
          </cell>
          <cell r="G8">
            <v>6.5</v>
          </cell>
          <cell r="J8">
            <v>37</v>
          </cell>
          <cell r="K8">
            <v>37</v>
          </cell>
          <cell r="N8">
            <v>32.5</v>
          </cell>
          <cell r="O8">
            <v>35.5</v>
          </cell>
        </row>
        <row r="9">
          <cell r="A9">
            <v>50</v>
          </cell>
          <cell r="C9">
            <v>1.31</v>
          </cell>
          <cell r="F9">
            <v>6.5</v>
          </cell>
          <cell r="G9">
            <v>7</v>
          </cell>
          <cell r="J9">
            <v>35</v>
          </cell>
          <cell r="K9">
            <v>35</v>
          </cell>
          <cell r="N9">
            <v>31</v>
          </cell>
          <cell r="O9">
            <v>34</v>
          </cell>
        </row>
        <row r="10">
          <cell r="A10">
            <v>55</v>
          </cell>
          <cell r="C10">
            <v>1.31</v>
          </cell>
          <cell r="F10">
            <v>7</v>
          </cell>
          <cell r="G10">
            <v>7.5</v>
          </cell>
          <cell r="J10">
            <v>33</v>
          </cell>
          <cell r="K10">
            <v>32</v>
          </cell>
          <cell r="N10">
            <v>29.5</v>
          </cell>
          <cell r="O10">
            <v>32.5</v>
          </cell>
        </row>
        <row r="11">
          <cell r="A11">
            <v>60</v>
          </cell>
          <cell r="C11">
            <v>1.24</v>
          </cell>
          <cell r="F11">
            <v>7.5</v>
          </cell>
          <cell r="G11">
            <v>8</v>
          </cell>
          <cell r="J11">
            <v>30</v>
          </cell>
          <cell r="K11">
            <v>29</v>
          </cell>
          <cell r="N11">
            <v>28</v>
          </cell>
          <cell r="O11">
            <v>31</v>
          </cell>
        </row>
        <row r="12">
          <cell r="A12">
            <v>65</v>
          </cell>
          <cell r="C12">
            <v>1.24</v>
          </cell>
          <cell r="F12">
            <v>8</v>
          </cell>
          <cell r="G12">
            <v>8.5</v>
          </cell>
          <cell r="J12">
            <v>25</v>
          </cell>
          <cell r="K12">
            <v>22</v>
          </cell>
          <cell r="N12">
            <v>26.5</v>
          </cell>
          <cell r="O12">
            <v>30</v>
          </cell>
        </row>
        <row r="13">
          <cell r="A13">
            <v>70</v>
          </cell>
          <cell r="C13">
            <v>1.1299999999999999</v>
          </cell>
          <cell r="F13">
            <v>8.5</v>
          </cell>
          <cell r="G13">
            <v>9</v>
          </cell>
          <cell r="J13">
            <v>20</v>
          </cell>
          <cell r="K13">
            <v>16</v>
          </cell>
          <cell r="N13">
            <v>25</v>
          </cell>
          <cell r="O13">
            <v>29</v>
          </cell>
        </row>
        <row r="14">
          <cell r="A14">
            <v>75</v>
          </cell>
          <cell r="C14">
            <v>1.1299999999999999</v>
          </cell>
          <cell r="F14">
            <v>9</v>
          </cell>
          <cell r="G14">
            <v>9.5</v>
          </cell>
          <cell r="J14">
            <v>15</v>
          </cell>
          <cell r="K14">
            <v>11</v>
          </cell>
          <cell r="N14">
            <v>23.5</v>
          </cell>
          <cell r="O14">
            <v>27.5</v>
          </cell>
        </row>
        <row r="15">
          <cell r="A15">
            <v>80</v>
          </cell>
          <cell r="C15">
            <v>1.1299999999999999</v>
          </cell>
          <cell r="F15">
            <v>9.5</v>
          </cell>
          <cell r="G15">
            <v>10</v>
          </cell>
          <cell r="J15">
            <v>10</v>
          </cell>
          <cell r="K15">
            <v>7</v>
          </cell>
          <cell r="N15">
            <v>22</v>
          </cell>
          <cell r="O15">
            <v>26</v>
          </cell>
        </row>
        <row r="16">
          <cell r="F16">
            <v>10</v>
          </cell>
          <cell r="G16">
            <v>11</v>
          </cell>
          <cell r="J16">
            <v>7</v>
          </cell>
          <cell r="K16">
            <v>5</v>
          </cell>
          <cell r="N16">
            <v>20.5</v>
          </cell>
          <cell r="O16">
            <v>25</v>
          </cell>
        </row>
        <row r="17">
          <cell r="F17">
            <v>11</v>
          </cell>
          <cell r="G17">
            <v>12</v>
          </cell>
          <cell r="J17">
            <v>5</v>
          </cell>
          <cell r="K17">
            <v>3</v>
          </cell>
          <cell r="N17">
            <v>19</v>
          </cell>
          <cell r="O17">
            <v>24</v>
          </cell>
        </row>
        <row r="18">
          <cell r="F18">
            <v>12</v>
          </cell>
          <cell r="G18">
            <v>13</v>
          </cell>
        </row>
      </sheetData>
      <sheetData sheetId="3"/>
      <sheetData sheetId="4"/>
      <sheetData sheetId="5"/>
      <sheetData sheetId="6"/>
      <sheetData sheetId="7"/>
      <sheetData sheetId="8"/>
      <sheetData sheetId="9"/>
      <sheetData sheetId="10"/>
      <sheetData sheetId="11"/>
      <sheetData sheetId="12"/>
      <sheetData sheetId="13"/>
      <sheetData sheetId="14">
        <row r="32">
          <cell r="N32" t="str">
            <v>Chronological Age</v>
          </cell>
          <cell r="O32" t="str">
            <v>Vitality Decline of an average 40 Year old Man</v>
          </cell>
          <cell r="R32" t="str">
            <v>Strength Decline of an average 40 Year old Man</v>
          </cell>
          <cell r="U32" t="str">
            <v>Metabolic Decline of an average 40 Year old Man</v>
          </cell>
          <cell r="X32" t="str">
            <v>Mobility Decline of an average 40 Year old Man</v>
          </cell>
          <cell r="AA32" t="str">
            <v>Cognitive Decline of an average 40 Year old Man</v>
          </cell>
        </row>
        <row r="33">
          <cell r="N33">
            <v>45</v>
          </cell>
          <cell r="O33">
            <v>45.000000000000007</v>
          </cell>
          <cell r="Q33">
            <v>45</v>
          </cell>
          <cell r="R33">
            <v>45</v>
          </cell>
          <cell r="T33">
            <v>45</v>
          </cell>
          <cell r="U33">
            <v>46.337142857142858</v>
          </cell>
          <cell r="W33">
            <v>45</v>
          </cell>
          <cell r="X33">
            <v>45</v>
          </cell>
          <cell r="Z33">
            <v>45</v>
          </cell>
          <cell r="AA33">
            <v>45</v>
          </cell>
        </row>
        <row r="34">
          <cell r="N34">
            <v>46</v>
          </cell>
          <cell r="O34">
            <v>45.517500000000005</v>
          </cell>
          <cell r="Q34">
            <v>46</v>
          </cell>
          <cell r="R34">
            <v>45.5535</v>
          </cell>
          <cell r="T34">
            <v>46</v>
          </cell>
          <cell r="U34">
            <v>46.591997142857146</v>
          </cell>
          <cell r="W34">
            <v>46</v>
          </cell>
          <cell r="X34">
            <v>45.445500000000003</v>
          </cell>
          <cell r="Z34">
            <v>46</v>
          </cell>
          <cell r="AA34">
            <v>45.9</v>
          </cell>
        </row>
        <row r="35">
          <cell r="N35">
            <v>47</v>
          </cell>
          <cell r="O35">
            <v>46.040951250000006</v>
          </cell>
          <cell r="Q35">
            <v>47</v>
          </cell>
          <cell r="R35">
            <v>46.113808050000003</v>
          </cell>
          <cell r="T35">
            <v>47</v>
          </cell>
          <cell r="U35">
            <v>46.848253127142861</v>
          </cell>
          <cell r="W35">
            <v>47</v>
          </cell>
          <cell r="X35">
            <v>45.89541045</v>
          </cell>
          <cell r="Z35">
            <v>47</v>
          </cell>
          <cell r="AA35">
            <v>46.817999999999998</v>
          </cell>
        </row>
        <row r="36">
          <cell r="N36">
            <v>48</v>
          </cell>
          <cell r="O36">
            <v>46.570422189375009</v>
          </cell>
          <cell r="Q36">
            <v>48</v>
          </cell>
          <cell r="R36">
            <v>46.681007889015</v>
          </cell>
          <cell r="T36">
            <v>48</v>
          </cell>
          <cell r="U36">
            <v>47.105918519342147</v>
          </cell>
          <cell r="W36">
            <v>48</v>
          </cell>
          <cell r="X36">
            <v>46.349775013455002</v>
          </cell>
          <cell r="Z36">
            <v>48</v>
          </cell>
          <cell r="AA36">
            <v>47.754359999999998</v>
          </cell>
        </row>
        <row r="37">
          <cell r="N37">
            <v>49</v>
          </cell>
          <cell r="O37">
            <v>47.105982044552825</v>
          </cell>
          <cell r="Q37">
            <v>49</v>
          </cell>
          <cell r="R37">
            <v>47.255184286049882</v>
          </cell>
          <cell r="T37">
            <v>49</v>
          </cell>
          <cell r="U37">
            <v>47.365001071198527</v>
          </cell>
          <cell r="W37">
            <v>49</v>
          </cell>
          <cell r="X37">
            <v>46.808637786088205</v>
          </cell>
          <cell r="Z37">
            <v>49</v>
          </cell>
          <cell r="AA37">
            <v>48.7094472</v>
          </cell>
        </row>
        <row r="38">
          <cell r="N38">
            <v>50</v>
          </cell>
          <cell r="O38">
            <v>47.647700838065184</v>
          </cell>
          <cell r="Q38">
            <v>50</v>
          </cell>
          <cell r="R38">
            <v>47.836423052768296</v>
          </cell>
          <cell r="T38">
            <v>50</v>
          </cell>
          <cell r="U38">
            <v>47.625508577090116</v>
          </cell>
          <cell r="W38">
            <v>50</v>
          </cell>
          <cell r="X38">
            <v>47.272043300170481</v>
          </cell>
          <cell r="Z38">
            <v>50</v>
          </cell>
          <cell r="AA38">
            <v>49.683636143999998</v>
          </cell>
        </row>
        <row r="39">
          <cell r="N39">
            <v>51</v>
          </cell>
          <cell r="O39">
            <v>48.195649397702937</v>
          </cell>
          <cell r="Q39">
            <v>51</v>
          </cell>
          <cell r="R39">
            <v>48.424811056317346</v>
          </cell>
          <cell r="T39">
            <v>51</v>
          </cell>
          <cell r="U39">
            <v>47.887448874264109</v>
          </cell>
          <cell r="W39">
            <v>51</v>
          </cell>
          <cell r="X39">
            <v>47.740036528842168</v>
          </cell>
          <cell r="Z39">
            <v>51</v>
          </cell>
          <cell r="AA39">
            <v>50.677308866879997</v>
          </cell>
        </row>
        <row r="40">
          <cell r="N40">
            <v>52</v>
          </cell>
          <cell r="O40">
            <v>48.749899365776521</v>
          </cell>
          <cell r="Q40">
            <v>52</v>
          </cell>
          <cell r="R40">
            <v>49.020436232310047</v>
          </cell>
          <cell r="T40">
            <v>52</v>
          </cell>
          <cell r="U40">
            <v>48.150829843072565</v>
          </cell>
          <cell r="W40">
            <v>52</v>
          </cell>
          <cell r="X40">
            <v>48.212662890477702</v>
          </cell>
          <cell r="Z40">
            <v>52</v>
          </cell>
          <cell r="AA40">
            <v>51.690855044217599</v>
          </cell>
        </row>
        <row r="41">
          <cell r="N41">
            <v>53</v>
          </cell>
          <cell r="O41">
            <v>49.310523208482948</v>
          </cell>
          <cell r="Q41">
            <v>53</v>
          </cell>
          <cell r="R41">
            <v>49.623387597967458</v>
          </cell>
          <cell r="T41">
            <v>53</v>
          </cell>
          <cell r="U41">
            <v>48.415659407209461</v>
          </cell>
          <cell r="W41">
            <v>53</v>
          </cell>
          <cell r="X41">
            <v>48.689968253093433</v>
          </cell>
          <cell r="Z41">
            <v>53</v>
          </cell>
          <cell r="AA41">
            <v>52.724672145101948</v>
          </cell>
        </row>
        <row r="42">
          <cell r="N42">
            <v>54</v>
          </cell>
          <cell r="O42">
            <v>49.877594225380506</v>
          </cell>
          <cell r="Q42">
            <v>54</v>
          </cell>
          <cell r="R42">
            <v>50.23375526542246</v>
          </cell>
          <cell r="T42">
            <v>54</v>
          </cell>
          <cell r="U42">
            <v>48.681945533949111</v>
          </cell>
          <cell r="W42">
            <v>54</v>
          </cell>
          <cell r="X42">
            <v>49.171998938799057</v>
          </cell>
          <cell r="Z42">
            <v>54</v>
          </cell>
          <cell r="AA42">
            <v>53.779165588003984</v>
          </cell>
        </row>
        <row r="43">
          <cell r="N43">
            <v>55</v>
          </cell>
          <cell r="O43">
            <v>50.451186558972381</v>
          </cell>
          <cell r="Q43">
            <v>55</v>
          </cell>
          <cell r="R43">
            <v>50.851630455187156</v>
          </cell>
          <cell r="T43">
            <v>55</v>
          </cell>
          <cell r="U43">
            <v>48.949696234385833</v>
          </cell>
          <cell r="W43">
            <v>55</v>
          </cell>
          <cell r="X43">
            <v>49.65880172829317</v>
          </cell>
          <cell r="Z43">
            <v>55</v>
          </cell>
          <cell r="AA43">
            <v>54.854748899764061</v>
          </cell>
        </row>
      </sheetData>
      <sheetData sheetId="15"/>
      <sheetData sheetId="16"/>
      <sheetData sheetId="17">
        <row r="32">
          <cell r="N32" t="str">
            <v>Chronological Age</v>
          </cell>
          <cell r="R32" t="str">
            <v>Strength Decline of an average 50 Year old Woman</v>
          </cell>
          <cell r="U32" t="str">
            <v>Metabolic Decline of an average 50 Year old Woman</v>
          </cell>
          <cell r="X32" t="str">
            <v>Mobility Decline of an average 50 Year old Woman</v>
          </cell>
          <cell r="AA32" t="str">
            <v>Cognitive Decline of an average 50 Year old Woman</v>
          </cell>
        </row>
        <row r="33">
          <cell r="N33">
            <v>50</v>
          </cell>
          <cell r="Q33">
            <v>50</v>
          </cell>
          <cell r="R33">
            <v>50</v>
          </cell>
          <cell r="T33">
            <v>50</v>
          </cell>
          <cell r="U33">
            <v>50.007714285714286</v>
          </cell>
          <cell r="W33">
            <v>50</v>
          </cell>
          <cell r="X33">
            <v>50</v>
          </cell>
          <cell r="Z33">
            <v>50</v>
          </cell>
          <cell r="AA33">
            <v>50</v>
          </cell>
        </row>
        <row r="34">
          <cell r="N34">
            <v>51</v>
          </cell>
          <cell r="Q34">
            <v>51</v>
          </cell>
          <cell r="R34">
            <v>50.615000000000002</v>
          </cell>
          <cell r="T34">
            <v>51</v>
          </cell>
          <cell r="U34">
            <v>50.282756714285718</v>
          </cell>
          <cell r="W34">
            <v>51</v>
          </cell>
          <cell r="X34">
            <v>50.494999999999997</v>
          </cell>
          <cell r="Z34">
            <v>51</v>
          </cell>
          <cell r="AA34">
            <v>51</v>
          </cell>
        </row>
        <row r="35">
          <cell r="N35">
            <v>52</v>
          </cell>
          <cell r="Q35">
            <v>52</v>
          </cell>
          <cell r="R35">
            <v>51.237564500000005</v>
          </cell>
          <cell r="T35">
            <v>52</v>
          </cell>
          <cell r="U35">
            <v>50.559311876214288</v>
          </cell>
          <cell r="W35">
            <v>52</v>
          </cell>
          <cell r="X35">
            <v>50.9949005</v>
          </cell>
          <cell r="Z35">
            <v>52</v>
          </cell>
          <cell r="AA35">
            <v>52.02</v>
          </cell>
        </row>
        <row r="36">
          <cell r="N36">
            <v>53</v>
          </cell>
          <cell r="Q36">
            <v>53</v>
          </cell>
          <cell r="R36">
            <v>51.867786543350007</v>
          </cell>
          <cell r="T36">
            <v>53</v>
          </cell>
          <cell r="U36">
            <v>50.837388091533469</v>
          </cell>
          <cell r="W36">
            <v>53</v>
          </cell>
          <cell r="X36">
            <v>51.499750014950003</v>
          </cell>
          <cell r="Z36">
            <v>53</v>
          </cell>
          <cell r="AA36">
            <v>53.060400000000001</v>
          </cell>
        </row>
        <row r="37">
          <cell r="N37">
            <v>54</v>
          </cell>
          <cell r="Q37">
            <v>54</v>
          </cell>
          <cell r="R37">
            <v>52.505760317833214</v>
          </cell>
          <cell r="T37">
            <v>54</v>
          </cell>
          <cell r="U37">
            <v>51.116993726036903</v>
          </cell>
          <cell r="W37">
            <v>54</v>
          </cell>
          <cell r="X37">
            <v>52.009597540098007</v>
          </cell>
          <cell r="Z37">
            <v>54</v>
          </cell>
          <cell r="AA37">
            <v>54.121608000000002</v>
          </cell>
        </row>
        <row r="38">
          <cell r="N38">
            <v>55</v>
          </cell>
          <cell r="Q38">
            <v>55</v>
          </cell>
          <cell r="R38">
            <v>53.151581169742563</v>
          </cell>
          <cell r="T38">
            <v>55</v>
          </cell>
          <cell r="U38">
            <v>51.398137191530104</v>
          </cell>
          <cell r="W38">
            <v>55</v>
          </cell>
          <cell r="X38">
            <v>52.524492555744978</v>
          </cell>
          <cell r="Z38">
            <v>55</v>
          </cell>
          <cell r="AA38">
            <v>55.204040160000005</v>
          </cell>
        </row>
        <row r="39">
          <cell r="N39">
            <v>56</v>
          </cell>
          <cell r="Q39">
            <v>56</v>
          </cell>
          <cell r="R39">
            <v>53.805345618130396</v>
          </cell>
          <cell r="T39">
            <v>56</v>
          </cell>
          <cell r="U39">
            <v>51.680826946083521</v>
          </cell>
          <cell r="W39">
            <v>56</v>
          </cell>
          <cell r="X39">
            <v>53.04448503204685</v>
          </cell>
          <cell r="Z39">
            <v>56</v>
          </cell>
          <cell r="AA39">
            <v>56.308120963200004</v>
          </cell>
        </row>
        <row r="40">
          <cell r="N40">
            <v>57</v>
          </cell>
          <cell r="Q40">
            <v>57</v>
          </cell>
          <cell r="R40">
            <v>54.467151369233399</v>
          </cell>
          <cell r="T40">
            <v>57</v>
          </cell>
          <cell r="U40">
            <v>51.965071494286981</v>
          </cell>
          <cell r="W40">
            <v>57</v>
          </cell>
          <cell r="X40">
            <v>53.569625433864111</v>
          </cell>
          <cell r="Z40">
            <v>57</v>
          </cell>
          <cell r="AA40">
            <v>57.434283382464002</v>
          </cell>
        </row>
        <row r="41">
          <cell r="N41">
            <v>58</v>
          </cell>
          <cell r="Q41">
            <v>58</v>
          </cell>
          <cell r="R41">
            <v>55.137097331074969</v>
          </cell>
          <cell r="T41">
            <v>58</v>
          </cell>
          <cell r="U41">
            <v>52.250879387505563</v>
          </cell>
          <cell r="W41">
            <v>58</v>
          </cell>
          <cell r="X41">
            <v>54.099964725659369</v>
          </cell>
          <cell r="Z41">
            <v>58</v>
          </cell>
          <cell r="AA41">
            <v>58.582969050113284</v>
          </cell>
        </row>
        <row r="42">
          <cell r="N42">
            <v>59</v>
          </cell>
          <cell r="Q42">
            <v>59</v>
          </cell>
          <cell r="R42">
            <v>55.815283628247194</v>
          </cell>
          <cell r="T42">
            <v>59</v>
          </cell>
          <cell r="U42">
            <v>52.538259224136844</v>
          </cell>
          <cell r="W42">
            <v>59</v>
          </cell>
          <cell r="X42">
            <v>54.635554376443395</v>
          </cell>
          <cell r="Z42">
            <v>59</v>
          </cell>
          <cell r="AA42">
            <v>59.754628431115549</v>
          </cell>
        </row>
        <row r="43">
          <cell r="N43">
            <v>60</v>
          </cell>
          <cell r="Q43">
            <v>60</v>
          </cell>
          <cell r="R43">
            <v>56.501811616874633</v>
          </cell>
          <cell r="T43">
            <v>60</v>
          </cell>
          <cell r="U43">
            <v>52.827219649869598</v>
          </cell>
          <cell r="W43">
            <v>60</v>
          </cell>
          <cell r="X43">
            <v>55.176446364770186</v>
          </cell>
          <cell r="Z43">
            <v>60</v>
          </cell>
          <cell r="AA43">
            <v>60.949720999737863</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32">
          <cell r="O32" t="str">
            <v xml:space="preserve">Vitality Decline </v>
          </cell>
          <cell r="P32" t="str">
            <v>Vitaly Improvement</v>
          </cell>
          <cell r="R32" t="str">
            <v>Strength Decline</v>
          </cell>
          <cell r="S32" t="str">
            <v>Strength improvement</v>
          </cell>
          <cell r="U32" t="str">
            <v xml:space="preserve">Metabolic Decline </v>
          </cell>
          <cell r="X32" t="str">
            <v>Mobility Decline</v>
          </cell>
          <cell r="Y32" t="str">
            <v>Mobility Improvement</v>
          </cell>
          <cell r="AA32" t="str">
            <v xml:space="preserve">Cognitive Decline </v>
          </cell>
          <cell r="AB32" t="str">
            <v>Cognitive Improvement</v>
          </cell>
        </row>
        <row r="33">
          <cell r="O33">
            <v>79.424050632911388</v>
          </cell>
          <cell r="P33">
            <v>79.424050632911388</v>
          </cell>
          <cell r="R33">
            <v>52.678571428571431</v>
          </cell>
          <cell r="S33">
            <v>52.678571428571431</v>
          </cell>
          <cell r="U33">
            <v>51.429107142857141</v>
          </cell>
          <cell r="V33">
            <v>51.429107142857141</v>
          </cell>
          <cell r="X33">
            <v>60.25</v>
          </cell>
          <cell r="Y33">
            <v>60.25</v>
          </cell>
          <cell r="AA33">
            <v>64.5</v>
          </cell>
          <cell r="AB33">
            <v>64.5</v>
          </cell>
        </row>
        <row r="34">
          <cell r="O34">
            <v>80.337427215189877</v>
          </cell>
          <cell r="P34">
            <v>78.455031647488838</v>
          </cell>
          <cell r="R34">
            <v>53.326517857142861</v>
          </cell>
          <cell r="S34">
            <v>51.709552443148873</v>
          </cell>
          <cell r="U34">
            <v>51.711967232142854</v>
          </cell>
          <cell r="V34">
            <v>50.460088157434583</v>
          </cell>
          <cell r="X34">
            <v>60.846474999999998</v>
          </cell>
          <cell r="Y34">
            <v>59.300005861213577</v>
          </cell>
          <cell r="AA34">
            <v>65.790000000000006</v>
          </cell>
          <cell r="AB34">
            <v>63.534009969239399</v>
          </cell>
        </row>
        <row r="35">
          <cell r="O35">
            <v>81.261307628164559</v>
          </cell>
          <cell r="P35">
            <v>77.516033853379469</v>
          </cell>
          <cell r="R35">
            <v>53.982434026785718</v>
          </cell>
          <cell r="S35">
            <v>50.82108970921</v>
          </cell>
          <cell r="U35">
            <v>51.996383051919636</v>
          </cell>
          <cell r="V35">
            <v>49.521090363325222</v>
          </cell>
          <cell r="X35">
            <v>61.448855102499998</v>
          </cell>
          <cell r="Y35">
            <v>58.397516997485013</v>
          </cell>
          <cell r="AA35">
            <v>67.105800000000002</v>
          </cell>
          <cell r="AB35">
            <v>62.600873229710537</v>
          </cell>
        </row>
        <row r="36">
          <cell r="O36">
            <v>82.195812665888454</v>
          </cell>
          <cell r="P36">
            <v>76.5770360592701</v>
          </cell>
          <cell r="R36">
            <v>54.64641796531518</v>
          </cell>
          <cell r="S36">
            <v>49.932626975271127</v>
          </cell>
          <cell r="U36">
            <v>52.282363158705195</v>
          </cell>
          <cell r="V36">
            <v>48.58209256921586</v>
          </cell>
          <cell r="X36">
            <v>62.05719876801475</v>
          </cell>
          <cell r="Y36">
            <v>57.495028133756449</v>
          </cell>
          <cell r="AA36">
            <v>68.447916000000006</v>
          </cell>
          <cell r="AB36">
            <v>61.667736490181674</v>
          </cell>
        </row>
        <row r="37">
          <cell r="O37">
            <v>83.141064511546176</v>
          </cell>
          <cell r="P37">
            <v>75.667129369508231</v>
          </cell>
          <cell r="R37">
            <v>55.318568906288554</v>
          </cell>
          <cell r="S37">
            <v>49.095177095734904</v>
          </cell>
          <cell r="U37">
            <v>52.569916156078072</v>
          </cell>
          <cell r="V37">
            <v>47.672185879453984</v>
          </cell>
          <cell r="X37">
            <v>62.671565035818098</v>
          </cell>
          <cell r="Y37">
            <v>56.637669002894292</v>
          </cell>
          <cell r="AA37">
            <v>69.816874320000011</v>
          </cell>
          <cell r="AB37">
            <v>60.766335702460339</v>
          </cell>
        </row>
        <row r="38">
          <cell r="O38">
            <v>84.097186753428957</v>
          </cell>
          <cell r="P38">
            <v>74.785412512165976</v>
          </cell>
          <cell r="R38">
            <v>55.998987303835904</v>
          </cell>
          <cell r="S38">
            <v>48.305811066136769</v>
          </cell>
          <cell r="U38">
            <v>52.859050694936499</v>
          </cell>
          <cell r="V38">
            <v>46.790469022111736</v>
          </cell>
          <cell r="X38">
            <v>63.292013529672694</v>
          </cell>
          <cell r="Y38">
            <v>55.823182853740221</v>
          </cell>
          <cell r="AA38">
            <v>71.213211806400011</v>
          </cell>
          <cell r="AB38">
            <v>59.895591527801777</v>
          </cell>
        </row>
        <row r="39">
          <cell r="O39">
            <v>85.064304401093395</v>
          </cell>
          <cell r="P39">
            <v>73.931012137634227</v>
          </cell>
          <cell r="R39">
            <v>56.687774847673083</v>
          </cell>
          <cell r="S39">
            <v>47.561768056627237</v>
          </cell>
          <cell r="U39">
            <v>53.149775473758652</v>
          </cell>
          <cell r="V39">
            <v>45.936068647579987</v>
          </cell>
          <cell r="X39">
            <v>63.918604463616454</v>
          </cell>
          <cell r="Y39">
            <v>55.04942578592113</v>
          </cell>
          <cell r="AA39">
            <v>72.637476042528007</v>
          </cell>
          <cell r="AB39">
            <v>59.054461335738743</v>
          </cell>
        </row>
        <row r="40">
          <cell r="O40">
            <v>86.042543901705969</v>
          </cell>
          <cell r="P40">
            <v>73.103081953560817</v>
          </cell>
          <cell r="R40">
            <v>57.38503447829946</v>
          </cell>
          <cell r="S40">
            <v>46.860445755892002</v>
          </cell>
          <cell r="U40">
            <v>53.442099238864323</v>
          </cell>
          <cell r="V40">
            <v>45.108138463506577</v>
          </cell>
          <cell r="X40">
            <v>64.551398647806252</v>
          </cell>
          <cell r="Y40">
            <v>54.31436110664842</v>
          </cell>
          <cell r="AA40">
            <v>74.090225563378567</v>
          </cell>
          <cell r="AB40">
            <v>58.2419379556341</v>
          </cell>
        </row>
        <row r="41">
          <cell r="O41">
            <v>87.032033156575594</v>
          </cell>
          <cell r="P41">
            <v>72.300801886589284</v>
          </cell>
          <cell r="R41">
            <v>58.090870402382542</v>
          </cell>
          <cell r="S41">
            <v>46.199391269495059</v>
          </cell>
          <cell r="U41">
            <v>53.736030784678078</v>
          </cell>
          <cell r="V41">
            <v>44.305858396535051</v>
          </cell>
          <cell r="X41">
            <v>65.190457494419533</v>
          </cell>
          <cell r="Y41">
            <v>53.616053969710421</v>
          </cell>
          <cell r="AA41">
            <v>75.572030074646136</v>
          </cell>
          <cell r="AB41">
            <v>57.45704847069311</v>
          </cell>
        </row>
        <row r="42">
          <cell r="O42">
            <v>88.032901537876214</v>
          </cell>
          <cell r="P42">
            <v>71.523377270067783</v>
          </cell>
          <cell r="R42">
            <v>58.805388108331847</v>
          </cell>
          <cell r="S42">
            <v>45.576292540811536</v>
          </cell>
          <cell r="U42">
            <v>54.031578953993808</v>
          </cell>
          <cell r="V42">
            <v>43.528433780013557</v>
          </cell>
          <cell r="X42">
            <v>65.835843023614288</v>
          </cell>
          <cell r="Y42">
            <v>52.952666282546595</v>
          </cell>
          <cell r="AA42">
            <v>77.083470676139058</v>
          </cell>
          <cell r="AB42">
            <v>56.698853052991289</v>
          </cell>
        </row>
        <row r="43">
          <cell r="O43">
            <v>89.045279905561785</v>
          </cell>
          <cell r="P43">
            <v>70.77003805692361</v>
          </cell>
          <cell r="R43">
            <v>59.52869438206433</v>
          </cell>
          <cell r="S43">
            <v>44.988970264544747</v>
          </cell>
          <cell r="U43">
            <v>54.328752638240772</v>
          </cell>
          <cell r="V43">
            <v>42.775094566869377</v>
          </cell>
          <cell r="X43">
            <v>66.487617869548075</v>
          </cell>
          <cell r="Y43">
            <v>52.322451867997877</v>
          </cell>
          <cell r="AA43">
            <v>78.625140089661841</v>
          </cell>
          <cell r="AB43">
            <v>55.966443838122963</v>
          </cell>
        </row>
      </sheetData>
      <sheetData sheetId="32">
        <row r="32">
          <cell r="O32" t="str">
            <v xml:space="preserve">Vitality Decline </v>
          </cell>
          <cell r="P32" t="str">
            <v>Vitaly Improvement</v>
          </cell>
          <cell r="R32" t="str">
            <v>Strength Decline</v>
          </cell>
          <cell r="S32" t="str">
            <v>Strength improvement</v>
          </cell>
          <cell r="U32" t="str">
            <v>Metabolic Decline</v>
          </cell>
          <cell r="V32" t="str">
            <v>Metabolic Improvement</v>
          </cell>
          <cell r="X32" t="str">
            <v xml:space="preserve">Mobility Decline </v>
          </cell>
          <cell r="Y32" t="str">
            <v>Mobility Improvement</v>
          </cell>
          <cell r="AA32" t="str">
            <v>Cognitive Decline</v>
          </cell>
          <cell r="AB32" t="str">
            <v>Cognitive Improvement</v>
          </cell>
        </row>
        <row r="33">
          <cell r="O33">
            <v>19</v>
          </cell>
          <cell r="P33">
            <v>19</v>
          </cell>
          <cell r="R33">
            <v>29.999999999999993</v>
          </cell>
          <cell r="S33">
            <v>29.999999999999993</v>
          </cell>
          <cell r="U33">
            <v>43.880460526315787</v>
          </cell>
          <cell r="V33">
            <v>43.880460526315787</v>
          </cell>
          <cell r="X33">
            <v>34.089285714285708</v>
          </cell>
          <cell r="Y33">
            <v>34.089285714285708</v>
          </cell>
          <cell r="AA33">
            <v>31.6</v>
          </cell>
          <cell r="AB33">
            <v>31.6</v>
          </cell>
        </row>
        <row r="34">
          <cell r="O34">
            <v>19.218499999999999</v>
          </cell>
          <cell r="P34">
            <v>18.030981014577442</v>
          </cell>
          <cell r="R34">
            <v>30.368999999999993</v>
          </cell>
          <cell r="S34">
            <v>29.030981014577435</v>
          </cell>
          <cell r="U34">
            <v>44.121803059210521</v>
          </cell>
          <cell r="V34">
            <v>42.911441540893229</v>
          </cell>
          <cell r="X34">
            <v>34.426769642857138</v>
          </cell>
          <cell r="Y34">
            <v>33.139291575499286</v>
          </cell>
          <cell r="AA34">
            <v>32.231999999999999</v>
          </cell>
          <cell r="AB34">
            <v>30.634009969239401</v>
          </cell>
        </row>
        <row r="35">
          <cell r="O35">
            <v>19.439512749999999</v>
          </cell>
          <cell r="P35">
            <v>17.09198322046808</v>
          </cell>
          <cell r="R35">
            <v>30.742538699999994</v>
          </cell>
          <cell r="S35">
            <v>28.142518280638562</v>
          </cell>
          <cell r="U35">
            <v>44.364472976036176</v>
          </cell>
          <cell r="V35">
            <v>41.972443746783867</v>
          </cell>
          <cell r="X35">
            <v>34.767594662321422</v>
          </cell>
          <cell r="Y35">
            <v>32.236802711770721</v>
          </cell>
          <cell r="AA35">
            <v>32.876640000000002</v>
          </cell>
          <cell r="AB35">
            <v>29.700873229710535</v>
          </cell>
        </row>
        <row r="36">
          <cell r="O36">
            <v>19.663067146625</v>
          </cell>
          <cell r="P36">
            <v>16.152985426358718</v>
          </cell>
          <cell r="R36">
            <v>31.120671926009994</v>
          </cell>
          <cell r="S36">
            <v>27.254055546699689</v>
          </cell>
          <cell r="U36">
            <v>44.608477577404372</v>
          </cell>
          <cell r="V36">
            <v>41.033445952674505</v>
          </cell>
          <cell r="X36">
            <v>35.111793849478403</v>
          </cell>
          <cell r="Y36">
            <v>31.334313848042161</v>
          </cell>
          <cell r="AA36">
            <v>33.5341728</v>
          </cell>
          <cell r="AB36">
            <v>28.767736490181669</v>
          </cell>
        </row>
        <row r="37">
          <cell r="O37">
            <v>19.889192418811188</v>
          </cell>
          <cell r="P37">
            <v>15.243078736596843</v>
          </cell>
          <cell r="R37">
            <v>31.503456190699918</v>
          </cell>
          <cell r="S37">
            <v>26.416605667163466</v>
          </cell>
          <cell r="U37">
            <v>44.853824204080098</v>
          </cell>
          <cell r="V37">
            <v>40.12353926291263</v>
          </cell>
          <cell r="X37">
            <v>35.45940060858824</v>
          </cell>
          <cell r="Y37">
            <v>30.476954717180007</v>
          </cell>
          <cell r="AA37">
            <v>34.204856255999999</v>
          </cell>
          <cell r="AB37">
            <v>27.866335702460333</v>
          </cell>
        </row>
        <row r="38">
          <cell r="O38">
            <v>20.117918131627516</v>
          </cell>
          <cell r="P38">
            <v>14.361361879254593</v>
          </cell>
          <cell r="R38">
            <v>31.890948701845527</v>
          </cell>
          <cell r="S38">
            <v>25.627239637565332</v>
          </cell>
          <cell r="U38">
            <v>45.100520237202538</v>
          </cell>
          <cell r="V38">
            <v>39.241822405570382</v>
          </cell>
          <cell r="X38">
            <v>35.810448674613262</v>
          </cell>
          <cell r="Y38">
            <v>29.662468568025936</v>
          </cell>
          <cell r="AA38">
            <v>34.888953381119997</v>
          </cell>
          <cell r="AB38">
            <v>26.995591527801771</v>
          </cell>
        </row>
        <row r="39">
          <cell r="O39">
            <v>20.34927419014123</v>
          </cell>
          <cell r="P39">
            <v>13.50696150472284</v>
          </cell>
          <cell r="R39">
            <v>32.28320737087823</v>
          </cell>
          <cell r="S39">
            <v>24.883196628055799</v>
          </cell>
          <cell r="U39">
            <v>45.348573098507153</v>
          </cell>
          <cell r="V39">
            <v>38.387422031038632</v>
          </cell>
          <cell r="X39">
            <v>36.164972116491931</v>
          </cell>
          <cell r="Y39">
            <v>28.888711500206842</v>
          </cell>
          <cell r="AA39">
            <v>35.586732448742396</v>
          </cell>
          <cell r="AB39">
            <v>26.154461335738734</v>
          </cell>
        </row>
        <row r="40">
          <cell r="O40">
            <v>20.583290843327855</v>
          </cell>
          <cell r="P40">
            <v>12.679031320649427</v>
          </cell>
          <cell r="R40">
            <v>32.680290821540034</v>
          </cell>
          <cell r="S40">
            <v>24.181874327320568</v>
          </cell>
          <cell r="U40">
            <v>45.597990250548939</v>
          </cell>
          <cell r="V40">
            <v>37.559491846965216</v>
          </cell>
          <cell r="X40">
            <v>36.523005340445202</v>
          </cell>
          <cell r="Y40">
            <v>28.153646820934135</v>
          </cell>
          <cell r="AA40">
            <v>36.298467097717243</v>
          </cell>
          <cell r="AB40">
            <v>25.341937955634094</v>
          </cell>
        </row>
        <row r="41">
          <cell r="O41">
            <v>20.819998688026125</v>
          </cell>
          <cell r="P41">
            <v>11.876751253677897</v>
          </cell>
          <cell r="R41">
            <v>33.082258398644974</v>
          </cell>
          <cell r="S41">
            <v>23.520819840923622</v>
          </cell>
          <cell r="U41">
            <v>45.848779196926955</v>
          </cell>
          <cell r="V41">
            <v>36.757211779993689</v>
          </cell>
          <cell r="X41">
            <v>36.884583093315612</v>
          </cell>
          <cell r="Y41">
            <v>27.45533968399614</v>
          </cell>
          <cell r="AA41">
            <v>37.024436439671589</v>
          </cell>
          <cell r="AB41">
            <v>24.557048470693104</v>
          </cell>
        </row>
        <row r="42">
          <cell r="O42">
            <v>21.059428672938424</v>
          </cell>
          <cell r="P42">
            <v>11.099326637156404</v>
          </cell>
          <cell r="R42">
            <v>33.489170176948306</v>
          </cell>
          <cell r="S42">
            <v>22.897721112240099</v>
          </cell>
          <cell r="U42">
            <v>46.100947482510051</v>
          </cell>
          <cell r="V42">
            <v>35.979787163472196</v>
          </cell>
          <cell r="X42">
            <v>37.249740465939439</v>
          </cell>
          <cell r="Y42">
            <v>26.791951996832314</v>
          </cell>
          <cell r="AA42">
            <v>37.76492516846502</v>
          </cell>
          <cell r="AB42">
            <v>23.798853052991287</v>
          </cell>
        </row>
        <row r="43">
          <cell r="O43">
            <v>21.301612102677215</v>
          </cell>
          <cell r="P43">
            <v>10.345987424012225</v>
          </cell>
          <cell r="R43">
            <v>33.901086970124773</v>
          </cell>
          <cell r="S43">
            <v>22.310398835973313</v>
          </cell>
          <cell r="U43">
            <v>46.354502693663854</v>
          </cell>
          <cell r="V43">
            <v>35.226447950328016</v>
          </cell>
          <cell r="X43">
            <v>37.61851289655224</v>
          </cell>
          <cell r="Y43">
            <v>26.161737582283596</v>
          </cell>
          <cell r="AA43">
            <v>38.520223671834323</v>
          </cell>
          <cell r="AB43">
            <v>23.066443838122961</v>
          </cell>
        </row>
      </sheetData>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nature.com/articles/s41598-020-73395-4" TargetMode="External"/><Relationship Id="rId1" Type="http://schemas.openxmlformats.org/officeDocument/2006/relationships/hyperlink" Target="https://go.gale.com/ps/i.do?id=GALE%7CA649711026&amp;sid=googleScholar&amp;v=2.1&amp;it=r&amp;linkaccess=abs&amp;issn=08406529&amp;p=AONE&amp;sw=w&amp;userGroupName=anon%7Eda6c86b0&amp;aty=open-web-entr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AB05-EE7E-4E79-ABC4-BE2AE6DB2FE2}">
  <dimension ref="A1:U23"/>
  <sheetViews>
    <sheetView workbookViewId="0">
      <selection activeCell="D6" sqref="D6"/>
    </sheetView>
  </sheetViews>
  <sheetFormatPr defaultRowHeight="14.4" x14ac:dyDescent="0.3"/>
  <cols>
    <col min="1" max="1" width="11" customWidth="1"/>
    <col min="2" max="2" width="13.44140625" customWidth="1"/>
    <col min="3" max="3" width="13.33203125" customWidth="1"/>
    <col min="4" max="4" width="12.21875" customWidth="1"/>
    <col min="5" max="5" width="14.21875" customWidth="1"/>
    <col min="6" max="6" width="12.6640625" customWidth="1"/>
    <col min="7" max="7" width="20.44140625" customWidth="1"/>
    <col min="18" max="18" width="13.33203125" customWidth="1"/>
    <col min="19" max="19" width="13.6640625" customWidth="1"/>
    <col min="20" max="20" width="14.77734375" customWidth="1"/>
    <col min="21" max="21" width="23.6640625" customWidth="1"/>
  </cols>
  <sheetData>
    <row r="1" spans="1:21" ht="15" thickBot="1" x14ac:dyDescent="0.35">
      <c r="A1" s="47" t="s">
        <v>58</v>
      </c>
      <c r="B1" s="47"/>
      <c r="C1" s="47"/>
      <c r="D1" s="47"/>
      <c r="E1" s="47"/>
      <c r="F1" s="47"/>
      <c r="G1" s="47"/>
      <c r="I1" s="47" t="s">
        <v>59</v>
      </c>
      <c r="J1" s="47"/>
      <c r="K1" s="47"/>
      <c r="L1" s="47"/>
      <c r="M1" s="47"/>
      <c r="N1" s="47"/>
      <c r="O1" s="47"/>
      <c r="R1" s="47" t="s">
        <v>64</v>
      </c>
      <c r="S1" s="47"/>
      <c r="T1" s="47"/>
      <c r="U1" s="47"/>
    </row>
    <row r="2" spans="1:21" ht="15.6" thickBot="1" x14ac:dyDescent="0.35">
      <c r="A2" s="29" t="s">
        <v>45</v>
      </c>
      <c r="B2" s="29" t="s">
        <v>46</v>
      </c>
      <c r="C2" s="29" t="s">
        <v>47</v>
      </c>
      <c r="D2" s="29" t="s">
        <v>48</v>
      </c>
      <c r="E2" s="29" t="s">
        <v>49</v>
      </c>
      <c r="F2" s="29" t="s">
        <v>50</v>
      </c>
      <c r="G2" s="29" t="s">
        <v>51</v>
      </c>
      <c r="I2" s="29" t="s">
        <v>45</v>
      </c>
      <c r="J2" s="29" t="s">
        <v>46</v>
      </c>
      <c r="K2" s="29" t="s">
        <v>47</v>
      </c>
      <c r="L2" s="29" t="s">
        <v>48</v>
      </c>
      <c r="M2" s="29" t="s">
        <v>49</v>
      </c>
      <c r="N2" s="29" t="s">
        <v>50</v>
      </c>
      <c r="O2" s="29" t="s">
        <v>51</v>
      </c>
      <c r="R2" s="29" t="s">
        <v>60</v>
      </c>
      <c r="S2" s="29" t="s">
        <v>61</v>
      </c>
      <c r="T2" s="29" t="s">
        <v>62</v>
      </c>
      <c r="U2" s="29" t="s">
        <v>63</v>
      </c>
    </row>
    <row r="3" spans="1:21" ht="15.6" thickBot="1" x14ac:dyDescent="0.35">
      <c r="A3" s="29" t="s">
        <v>52</v>
      </c>
      <c r="B3" s="30">
        <v>33</v>
      </c>
      <c r="C3" s="30">
        <v>40.200000000000003</v>
      </c>
      <c r="D3" s="29">
        <v>48</v>
      </c>
      <c r="E3" s="30">
        <v>56.5</v>
      </c>
      <c r="F3" s="30">
        <v>64.099999999999994</v>
      </c>
      <c r="G3" s="30">
        <v>69.400000000000006</v>
      </c>
      <c r="I3" s="29" t="s">
        <v>52</v>
      </c>
      <c r="J3" s="30">
        <v>23.6</v>
      </c>
      <c r="K3" s="30">
        <v>28.9</v>
      </c>
      <c r="L3" s="29">
        <v>37.6</v>
      </c>
      <c r="M3" s="30">
        <v>44.5</v>
      </c>
      <c r="N3" s="30">
        <v>51.5</v>
      </c>
      <c r="O3" s="30">
        <v>55.4</v>
      </c>
      <c r="Q3" t="s">
        <v>66</v>
      </c>
      <c r="R3" s="30">
        <v>60</v>
      </c>
      <c r="S3" s="30">
        <v>152</v>
      </c>
      <c r="T3" s="30">
        <v>3.25</v>
      </c>
      <c r="U3" s="30">
        <v>2.5499999999999998</v>
      </c>
    </row>
    <row r="4" spans="1:21" ht="15.6" thickBot="1" x14ac:dyDescent="0.35">
      <c r="A4" s="31" t="s">
        <v>53</v>
      </c>
      <c r="B4" s="32">
        <v>29.5</v>
      </c>
      <c r="C4" s="32">
        <v>35.5</v>
      </c>
      <c r="D4" s="31">
        <v>43.4</v>
      </c>
      <c r="E4" s="32">
        <v>52.5</v>
      </c>
      <c r="F4" s="32">
        <v>58.7</v>
      </c>
      <c r="G4" s="32">
        <v>64.400000000000006</v>
      </c>
      <c r="I4" s="31" t="s">
        <v>53</v>
      </c>
      <c r="J4" s="32">
        <v>21.8</v>
      </c>
      <c r="K4" s="32">
        <v>26.5</v>
      </c>
      <c r="L4" s="31">
        <v>34.700000000000003</v>
      </c>
      <c r="M4" s="32">
        <v>41</v>
      </c>
      <c r="N4" s="32">
        <v>47</v>
      </c>
      <c r="O4" s="32">
        <v>50.8</v>
      </c>
      <c r="R4" s="32">
        <v>61</v>
      </c>
      <c r="S4" s="32">
        <v>155</v>
      </c>
      <c r="T4" s="32">
        <v>3.35</v>
      </c>
      <c r="U4" s="32">
        <v>2.65</v>
      </c>
    </row>
    <row r="5" spans="1:21" ht="15.6" thickBot="1" x14ac:dyDescent="0.35">
      <c r="A5" s="29" t="s">
        <v>54</v>
      </c>
      <c r="B5" s="30">
        <v>25.6</v>
      </c>
      <c r="C5" s="30">
        <v>32.1</v>
      </c>
      <c r="D5" s="29">
        <v>39.5</v>
      </c>
      <c r="E5" s="30">
        <v>47.4</v>
      </c>
      <c r="F5" s="30">
        <v>54.5</v>
      </c>
      <c r="G5" s="30">
        <v>59.9</v>
      </c>
      <c r="I5" s="29" t="s">
        <v>54</v>
      </c>
      <c r="J5" s="30">
        <v>19</v>
      </c>
      <c r="K5" s="30">
        <v>24.1</v>
      </c>
      <c r="L5" s="29">
        <v>30.6</v>
      </c>
      <c r="M5" s="30">
        <v>36.700000000000003</v>
      </c>
      <c r="N5" s="30">
        <v>42.1</v>
      </c>
      <c r="O5" s="30">
        <v>46.1</v>
      </c>
      <c r="R5" s="30">
        <v>62</v>
      </c>
      <c r="S5" s="30">
        <v>157</v>
      </c>
      <c r="T5" s="30">
        <v>3.45</v>
      </c>
      <c r="U5" s="30">
        <v>2.7</v>
      </c>
    </row>
    <row r="6" spans="1:21" ht="15.6" thickBot="1" x14ac:dyDescent="0.35">
      <c r="A6" s="31" t="s">
        <v>55</v>
      </c>
      <c r="B6" s="32">
        <v>23.3</v>
      </c>
      <c r="C6" s="32">
        <v>28.6</v>
      </c>
      <c r="D6" s="31">
        <v>34.5</v>
      </c>
      <c r="E6" s="32">
        <v>41.5</v>
      </c>
      <c r="F6" s="32">
        <v>48</v>
      </c>
      <c r="G6" s="32">
        <v>52.8</v>
      </c>
      <c r="I6" s="31" t="s">
        <v>55</v>
      </c>
      <c r="J6" s="32">
        <v>17</v>
      </c>
      <c r="K6" s="32">
        <v>21.3</v>
      </c>
      <c r="L6" s="31">
        <v>26.6</v>
      </c>
      <c r="M6" s="32">
        <v>31.9</v>
      </c>
      <c r="N6" s="32">
        <v>36.4</v>
      </c>
      <c r="O6" s="32">
        <v>39.5</v>
      </c>
      <c r="R6" s="32">
        <v>63</v>
      </c>
      <c r="S6" s="32">
        <v>160</v>
      </c>
      <c r="T6" s="32">
        <v>3.55</v>
      </c>
      <c r="U6" s="32">
        <v>2.8</v>
      </c>
    </row>
    <row r="7" spans="1:21" ht="15.6" thickBot="1" x14ac:dyDescent="0.35">
      <c r="A7" s="29" t="s">
        <v>56</v>
      </c>
      <c r="B7" s="30">
        <v>19.3</v>
      </c>
      <c r="C7" s="30">
        <v>24.3</v>
      </c>
      <c r="D7" s="29">
        <v>30.2</v>
      </c>
      <c r="E7" s="30">
        <v>36.299999999999997</v>
      </c>
      <c r="F7" s="30">
        <v>42.1</v>
      </c>
      <c r="G7" s="30">
        <v>46.4</v>
      </c>
      <c r="I7" s="29" t="s">
        <v>56</v>
      </c>
      <c r="J7" s="30">
        <v>14.7</v>
      </c>
      <c r="K7" s="30">
        <v>18.2</v>
      </c>
      <c r="L7" s="29">
        <v>22.8</v>
      </c>
      <c r="M7" s="30">
        <v>27.2</v>
      </c>
      <c r="N7" s="30">
        <v>31.3</v>
      </c>
      <c r="O7" s="30">
        <v>34.6</v>
      </c>
      <c r="R7" s="30">
        <v>64</v>
      </c>
      <c r="S7" s="30">
        <v>163</v>
      </c>
      <c r="T7" s="30">
        <v>3.7</v>
      </c>
      <c r="U7" s="30">
        <v>2.9</v>
      </c>
    </row>
    <row r="8" spans="1:21" ht="15.6" thickBot="1" x14ac:dyDescent="0.35">
      <c r="A8" s="31" t="s">
        <v>57</v>
      </c>
      <c r="B8" s="32">
        <v>16.5</v>
      </c>
      <c r="C8" s="32">
        <v>20.2</v>
      </c>
      <c r="D8" s="31">
        <v>25.2</v>
      </c>
      <c r="E8" s="32">
        <v>30.5</v>
      </c>
      <c r="F8" s="32">
        <v>36.299999999999997</v>
      </c>
      <c r="G8" s="32">
        <v>41.2</v>
      </c>
      <c r="I8" s="31" t="s">
        <v>57</v>
      </c>
      <c r="J8" s="32">
        <v>13</v>
      </c>
      <c r="K8" s="32">
        <v>16.100000000000001</v>
      </c>
      <c r="L8" s="31">
        <v>20.399999999999999</v>
      </c>
      <c r="M8" s="32">
        <v>24</v>
      </c>
      <c r="N8" s="32">
        <v>27.7</v>
      </c>
      <c r="O8" s="32">
        <v>30.7</v>
      </c>
      <c r="R8" s="32">
        <v>65</v>
      </c>
      <c r="S8" s="32">
        <v>165</v>
      </c>
      <c r="T8" s="32">
        <v>3.8</v>
      </c>
      <c r="U8" s="32">
        <v>3</v>
      </c>
    </row>
    <row r="9" spans="1:21" ht="15.6" thickBot="1" x14ac:dyDescent="0.35">
      <c r="R9" s="30">
        <v>66</v>
      </c>
      <c r="S9" s="30">
        <v>168</v>
      </c>
      <c r="T9" s="30">
        <v>3.95</v>
      </c>
      <c r="U9" s="30">
        <v>3.05</v>
      </c>
    </row>
    <row r="10" spans="1:21" ht="15.6" thickBot="1" x14ac:dyDescent="0.35">
      <c r="R10" s="32">
        <v>67</v>
      </c>
      <c r="S10" s="32">
        <v>170</v>
      </c>
      <c r="T10" s="32">
        <v>4.05</v>
      </c>
      <c r="U10" s="32">
        <v>3.15</v>
      </c>
    </row>
    <row r="11" spans="1:21" ht="15.6" thickBot="1" x14ac:dyDescent="0.35">
      <c r="R11" s="30">
        <v>68</v>
      </c>
      <c r="S11" s="30">
        <v>173</v>
      </c>
      <c r="T11" s="30">
        <v>4.2</v>
      </c>
      <c r="U11" s="30">
        <v>3.25</v>
      </c>
    </row>
    <row r="12" spans="1:21" ht="15.6" thickBot="1" x14ac:dyDescent="0.35">
      <c r="R12" s="32">
        <v>69</v>
      </c>
      <c r="S12" s="32">
        <v>175</v>
      </c>
      <c r="T12" s="32">
        <v>4.3</v>
      </c>
      <c r="U12" s="32">
        <v>3.35</v>
      </c>
    </row>
    <row r="13" spans="1:21" ht="15.6" thickBot="1" x14ac:dyDescent="0.35">
      <c r="R13" s="30">
        <v>70</v>
      </c>
      <c r="S13" s="30">
        <v>178</v>
      </c>
      <c r="T13" s="30">
        <v>4.45</v>
      </c>
      <c r="U13" s="30">
        <v>3.45</v>
      </c>
    </row>
    <row r="14" spans="1:21" ht="15.6" thickBot="1" x14ac:dyDescent="0.35">
      <c r="R14" s="32">
        <v>71</v>
      </c>
      <c r="S14" s="32">
        <v>180</v>
      </c>
      <c r="T14" s="32">
        <v>4.55</v>
      </c>
      <c r="U14" s="32">
        <v>3.5</v>
      </c>
    </row>
    <row r="15" spans="1:21" ht="15.6" thickBot="1" x14ac:dyDescent="0.35">
      <c r="C15" s="46" t="s">
        <v>158</v>
      </c>
      <c r="D15" s="46"/>
      <c r="E15" s="46"/>
      <c r="F15" s="46"/>
      <c r="G15" s="46"/>
      <c r="H15" s="46"/>
      <c r="I15" s="46"/>
      <c r="J15" s="46"/>
      <c r="K15" s="46"/>
      <c r="L15" s="46"/>
      <c r="M15" s="46"/>
      <c r="Q15" t="s">
        <v>65</v>
      </c>
      <c r="R15" s="30">
        <v>72</v>
      </c>
      <c r="S15" s="30">
        <v>183</v>
      </c>
      <c r="T15" s="30">
        <v>4.7</v>
      </c>
      <c r="U15" s="30">
        <v>3.6</v>
      </c>
    </row>
    <row r="16" spans="1:21" ht="15.6" thickBot="1" x14ac:dyDescent="0.35">
      <c r="C16" s="46"/>
      <c r="D16" s="46"/>
      <c r="E16" s="46"/>
      <c r="F16" s="46"/>
      <c r="G16" s="46"/>
      <c r="H16" s="46"/>
      <c r="I16" s="46"/>
      <c r="J16" s="46"/>
      <c r="K16" s="46"/>
      <c r="L16" s="46"/>
      <c r="M16" s="46"/>
      <c r="R16" s="32">
        <v>73</v>
      </c>
      <c r="S16" s="32">
        <v>185</v>
      </c>
      <c r="T16" s="32">
        <v>4.8499999999999996</v>
      </c>
      <c r="U16" s="32">
        <v>3.7</v>
      </c>
    </row>
    <row r="17" spans="3:21" ht="15.6" thickBot="1" x14ac:dyDescent="0.35">
      <c r="C17" s="46"/>
      <c r="D17" s="46"/>
      <c r="E17" s="46"/>
      <c r="F17" s="46"/>
      <c r="G17" s="46"/>
      <c r="H17" s="46"/>
      <c r="I17" s="46"/>
      <c r="J17" s="46"/>
      <c r="K17" s="46"/>
      <c r="L17" s="46"/>
      <c r="M17" s="46"/>
      <c r="R17" s="30">
        <v>74</v>
      </c>
      <c r="S17" s="30">
        <v>188</v>
      </c>
      <c r="T17" s="30">
        <v>5</v>
      </c>
      <c r="U17" s="30">
        <v>3.8</v>
      </c>
    </row>
    <row r="18" spans="3:21" ht="15.6" thickBot="1" x14ac:dyDescent="0.35">
      <c r="C18" s="46"/>
      <c r="D18" s="46"/>
      <c r="E18" s="46"/>
      <c r="F18" s="46"/>
      <c r="G18" s="46"/>
      <c r="H18" s="46"/>
      <c r="I18" s="46"/>
      <c r="J18" s="46"/>
      <c r="K18" s="46"/>
      <c r="L18" s="46"/>
      <c r="M18" s="46"/>
      <c r="R18" s="32">
        <v>75</v>
      </c>
      <c r="S18" s="32">
        <v>190</v>
      </c>
      <c r="T18" s="32">
        <v>5.15</v>
      </c>
      <c r="U18" s="32">
        <v>3.9</v>
      </c>
    </row>
    <row r="21" spans="3:21" x14ac:dyDescent="0.3">
      <c r="R21" s="46" t="s">
        <v>159</v>
      </c>
      <c r="S21" s="46"/>
      <c r="T21" s="46"/>
      <c r="U21" s="46"/>
    </row>
    <row r="22" spans="3:21" ht="15" customHeight="1" x14ac:dyDescent="0.3">
      <c r="R22" s="46"/>
      <c r="S22" s="46"/>
      <c r="T22" s="46"/>
      <c r="U22" s="46"/>
    </row>
    <row r="23" spans="3:21" ht="46.8" customHeight="1" x14ac:dyDescent="0.3">
      <c r="R23" s="46"/>
      <c r="S23" s="46"/>
      <c r="T23" s="46"/>
      <c r="U23" s="46"/>
    </row>
  </sheetData>
  <mergeCells count="5">
    <mergeCell ref="R1:U1"/>
    <mergeCell ref="A1:G1"/>
    <mergeCell ref="I1:O1"/>
    <mergeCell ref="C15:M18"/>
    <mergeCell ref="R21:U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D710-1D27-4E2D-ABC6-4A0B32B00464}">
  <dimension ref="A1:Q21"/>
  <sheetViews>
    <sheetView workbookViewId="0">
      <selection activeCell="K11" sqref="K11"/>
    </sheetView>
  </sheetViews>
  <sheetFormatPr defaultRowHeight="14.4" x14ac:dyDescent="0.3"/>
  <sheetData>
    <row r="1" spans="1:17" ht="15" thickBot="1" x14ac:dyDescent="0.35">
      <c r="A1" s="47" t="s">
        <v>69</v>
      </c>
      <c r="B1" s="47"/>
      <c r="C1" s="47"/>
      <c r="J1" s="47" t="s">
        <v>73</v>
      </c>
      <c r="K1" s="47"/>
      <c r="L1" s="47"/>
      <c r="O1" s="43" t="s">
        <v>75</v>
      </c>
      <c r="P1" s="43"/>
      <c r="Q1" s="43"/>
    </row>
    <row r="2" spans="1:17" ht="45.6" thickBot="1" x14ac:dyDescent="0.35">
      <c r="A2" s="17" t="s">
        <v>12</v>
      </c>
      <c r="B2" s="17" t="s">
        <v>67</v>
      </c>
      <c r="C2" s="17" t="s">
        <v>68</v>
      </c>
      <c r="J2" s="17" t="s">
        <v>12</v>
      </c>
      <c r="K2" s="17" t="s">
        <v>71</v>
      </c>
      <c r="L2" s="17" t="s">
        <v>72</v>
      </c>
      <c r="O2" s="17" t="s">
        <v>12</v>
      </c>
      <c r="P2" s="17" t="s">
        <v>76</v>
      </c>
      <c r="Q2" s="17" t="s">
        <v>77</v>
      </c>
    </row>
    <row r="3" spans="1:17" ht="15.6" thickBot="1" x14ac:dyDescent="0.35">
      <c r="A3" s="14">
        <v>20</v>
      </c>
      <c r="B3" s="14">
        <v>48</v>
      </c>
      <c r="C3" s="14">
        <v>29</v>
      </c>
      <c r="J3" s="14">
        <v>20</v>
      </c>
      <c r="K3" s="14">
        <v>53</v>
      </c>
      <c r="L3" s="14">
        <v>35</v>
      </c>
      <c r="O3" s="17">
        <v>20</v>
      </c>
      <c r="P3" s="14">
        <v>4.3</v>
      </c>
      <c r="Q3" s="14">
        <v>3.2</v>
      </c>
    </row>
    <row r="4" spans="1:17" ht="15.6" thickBot="1" x14ac:dyDescent="0.35">
      <c r="A4" s="15">
        <v>25</v>
      </c>
      <c r="B4" s="15">
        <v>50</v>
      </c>
      <c r="C4" s="15">
        <v>30</v>
      </c>
      <c r="J4" s="15">
        <v>25</v>
      </c>
      <c r="K4" s="15">
        <v>51</v>
      </c>
      <c r="L4" s="15">
        <v>33.5</v>
      </c>
      <c r="O4" s="19">
        <v>25</v>
      </c>
      <c r="P4" s="15">
        <v>4.0999999999999996</v>
      </c>
      <c r="Q4" s="15">
        <v>3.1</v>
      </c>
    </row>
    <row r="5" spans="1:17" ht="15.6" thickBot="1" x14ac:dyDescent="0.35">
      <c r="A5" s="14">
        <v>30</v>
      </c>
      <c r="B5" s="14">
        <v>51</v>
      </c>
      <c r="C5" s="14">
        <v>31</v>
      </c>
      <c r="J5" s="14">
        <v>30</v>
      </c>
      <c r="K5" s="14">
        <v>49</v>
      </c>
      <c r="L5" s="14">
        <v>32</v>
      </c>
      <c r="O5" s="17">
        <v>30</v>
      </c>
      <c r="P5" s="14">
        <v>3.9</v>
      </c>
      <c r="Q5" s="14">
        <v>3</v>
      </c>
    </row>
    <row r="6" spans="1:17" ht="15.6" thickBot="1" x14ac:dyDescent="0.35">
      <c r="A6" s="15">
        <v>35</v>
      </c>
      <c r="B6" s="15">
        <v>50</v>
      </c>
      <c r="C6" s="15">
        <v>31</v>
      </c>
      <c r="J6" s="15">
        <v>35</v>
      </c>
      <c r="K6" s="15">
        <v>46.5</v>
      </c>
      <c r="L6" s="15">
        <v>30</v>
      </c>
      <c r="O6" s="19">
        <v>35</v>
      </c>
      <c r="P6" s="15">
        <v>3.7</v>
      </c>
      <c r="Q6" s="15">
        <v>2.85</v>
      </c>
    </row>
    <row r="7" spans="1:17" ht="15.6" thickBot="1" x14ac:dyDescent="0.35">
      <c r="A7" s="14">
        <v>40</v>
      </c>
      <c r="B7" s="14">
        <v>49</v>
      </c>
      <c r="C7" s="14">
        <v>30</v>
      </c>
      <c r="J7" s="14">
        <v>40</v>
      </c>
      <c r="K7" s="14">
        <v>44</v>
      </c>
      <c r="L7" s="14">
        <v>28</v>
      </c>
      <c r="O7" s="17">
        <v>40</v>
      </c>
      <c r="P7" s="14">
        <v>3.5</v>
      </c>
      <c r="Q7" s="14">
        <v>2.7</v>
      </c>
    </row>
    <row r="8" spans="1:17" ht="15.6" thickBot="1" x14ac:dyDescent="0.35">
      <c r="A8" s="15">
        <v>45</v>
      </c>
      <c r="B8" s="15">
        <v>47</v>
      </c>
      <c r="C8" s="15">
        <v>29</v>
      </c>
      <c r="J8" s="15">
        <v>45</v>
      </c>
      <c r="K8" s="15">
        <v>41.5</v>
      </c>
      <c r="L8" s="15">
        <v>26</v>
      </c>
      <c r="O8" s="19">
        <v>45</v>
      </c>
      <c r="P8" s="15">
        <v>3.3</v>
      </c>
      <c r="Q8" s="15">
        <v>2.5499999999999998</v>
      </c>
    </row>
    <row r="9" spans="1:17" ht="15.6" thickBot="1" x14ac:dyDescent="0.35">
      <c r="A9" s="14">
        <v>50</v>
      </c>
      <c r="B9" s="14">
        <v>46</v>
      </c>
      <c r="C9" s="14">
        <v>28</v>
      </c>
      <c r="J9" s="14">
        <v>50</v>
      </c>
      <c r="K9" s="14">
        <v>39</v>
      </c>
      <c r="L9" s="14">
        <v>24</v>
      </c>
      <c r="O9" s="17">
        <v>50</v>
      </c>
      <c r="P9" s="14">
        <v>3.1</v>
      </c>
      <c r="Q9" s="14">
        <v>2.4</v>
      </c>
    </row>
    <row r="10" spans="1:17" ht="15.6" thickBot="1" x14ac:dyDescent="0.35">
      <c r="A10" s="15">
        <v>55</v>
      </c>
      <c r="B10" s="15">
        <v>44</v>
      </c>
      <c r="C10" s="15">
        <v>27</v>
      </c>
      <c r="J10" s="15">
        <v>55</v>
      </c>
      <c r="K10" s="15">
        <v>35.5</v>
      </c>
      <c r="L10" s="15">
        <v>21.5</v>
      </c>
      <c r="O10" s="19">
        <v>55</v>
      </c>
      <c r="P10" s="15">
        <v>2.9</v>
      </c>
      <c r="Q10" s="15">
        <v>2.25</v>
      </c>
    </row>
    <row r="11" spans="1:17" ht="15.6" thickBot="1" x14ac:dyDescent="0.35">
      <c r="A11" s="14">
        <v>60</v>
      </c>
      <c r="B11" s="14">
        <v>42</v>
      </c>
      <c r="C11" s="14">
        <v>25</v>
      </c>
      <c r="J11" s="14">
        <v>60</v>
      </c>
      <c r="K11" s="14">
        <v>32</v>
      </c>
      <c r="L11" s="14">
        <v>19</v>
      </c>
      <c r="O11" s="17">
        <v>60</v>
      </c>
      <c r="P11" s="14">
        <v>2.7</v>
      </c>
      <c r="Q11" s="14">
        <v>2.1</v>
      </c>
    </row>
    <row r="12" spans="1:17" ht="15.6" thickBot="1" x14ac:dyDescent="0.35">
      <c r="A12" s="15">
        <v>65</v>
      </c>
      <c r="B12" s="15">
        <v>39</v>
      </c>
      <c r="C12" s="15">
        <v>23</v>
      </c>
      <c r="J12" s="15">
        <v>65</v>
      </c>
      <c r="K12" s="15">
        <v>28.5</v>
      </c>
      <c r="L12" s="15">
        <v>16.5</v>
      </c>
      <c r="O12" s="19">
        <v>65</v>
      </c>
      <c r="P12" s="15">
        <v>2.5</v>
      </c>
      <c r="Q12" s="15">
        <v>1.95</v>
      </c>
    </row>
    <row r="13" spans="1:17" ht="15.6" thickBot="1" x14ac:dyDescent="0.35">
      <c r="A13" s="14">
        <v>70</v>
      </c>
      <c r="B13" s="14">
        <v>36</v>
      </c>
      <c r="C13" s="14">
        <v>21</v>
      </c>
      <c r="J13" s="14">
        <v>70</v>
      </c>
      <c r="K13" s="14">
        <v>25</v>
      </c>
      <c r="L13" s="14">
        <v>14</v>
      </c>
      <c r="O13" s="17">
        <v>70</v>
      </c>
      <c r="P13" s="14">
        <v>2.2999999999999998</v>
      </c>
      <c r="Q13" s="14">
        <v>1.8</v>
      </c>
    </row>
    <row r="14" spans="1:17" ht="15.6" thickBot="1" x14ac:dyDescent="0.35">
      <c r="A14" s="15">
        <v>75</v>
      </c>
      <c r="B14" s="15">
        <v>33</v>
      </c>
      <c r="C14" s="15">
        <v>19</v>
      </c>
      <c r="J14" s="15">
        <v>75</v>
      </c>
      <c r="K14" s="15">
        <v>21.5</v>
      </c>
      <c r="L14" s="15">
        <v>12</v>
      </c>
      <c r="O14" s="19">
        <v>75</v>
      </c>
      <c r="P14" s="15">
        <v>2.1</v>
      </c>
      <c r="Q14" s="15">
        <v>1.65</v>
      </c>
    </row>
    <row r="15" spans="1:17" ht="15.6" thickBot="1" x14ac:dyDescent="0.35">
      <c r="A15" s="14">
        <v>80</v>
      </c>
      <c r="B15" s="14">
        <v>30</v>
      </c>
      <c r="C15" s="14">
        <v>17</v>
      </c>
      <c r="J15" s="14">
        <v>80</v>
      </c>
      <c r="K15" s="14">
        <v>18</v>
      </c>
      <c r="L15" s="14">
        <v>10</v>
      </c>
      <c r="O15" s="17">
        <v>80</v>
      </c>
      <c r="P15" s="14">
        <v>1.9</v>
      </c>
      <c r="Q15" s="14">
        <v>1.5</v>
      </c>
    </row>
    <row r="16" spans="1:17" ht="15.6" thickBot="1" x14ac:dyDescent="0.35">
      <c r="A16" s="15">
        <v>85</v>
      </c>
      <c r="B16" s="15">
        <v>26</v>
      </c>
      <c r="C16" s="15">
        <v>14</v>
      </c>
      <c r="O16" s="19">
        <v>85</v>
      </c>
      <c r="P16" s="15">
        <v>1.7</v>
      </c>
      <c r="Q16" s="15">
        <v>1.35</v>
      </c>
    </row>
    <row r="17" spans="1:17" ht="15.6" thickBot="1" x14ac:dyDescent="0.35">
      <c r="O17" s="17">
        <v>90</v>
      </c>
      <c r="P17" s="14">
        <v>1.5</v>
      </c>
      <c r="Q17" s="14">
        <v>1.2</v>
      </c>
    </row>
    <row r="18" spans="1:17" ht="87" customHeight="1" x14ac:dyDescent="0.3">
      <c r="A18" s="46" t="s">
        <v>70</v>
      </c>
      <c r="B18" s="46"/>
      <c r="C18" s="46"/>
      <c r="J18" s="48" t="s">
        <v>74</v>
      </c>
      <c r="K18" s="48"/>
      <c r="L18" s="48"/>
      <c r="O18" s="49" t="s">
        <v>78</v>
      </c>
      <c r="P18" s="46"/>
      <c r="Q18" s="46"/>
    </row>
    <row r="19" spans="1:17" ht="23.4" customHeight="1" x14ac:dyDescent="0.3">
      <c r="J19" s="46" t="s">
        <v>160</v>
      </c>
      <c r="K19" s="46"/>
      <c r="L19" s="46"/>
      <c r="M19" s="38"/>
      <c r="O19" s="46" t="s">
        <v>161</v>
      </c>
      <c r="P19" s="46"/>
      <c r="Q19" s="46"/>
    </row>
    <row r="20" spans="1:17" ht="55.8" customHeight="1" x14ac:dyDescent="0.3">
      <c r="J20" s="46"/>
      <c r="K20" s="46"/>
      <c r="L20" s="46"/>
      <c r="M20" s="38"/>
      <c r="O20" s="46"/>
      <c r="P20" s="46"/>
      <c r="Q20" s="46"/>
    </row>
    <row r="21" spans="1:17" ht="28.8" customHeight="1" x14ac:dyDescent="0.3"/>
  </sheetData>
  <mergeCells count="8">
    <mergeCell ref="J19:L20"/>
    <mergeCell ref="O19:Q20"/>
    <mergeCell ref="A1:C1"/>
    <mergeCell ref="J1:L1"/>
    <mergeCell ref="J18:L18"/>
    <mergeCell ref="A18:C18"/>
    <mergeCell ref="O1:Q1"/>
    <mergeCell ref="O18:Q18"/>
  </mergeCells>
  <hyperlinks>
    <hyperlink ref="J18" r:id="rId1" xr:uid="{D677EA0F-9DFB-4DAB-B7B2-DBCE326558DF}"/>
    <hyperlink ref="O18" r:id="rId2" xr:uid="{EBEFE167-2CCD-4E78-80C6-726EB1B2AF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32CF-B89C-47F8-8E82-6200207C74D8}">
  <dimension ref="A1:T34"/>
  <sheetViews>
    <sheetView topLeftCell="A13" zoomScale="85" zoomScaleNormal="85" workbookViewId="0">
      <selection activeCell="B26" sqref="B26"/>
    </sheetView>
  </sheetViews>
  <sheetFormatPr defaultRowHeight="14.4" x14ac:dyDescent="0.3"/>
  <cols>
    <col min="2" max="2" width="14" customWidth="1"/>
    <col min="3" max="3" width="13.6640625" customWidth="1"/>
    <col min="4" max="4" width="15.33203125" customWidth="1"/>
    <col min="5" max="5" width="14.21875" customWidth="1"/>
    <col min="10" max="10" width="21" customWidth="1"/>
    <col min="14" max="14" width="19.33203125" customWidth="1"/>
    <col min="15" max="15" width="23.6640625" customWidth="1"/>
  </cols>
  <sheetData>
    <row r="1" spans="1:15" ht="15" thickBot="1" x14ac:dyDescent="0.35">
      <c r="A1" s="47" t="s">
        <v>81</v>
      </c>
      <c r="B1" s="47"/>
      <c r="C1" s="47"/>
      <c r="E1" s="47" t="s">
        <v>84</v>
      </c>
      <c r="F1" s="47"/>
      <c r="G1" s="47"/>
      <c r="I1" s="47" t="s">
        <v>85</v>
      </c>
      <c r="J1" s="47"/>
      <c r="K1" s="47"/>
      <c r="M1" s="47" t="s">
        <v>88</v>
      </c>
      <c r="N1" s="47"/>
      <c r="O1" s="47"/>
    </row>
    <row r="2" spans="1:15" ht="30.6" thickBot="1" x14ac:dyDescent="0.35">
      <c r="A2" s="17" t="s">
        <v>12</v>
      </c>
      <c r="B2" s="17" t="s">
        <v>79</v>
      </c>
      <c r="C2" s="17" t="s">
        <v>80</v>
      </c>
      <c r="E2" s="17" t="s">
        <v>12</v>
      </c>
      <c r="F2" s="17" t="s">
        <v>82</v>
      </c>
      <c r="G2" s="17" t="s">
        <v>83</v>
      </c>
      <c r="I2" s="17" t="s">
        <v>12</v>
      </c>
      <c r="J2" s="17" t="s">
        <v>82</v>
      </c>
      <c r="K2" s="17" t="s">
        <v>83</v>
      </c>
      <c r="M2" s="17" t="s">
        <v>12</v>
      </c>
      <c r="N2" s="17" t="s">
        <v>86</v>
      </c>
      <c r="O2" s="17" t="s">
        <v>87</v>
      </c>
    </row>
    <row r="3" spans="1:15" ht="15.6" thickBot="1" x14ac:dyDescent="0.35">
      <c r="A3" s="17">
        <v>20</v>
      </c>
      <c r="B3" s="14">
        <v>1.36</v>
      </c>
      <c r="C3" s="14">
        <v>1.34</v>
      </c>
      <c r="E3">
        <v>18</v>
      </c>
      <c r="F3">
        <v>3</v>
      </c>
      <c r="G3">
        <v>3</v>
      </c>
      <c r="I3" s="17">
        <v>20</v>
      </c>
      <c r="J3" s="14">
        <v>45</v>
      </c>
      <c r="K3" s="14">
        <v>45</v>
      </c>
      <c r="M3" s="17">
        <v>20</v>
      </c>
      <c r="N3" s="14">
        <v>39</v>
      </c>
      <c r="O3" s="14">
        <v>42</v>
      </c>
    </row>
    <row r="4" spans="1:15" ht="15.6" thickBot="1" x14ac:dyDescent="0.35">
      <c r="A4" s="19">
        <v>25</v>
      </c>
      <c r="B4" s="15">
        <v>1.36</v>
      </c>
      <c r="C4" s="15">
        <v>1.34</v>
      </c>
      <c r="E4" s="17">
        <v>20</v>
      </c>
      <c r="F4" s="14">
        <v>5</v>
      </c>
      <c r="G4" s="14">
        <v>5.5</v>
      </c>
      <c r="I4" s="19">
        <v>25</v>
      </c>
      <c r="J4" s="15">
        <v>44</v>
      </c>
      <c r="K4" s="15">
        <v>44</v>
      </c>
      <c r="M4" s="19">
        <v>25</v>
      </c>
      <c r="N4" s="15">
        <v>38</v>
      </c>
      <c r="O4" s="15">
        <v>41</v>
      </c>
    </row>
    <row r="5" spans="1:15" ht="15.6" thickBot="1" x14ac:dyDescent="0.35">
      <c r="A5" s="17">
        <v>30</v>
      </c>
      <c r="B5" s="14">
        <v>1.43</v>
      </c>
      <c r="C5" s="14">
        <v>1.34</v>
      </c>
      <c r="E5" s="19">
        <v>25</v>
      </c>
      <c r="F5" s="15">
        <v>5.2</v>
      </c>
      <c r="G5" s="15">
        <v>5.8</v>
      </c>
      <c r="I5" s="17">
        <v>30</v>
      </c>
      <c r="J5" s="14">
        <v>43</v>
      </c>
      <c r="K5" s="14">
        <v>43</v>
      </c>
      <c r="M5" s="17">
        <v>30</v>
      </c>
      <c r="N5" s="14">
        <v>37</v>
      </c>
      <c r="O5" s="14">
        <v>40</v>
      </c>
    </row>
    <row r="6" spans="1:15" ht="15.6" thickBot="1" x14ac:dyDescent="0.35">
      <c r="A6" s="19">
        <v>35</v>
      </c>
      <c r="B6" s="14">
        <v>1.43</v>
      </c>
      <c r="C6" s="15">
        <v>1.34</v>
      </c>
      <c r="E6" s="17">
        <v>30</v>
      </c>
      <c r="F6" s="14">
        <v>5.5</v>
      </c>
      <c r="G6" s="14">
        <v>6</v>
      </c>
      <c r="I6" s="19">
        <v>35</v>
      </c>
      <c r="J6" s="15">
        <v>41</v>
      </c>
      <c r="K6" s="15">
        <v>41</v>
      </c>
      <c r="M6" s="19">
        <v>35</v>
      </c>
      <c r="N6" s="15">
        <v>36</v>
      </c>
      <c r="O6" s="15">
        <v>38</v>
      </c>
    </row>
    <row r="7" spans="1:15" ht="15.6" thickBot="1" x14ac:dyDescent="0.35">
      <c r="A7" s="17">
        <v>40</v>
      </c>
      <c r="B7" s="14">
        <v>1.43</v>
      </c>
      <c r="C7" s="14">
        <v>1.39</v>
      </c>
      <c r="E7" s="19">
        <v>35</v>
      </c>
      <c r="F7" s="15">
        <v>5.8</v>
      </c>
      <c r="G7" s="15">
        <v>6.2</v>
      </c>
      <c r="I7" s="17">
        <v>40</v>
      </c>
      <c r="J7" s="14">
        <v>39</v>
      </c>
      <c r="K7" s="14">
        <v>39</v>
      </c>
      <c r="M7" s="17">
        <v>40</v>
      </c>
      <c r="N7" s="14">
        <v>34</v>
      </c>
      <c r="O7" s="14">
        <v>37</v>
      </c>
    </row>
    <row r="8" spans="1:15" ht="15.6" thickBot="1" x14ac:dyDescent="0.35">
      <c r="A8" s="19">
        <v>45</v>
      </c>
      <c r="B8" s="14">
        <v>1.43</v>
      </c>
      <c r="C8" s="15">
        <v>1.39</v>
      </c>
      <c r="E8" s="17">
        <v>40</v>
      </c>
      <c r="F8" s="14">
        <v>6</v>
      </c>
      <c r="G8" s="14">
        <v>6.5</v>
      </c>
      <c r="I8" s="19">
        <v>45</v>
      </c>
      <c r="J8" s="15">
        <v>37</v>
      </c>
      <c r="K8" s="15">
        <v>37</v>
      </c>
      <c r="M8" s="19">
        <v>45</v>
      </c>
      <c r="N8" s="15">
        <v>32.5</v>
      </c>
      <c r="O8" s="15">
        <v>35.5</v>
      </c>
    </row>
    <row r="9" spans="1:15" ht="15.6" thickBot="1" x14ac:dyDescent="0.35">
      <c r="A9" s="17">
        <v>50</v>
      </c>
      <c r="B9" s="14">
        <v>1.43</v>
      </c>
      <c r="C9" s="14">
        <v>1.31</v>
      </c>
      <c r="E9" s="19">
        <v>45</v>
      </c>
      <c r="F9" s="15">
        <v>6.5</v>
      </c>
      <c r="G9" s="15">
        <v>7</v>
      </c>
      <c r="I9" s="17">
        <v>50</v>
      </c>
      <c r="J9" s="14">
        <v>35</v>
      </c>
      <c r="K9" s="14">
        <v>35</v>
      </c>
      <c r="M9" s="17">
        <v>50</v>
      </c>
      <c r="N9" s="14">
        <v>31</v>
      </c>
      <c r="O9" s="14">
        <v>34</v>
      </c>
    </row>
    <row r="10" spans="1:15" ht="15.6" thickBot="1" x14ac:dyDescent="0.35">
      <c r="A10" s="19">
        <v>55</v>
      </c>
      <c r="B10" s="14">
        <v>1.43</v>
      </c>
      <c r="C10" s="15">
        <v>1.31</v>
      </c>
      <c r="E10" s="17">
        <v>50</v>
      </c>
      <c r="F10" s="14">
        <v>7</v>
      </c>
      <c r="G10" s="14">
        <v>7.5</v>
      </c>
      <c r="I10" s="19">
        <v>55</v>
      </c>
      <c r="J10" s="15">
        <v>33</v>
      </c>
      <c r="K10" s="15">
        <v>32</v>
      </c>
      <c r="M10" s="19">
        <v>55</v>
      </c>
      <c r="N10" s="15">
        <v>29.5</v>
      </c>
      <c r="O10" s="15">
        <v>32.5</v>
      </c>
    </row>
    <row r="11" spans="1:15" ht="15.6" thickBot="1" x14ac:dyDescent="0.35">
      <c r="A11" s="17">
        <v>60</v>
      </c>
      <c r="B11" s="14">
        <v>1.33</v>
      </c>
      <c r="C11" s="14">
        <v>1.24</v>
      </c>
      <c r="E11" s="19">
        <v>55</v>
      </c>
      <c r="F11" s="15">
        <v>7.5</v>
      </c>
      <c r="G11" s="15">
        <v>8</v>
      </c>
      <c r="I11" s="17">
        <v>60</v>
      </c>
      <c r="J11" s="14">
        <v>30</v>
      </c>
      <c r="K11" s="14">
        <v>29</v>
      </c>
      <c r="M11" s="17">
        <v>60</v>
      </c>
      <c r="N11" s="14">
        <v>28</v>
      </c>
      <c r="O11" s="14">
        <v>31</v>
      </c>
    </row>
    <row r="12" spans="1:15" ht="15.6" thickBot="1" x14ac:dyDescent="0.35">
      <c r="A12" s="19">
        <v>65</v>
      </c>
      <c r="B12" s="14">
        <v>1.33</v>
      </c>
      <c r="C12" s="15">
        <v>1.24</v>
      </c>
      <c r="E12" s="17">
        <v>60</v>
      </c>
      <c r="F12" s="14">
        <v>8</v>
      </c>
      <c r="G12" s="14">
        <v>8.5</v>
      </c>
      <c r="I12" s="19">
        <v>65</v>
      </c>
      <c r="J12" s="15">
        <v>25</v>
      </c>
      <c r="K12" s="15">
        <v>22</v>
      </c>
      <c r="M12" s="19">
        <v>65</v>
      </c>
      <c r="N12" s="15">
        <v>26.5</v>
      </c>
      <c r="O12" s="15">
        <v>30</v>
      </c>
    </row>
    <row r="13" spans="1:15" ht="15.6" thickBot="1" x14ac:dyDescent="0.35">
      <c r="A13" s="17">
        <v>70</v>
      </c>
      <c r="B13" s="14">
        <v>1.26</v>
      </c>
      <c r="C13" s="14">
        <v>1.1299999999999999</v>
      </c>
      <c r="E13" s="19">
        <v>65</v>
      </c>
      <c r="F13" s="15">
        <v>8.5</v>
      </c>
      <c r="G13" s="15">
        <v>9</v>
      </c>
      <c r="I13" s="17">
        <v>70</v>
      </c>
      <c r="J13" s="14">
        <v>20</v>
      </c>
      <c r="K13" s="14">
        <v>16</v>
      </c>
      <c r="M13" s="17">
        <v>70</v>
      </c>
      <c r="N13" s="14">
        <v>25</v>
      </c>
      <c r="O13" s="14">
        <v>29</v>
      </c>
    </row>
    <row r="14" spans="1:15" ht="15.6" thickBot="1" x14ac:dyDescent="0.35">
      <c r="A14" s="19">
        <v>75</v>
      </c>
      <c r="B14" s="14">
        <v>1.26</v>
      </c>
      <c r="C14" s="15">
        <v>1.1299999999999999</v>
      </c>
      <c r="E14" s="17">
        <v>70</v>
      </c>
      <c r="F14" s="14">
        <v>9</v>
      </c>
      <c r="G14" s="14">
        <v>9.5</v>
      </c>
      <c r="I14" s="19">
        <v>75</v>
      </c>
      <c r="J14" s="15">
        <v>15</v>
      </c>
      <c r="K14" s="15">
        <v>11</v>
      </c>
      <c r="M14" s="19">
        <v>75</v>
      </c>
      <c r="N14" s="15">
        <v>23.5</v>
      </c>
      <c r="O14" s="15">
        <v>27.5</v>
      </c>
    </row>
    <row r="15" spans="1:15" ht="15.6" thickBot="1" x14ac:dyDescent="0.35">
      <c r="A15" s="17">
        <v>80</v>
      </c>
      <c r="B15" s="14">
        <v>1.26</v>
      </c>
      <c r="C15" s="14">
        <v>1.1299999999999999</v>
      </c>
      <c r="E15" s="19">
        <v>75</v>
      </c>
      <c r="F15" s="15">
        <v>9.5</v>
      </c>
      <c r="G15" s="15">
        <v>10</v>
      </c>
      <c r="I15" s="17">
        <v>80</v>
      </c>
      <c r="J15" s="14">
        <v>10</v>
      </c>
      <c r="K15" s="14">
        <v>7</v>
      </c>
      <c r="M15" s="17">
        <v>80</v>
      </c>
      <c r="N15" s="14">
        <v>22</v>
      </c>
      <c r="O15" s="14">
        <v>26</v>
      </c>
    </row>
    <row r="16" spans="1:15" ht="15.6" thickBot="1" x14ac:dyDescent="0.35">
      <c r="A16" s="19"/>
      <c r="B16" s="14"/>
      <c r="C16" s="15"/>
      <c r="E16" s="17">
        <v>80</v>
      </c>
      <c r="F16" s="14">
        <v>10</v>
      </c>
      <c r="G16" s="14">
        <v>11</v>
      </c>
      <c r="I16" s="19">
        <v>85</v>
      </c>
      <c r="J16" s="15">
        <v>7</v>
      </c>
      <c r="K16" s="15">
        <v>5</v>
      </c>
      <c r="M16" s="19">
        <v>85</v>
      </c>
      <c r="N16" s="15">
        <v>20.5</v>
      </c>
      <c r="O16" s="15">
        <v>25</v>
      </c>
    </row>
    <row r="17" spans="1:20" ht="15.6" thickBot="1" x14ac:dyDescent="0.35">
      <c r="A17" s="17"/>
      <c r="B17" s="14"/>
      <c r="C17" s="14"/>
      <c r="E17" s="19">
        <v>85</v>
      </c>
      <c r="F17" s="15">
        <v>11</v>
      </c>
      <c r="G17" s="15">
        <v>12</v>
      </c>
      <c r="I17" s="17">
        <v>90</v>
      </c>
      <c r="J17" s="14">
        <v>5</v>
      </c>
      <c r="K17" s="14">
        <v>3</v>
      </c>
      <c r="M17" s="17">
        <v>90</v>
      </c>
      <c r="N17" s="14">
        <v>19</v>
      </c>
      <c r="O17" s="14">
        <v>24</v>
      </c>
    </row>
    <row r="18" spans="1:20" ht="15.6" thickBot="1" x14ac:dyDescent="0.35">
      <c r="E18" s="17">
        <v>90</v>
      </c>
      <c r="F18" s="14">
        <v>12</v>
      </c>
      <c r="G18" s="14">
        <v>13</v>
      </c>
    </row>
    <row r="19" spans="1:20" x14ac:dyDescent="0.3">
      <c r="A19" s="46"/>
      <c r="B19" s="46"/>
      <c r="C19" s="46"/>
      <c r="E19" s="52" t="s">
        <v>183</v>
      </c>
      <c r="F19" s="52"/>
      <c r="G19" s="52"/>
    </row>
    <row r="20" spans="1:20" ht="76.8" customHeight="1" x14ac:dyDescent="0.3">
      <c r="A20" s="46"/>
      <c r="B20" s="46"/>
      <c r="C20" s="46"/>
      <c r="E20" s="46"/>
      <c r="F20" s="46"/>
      <c r="G20" s="46"/>
    </row>
    <row r="21" spans="1:20" x14ac:dyDescent="0.3">
      <c r="A21" s="46"/>
      <c r="B21" s="46"/>
      <c r="C21" s="46"/>
    </row>
    <row r="24" spans="1:20" ht="15" thickBot="1" x14ac:dyDescent="0.35">
      <c r="A24" s="47" t="s">
        <v>173</v>
      </c>
      <c r="B24" s="47"/>
      <c r="C24" s="47"/>
      <c r="D24" s="47"/>
      <c r="E24" s="47"/>
      <c r="H24" s="51" t="s">
        <v>181</v>
      </c>
      <c r="I24" s="51"/>
      <c r="J24" s="51"/>
      <c r="M24" s="47" t="s">
        <v>199</v>
      </c>
      <c r="N24" s="47"/>
      <c r="O24" s="47"/>
      <c r="R24" s="47" t="s">
        <v>202</v>
      </c>
      <c r="S24" s="47"/>
      <c r="T24" s="47"/>
    </row>
    <row r="25" spans="1:20" ht="75.599999999999994" customHeight="1" thickBot="1" x14ac:dyDescent="0.35">
      <c r="A25" s="39" t="s">
        <v>45</v>
      </c>
      <c r="B25" s="39" t="s">
        <v>162</v>
      </c>
      <c r="C25" s="39" t="s">
        <v>163</v>
      </c>
      <c r="D25" s="39" t="s">
        <v>164</v>
      </c>
      <c r="E25" s="39" t="s">
        <v>165</v>
      </c>
      <c r="H25" s="39" t="s">
        <v>45</v>
      </c>
      <c r="I25" s="39" t="s">
        <v>175</v>
      </c>
      <c r="J25" s="39" t="s">
        <v>176</v>
      </c>
      <c r="M25" s="39" t="s">
        <v>45</v>
      </c>
      <c r="N25" s="39" t="s">
        <v>184</v>
      </c>
      <c r="O25" s="39" t="s">
        <v>185</v>
      </c>
      <c r="R25" s="39" t="s">
        <v>45</v>
      </c>
      <c r="S25" s="39" t="s">
        <v>86</v>
      </c>
      <c r="T25" s="39" t="s">
        <v>87</v>
      </c>
    </row>
    <row r="26" spans="1:20" ht="35.4" customHeight="1" thickBot="1" x14ac:dyDescent="0.35">
      <c r="A26" s="39" t="s">
        <v>166</v>
      </c>
      <c r="B26" s="40" t="s">
        <v>204</v>
      </c>
      <c r="C26" s="40">
        <v>2.5299999999999998</v>
      </c>
      <c r="D26" s="40" t="s">
        <v>211</v>
      </c>
      <c r="E26" s="40" t="s">
        <v>167</v>
      </c>
      <c r="H26" s="39" t="s">
        <v>171</v>
      </c>
      <c r="I26" s="40">
        <v>8.1</v>
      </c>
      <c r="J26" s="40" t="s">
        <v>177</v>
      </c>
      <c r="M26" s="39" t="s">
        <v>186</v>
      </c>
      <c r="N26" s="40" t="s">
        <v>187</v>
      </c>
      <c r="O26" s="40" t="s">
        <v>188</v>
      </c>
      <c r="R26" s="39" t="s">
        <v>166</v>
      </c>
      <c r="S26" s="40">
        <v>30</v>
      </c>
      <c r="T26" s="40">
        <v>33</v>
      </c>
    </row>
    <row r="27" spans="1:20" ht="35.4" customHeight="1" thickBot="1" x14ac:dyDescent="0.35">
      <c r="A27" s="41" t="s">
        <v>168</v>
      </c>
      <c r="B27" s="42" t="s">
        <v>205</v>
      </c>
      <c r="C27" s="42">
        <v>2.46</v>
      </c>
      <c r="D27" s="42" t="s">
        <v>211</v>
      </c>
      <c r="E27" s="42" t="s">
        <v>218</v>
      </c>
      <c r="H27" s="41" t="s">
        <v>172</v>
      </c>
      <c r="I27" s="42">
        <v>9.1999999999999993</v>
      </c>
      <c r="J27" s="42" t="s">
        <v>178</v>
      </c>
      <c r="M27" s="41" t="s">
        <v>169</v>
      </c>
      <c r="N27" s="42" t="s">
        <v>189</v>
      </c>
      <c r="O27" s="42" t="s">
        <v>190</v>
      </c>
      <c r="R27" s="41" t="s">
        <v>168</v>
      </c>
      <c r="S27" s="42">
        <v>28</v>
      </c>
      <c r="T27" s="42">
        <v>32</v>
      </c>
    </row>
    <row r="28" spans="1:20" ht="35.4" customHeight="1" thickBot="1" x14ac:dyDescent="0.35">
      <c r="A28" s="39" t="s">
        <v>169</v>
      </c>
      <c r="B28" s="40" t="s">
        <v>205</v>
      </c>
      <c r="C28" s="40" t="s">
        <v>208</v>
      </c>
      <c r="D28" s="40" t="s">
        <v>212</v>
      </c>
      <c r="E28" s="40">
        <v>2.12</v>
      </c>
      <c r="H28" s="39" t="s">
        <v>179</v>
      </c>
      <c r="I28" s="40">
        <v>11.3</v>
      </c>
      <c r="J28" s="40" t="s">
        <v>180</v>
      </c>
      <c r="M28" s="39" t="s">
        <v>170</v>
      </c>
      <c r="N28" s="40" t="s">
        <v>191</v>
      </c>
      <c r="O28" s="40" t="s">
        <v>192</v>
      </c>
      <c r="R28" s="39" t="s">
        <v>169</v>
      </c>
      <c r="S28" s="40">
        <v>24</v>
      </c>
      <c r="T28" s="40">
        <v>30</v>
      </c>
    </row>
    <row r="29" spans="1:20" ht="35.4" customHeight="1" thickBot="1" x14ac:dyDescent="0.35">
      <c r="A29" s="41" t="s">
        <v>170</v>
      </c>
      <c r="B29" s="42" t="s">
        <v>205</v>
      </c>
      <c r="C29" s="42">
        <v>2.14</v>
      </c>
      <c r="D29" s="42" t="s">
        <v>213</v>
      </c>
      <c r="E29" s="42" t="s">
        <v>217</v>
      </c>
      <c r="M29" s="41" t="s">
        <v>171</v>
      </c>
      <c r="N29" s="42" t="s">
        <v>193</v>
      </c>
      <c r="O29" s="42" t="s">
        <v>194</v>
      </c>
      <c r="R29" s="41" t="s">
        <v>170</v>
      </c>
      <c r="S29" s="42">
        <v>24</v>
      </c>
      <c r="T29" s="42">
        <v>30</v>
      </c>
    </row>
    <row r="30" spans="1:20" ht="35.4" customHeight="1" thickBot="1" x14ac:dyDescent="0.35">
      <c r="A30" s="39" t="s">
        <v>171</v>
      </c>
      <c r="B30" s="40" t="s">
        <v>206</v>
      </c>
      <c r="C30" s="40" t="s">
        <v>209</v>
      </c>
      <c r="D30" s="40" t="s">
        <v>214</v>
      </c>
      <c r="E30" s="40" t="s">
        <v>216</v>
      </c>
      <c r="M30" s="39" t="s">
        <v>172</v>
      </c>
      <c r="N30" s="40" t="s">
        <v>195</v>
      </c>
      <c r="O30" s="40" t="s">
        <v>196</v>
      </c>
      <c r="R30" s="39" t="s">
        <v>201</v>
      </c>
      <c r="S30" s="40">
        <v>20</v>
      </c>
      <c r="T30" s="40">
        <v>27</v>
      </c>
    </row>
    <row r="31" spans="1:20" ht="35.4" customHeight="1" thickBot="1" x14ac:dyDescent="0.35">
      <c r="A31" s="41" t="s">
        <v>172</v>
      </c>
      <c r="B31" s="42" t="s">
        <v>207</v>
      </c>
      <c r="C31" s="42" t="s">
        <v>210</v>
      </c>
      <c r="D31" s="42" t="s">
        <v>215</v>
      </c>
      <c r="E31" s="42">
        <v>1.75</v>
      </c>
      <c r="M31" s="41" t="s">
        <v>179</v>
      </c>
      <c r="N31" s="42" t="s">
        <v>197</v>
      </c>
      <c r="O31" s="42" t="s">
        <v>198</v>
      </c>
    </row>
    <row r="32" spans="1:20" ht="27.6" customHeight="1" x14ac:dyDescent="0.3"/>
    <row r="33" spans="2:20" ht="70.2" customHeight="1" x14ac:dyDescent="0.3">
      <c r="B33" s="46" t="s">
        <v>174</v>
      </c>
      <c r="C33" s="50"/>
      <c r="D33" s="50"/>
      <c r="H33" s="46" t="s">
        <v>182</v>
      </c>
      <c r="I33" s="50"/>
      <c r="J33" s="50"/>
      <c r="M33" s="46" t="s">
        <v>200</v>
      </c>
      <c r="N33" s="46"/>
      <c r="O33" s="46"/>
      <c r="R33" s="46" t="s">
        <v>203</v>
      </c>
      <c r="S33" s="46"/>
      <c r="T33" s="46"/>
    </row>
    <row r="34" spans="2:20" ht="156" customHeight="1" x14ac:dyDescent="0.3">
      <c r="B34" s="50"/>
      <c r="C34" s="50"/>
      <c r="D34" s="50"/>
      <c r="H34" s="50"/>
      <c r="I34" s="50"/>
      <c r="J34" s="50"/>
      <c r="M34" s="46"/>
      <c r="N34" s="46"/>
      <c r="O34" s="46"/>
      <c r="R34" s="46"/>
      <c r="S34" s="46"/>
      <c r="T34" s="46"/>
    </row>
  </sheetData>
  <mergeCells count="14">
    <mergeCell ref="E19:G20"/>
    <mergeCell ref="A1:C1"/>
    <mergeCell ref="E1:G1"/>
    <mergeCell ref="I1:K1"/>
    <mergeCell ref="M1:O1"/>
    <mergeCell ref="A19:C21"/>
    <mergeCell ref="M24:O24"/>
    <mergeCell ref="M33:O34"/>
    <mergeCell ref="R24:T24"/>
    <mergeCell ref="R33:T34"/>
    <mergeCell ref="A24:E24"/>
    <mergeCell ref="B33:D34"/>
    <mergeCell ref="H24:J24"/>
    <mergeCell ref="H33:J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6970-EB1B-4631-A281-E7765A214DDE}">
  <dimension ref="A1:AA47"/>
  <sheetViews>
    <sheetView topLeftCell="C9" zoomScale="73" zoomScaleNormal="85" workbookViewId="0">
      <selection activeCell="U34" sqref="U34"/>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3.3320312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48</v>
      </c>
      <c r="D2">
        <f t="shared" ref="D2:M2" si="0">C2-(C2/100*D1)</f>
        <v>47.52</v>
      </c>
      <c r="E2">
        <f t="shared" si="0"/>
        <v>46.569600000000001</v>
      </c>
      <c r="F2">
        <f t="shared" si="0"/>
        <v>45.172511999999998</v>
      </c>
      <c r="G2">
        <f t="shared" si="0"/>
        <v>43.365611519999995</v>
      </c>
      <c r="H2">
        <f t="shared" si="0"/>
        <v>41.197330943999994</v>
      </c>
      <c r="I2">
        <f t="shared" si="0"/>
        <v>38.725491087359991</v>
      </c>
      <c r="J2">
        <f t="shared" si="0"/>
        <v>36.014706711244791</v>
      </c>
      <c r="K2">
        <f t="shared" si="0"/>
        <v>33.133530174345211</v>
      </c>
      <c r="L2">
        <f t="shared" si="0"/>
        <v>30.151512458654143</v>
      </c>
      <c r="M2">
        <f t="shared" si="0"/>
        <v>27.136361212788728</v>
      </c>
      <c r="N2" s="8"/>
      <c r="O2" s="21"/>
      <c r="Q2" s="3" t="s">
        <v>0</v>
      </c>
      <c r="R2" s="16">
        <f>B27+ ((1 -((C2 / 48) * 0.7 )-((C3 / 100) * 0.3 )) * 100)</f>
        <v>20.000000000000007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19.999999999999996</v>
      </c>
      <c r="T3" s="23" t="s">
        <v>8</v>
      </c>
    </row>
    <row r="4" spans="1:20" ht="18" customHeight="1" x14ac:dyDescent="0.3">
      <c r="A4" s="4" t="s">
        <v>17</v>
      </c>
      <c r="B4" s="4" t="s">
        <v>18</v>
      </c>
      <c r="C4" s="10">
        <v>48</v>
      </c>
      <c r="D4">
        <f>C4-(C4/100*D1)</f>
        <v>47.52</v>
      </c>
      <c r="E4">
        <f t="shared" ref="E4:M4" si="2">D4-(D4/100*E1)</f>
        <v>46.569600000000001</v>
      </c>
      <c r="F4">
        <f t="shared" si="2"/>
        <v>45.172511999999998</v>
      </c>
      <c r="G4">
        <f t="shared" si="2"/>
        <v>43.365611519999995</v>
      </c>
      <c r="H4">
        <f t="shared" si="2"/>
        <v>41.197330943999994</v>
      </c>
      <c r="I4">
        <f t="shared" si="2"/>
        <v>38.725491087359991</v>
      </c>
      <c r="J4">
        <f t="shared" si="2"/>
        <v>36.014706711244791</v>
      </c>
      <c r="K4">
        <f t="shared" si="2"/>
        <v>33.133530174345211</v>
      </c>
      <c r="L4">
        <f t="shared" si="2"/>
        <v>30.151512458654143</v>
      </c>
      <c r="M4">
        <f t="shared" si="2"/>
        <v>27.136361212788728</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20</v>
      </c>
      <c r="Q4" s="5" t="s">
        <v>2</v>
      </c>
      <c r="R4" s="5">
        <f>B27 - 9*R11</f>
        <v>16.296195488721803</v>
      </c>
      <c r="T4" s="1">
        <f ca="1">(R2/100*20)+(R3/100*20)+(R4/100*25)+(R5/100*20)+(R6/100*15)</f>
        <v>19.074048872180452</v>
      </c>
    </row>
    <row r="5" spans="1:20" x14ac:dyDescent="0.3">
      <c r="A5" s="4" t="s">
        <v>17</v>
      </c>
      <c r="B5" s="4" t="s">
        <v>19</v>
      </c>
      <c r="C5" s="10">
        <v>4.3</v>
      </c>
      <c r="L5" s="8"/>
      <c r="M5" s="8">
        <f>C5-(C5/100*12)</f>
        <v>3.7839999999999998</v>
      </c>
      <c r="N5" s="8"/>
      <c r="O5" s="18">
        <f ca="1">FORECAST(C5, OFFSET(Strength_Normative_Data!$O$3, MATCH(C5, Strength_Normative_Data!$P$3:$P$17, -1)-1, 0, 2), OFFSET(Strength_Normative_Data!$P$3, MATCH(C5, Strength_Normative_Data!$P$3:$P$17, -1)-1, 0, 2))</f>
        <v>19.999999999999986</v>
      </c>
      <c r="Q5" s="6" t="s">
        <v>29</v>
      </c>
      <c r="R5" s="6">
        <f ca="1">((O14/100*30)+(O15/100*25)+(O16/100*30)+(O17/100*15))</f>
        <v>20</v>
      </c>
    </row>
    <row r="6" spans="1:20" x14ac:dyDescent="0.3">
      <c r="A6" s="4" t="s">
        <v>17</v>
      </c>
      <c r="B6" s="4" t="s">
        <v>20</v>
      </c>
      <c r="C6" s="10">
        <v>53</v>
      </c>
      <c r="L6" s="8"/>
      <c r="M6" s="8">
        <f>C6-(C6/100*12)</f>
        <v>46.64</v>
      </c>
      <c r="N6" s="8"/>
      <c r="O6" s="18">
        <f ca="1">FORECAST(C6, OFFSET(Strength_Normative_Data!$J$3, MATCH(C6, Strength_Normative_Data!$K$3:$K$16, -1)-1, 0, 2), OFFSET(Strength_Normative_Data!$K$3, MATCH(C6, Strength_Normative_Data!$K$3:$K$16, -1)-1, 0, 2))</f>
        <v>20</v>
      </c>
      <c r="Q6" s="7" t="s">
        <v>4</v>
      </c>
      <c r="R6" s="7">
        <f>((O18/100*60)+(O19/100*40))</f>
        <v>20</v>
      </c>
    </row>
    <row r="7" spans="1:20" x14ac:dyDescent="0.3">
      <c r="A7" s="5" t="s">
        <v>21</v>
      </c>
      <c r="B7" s="5" t="s">
        <v>22</v>
      </c>
      <c r="C7" s="11">
        <v>22</v>
      </c>
      <c r="L7" s="8"/>
      <c r="M7" s="8">
        <f>C7+(C7/100*6)</f>
        <v>23.32</v>
      </c>
      <c r="N7" s="8"/>
      <c r="O7" s="22"/>
    </row>
    <row r="8" spans="1:20" x14ac:dyDescent="0.3">
      <c r="A8" s="5" t="s">
        <v>21</v>
      </c>
      <c r="B8" s="5" t="s">
        <v>23</v>
      </c>
      <c r="C8" s="11">
        <v>0.48</v>
      </c>
      <c r="L8" s="8"/>
      <c r="M8" s="8">
        <f>C8+(C8/100*4)</f>
        <v>0.49919999999999998</v>
      </c>
      <c r="N8" s="8"/>
      <c r="O8" s="22">
        <f xml:space="preserve">
IF(C8&lt;=0.4,0,
IF(C8&lt;=0.5,20*(C8-0.4)/0.1,
IF(C8&lt;=0.6,20+40*(C8-0.5)/0.1,
60+40*(MIN(C8,0.75)-0.6)/0.15)))</f>
        <v>15.999999999999991</v>
      </c>
    </row>
    <row r="9" spans="1:20" x14ac:dyDescent="0.3">
      <c r="A9" s="5" t="s">
        <v>21</v>
      </c>
      <c r="B9" s="5" t="s">
        <v>24</v>
      </c>
      <c r="C9" s="11">
        <v>5.0999999999999996</v>
      </c>
      <c r="L9" s="8"/>
      <c r="M9" s="8"/>
      <c r="N9" s="8"/>
      <c r="O9" s="22"/>
    </row>
    <row r="10" spans="1:20" x14ac:dyDescent="0.3">
      <c r="A10" s="5" t="s">
        <v>21</v>
      </c>
      <c r="B10" s="5" t="s">
        <v>25</v>
      </c>
      <c r="C10" s="11">
        <v>5.3</v>
      </c>
      <c r="L10" s="8"/>
      <c r="M10" s="8">
        <f>C10+(C10/100*5)</f>
        <v>5.5649999999999995</v>
      </c>
      <c r="N10" s="8"/>
      <c r="O10" s="22">
        <f xml:space="preserve">
IF(C10&lt;5.7,10*(C10/5.7),
IF(C10&lt;6.5,10+40*(C10-5.7)/0.8,
50+50*(MIN(C10,9)-6.5)/2.5))</f>
        <v>9.2982456140350873</v>
      </c>
      <c r="Q10" t="s">
        <v>89</v>
      </c>
      <c r="R10" t="s">
        <v>90</v>
      </c>
    </row>
    <row r="11" spans="1:20" x14ac:dyDescent="0.3">
      <c r="A11" s="5" t="s">
        <v>21</v>
      </c>
      <c r="B11" s="5" t="s">
        <v>26</v>
      </c>
      <c r="C11" s="11">
        <v>1.8</v>
      </c>
      <c r="L11" s="8"/>
      <c r="M11" s="8">
        <f>C11+(C11/100*14)</f>
        <v>2.052</v>
      </c>
      <c r="N11" s="8"/>
      <c r="O11" s="5">
        <f xml:space="preserve">
IF(C11&lt;1.6,10*(C11/1.6),
IF(C11&lt;3,10+40*(C11-1.6)/1.4,
50+50*(MIN(C11,7)-3)/4))</f>
        <v>15.714285714285714</v>
      </c>
      <c r="Q11">
        <f>(0.3*P12)+(0.2*O8)+(0.15*O10)+(0.25*O11)+(0.1*O13)</f>
        <v>14.42330827067669</v>
      </c>
      <c r="R11">
        <f xml:space="preserve">
IF(Q11&lt;=10,1.5-0.1*Q11,
IF(Q11&lt;=60,0.5-0.02*(Q11-10),
-0.5-0.03*(Q11-60)))</f>
        <v>0.4115338345864662</v>
      </c>
    </row>
    <row r="12" spans="1:20" x14ac:dyDescent="0.3">
      <c r="A12" s="5" t="s">
        <v>21</v>
      </c>
      <c r="B12" s="5" t="s">
        <v>27</v>
      </c>
      <c r="C12" s="11">
        <v>0.85</v>
      </c>
      <c r="L12" s="8"/>
      <c r="M12" s="8">
        <f>C12+(C12/100*6)</f>
        <v>0.90100000000000002</v>
      </c>
      <c r="N12" s="8"/>
      <c r="O12" s="5">
        <f>C12*100</f>
        <v>85</v>
      </c>
      <c r="P12" s="5">
        <f xml:space="preserve">
IF(O12&lt;80,5*(O12/80),
IF(O12&lt;100,10+20*(O12-80)/20,
IF(O12&lt;130,30+25*(O12-100)/30,
IF(O12&lt;160,55+25*(O12-130)/30,
IF(O12&lt;200,80+20*(O12-160)/40,100)))))</f>
        <v>15</v>
      </c>
    </row>
    <row r="13" spans="1:20" x14ac:dyDescent="0.3">
      <c r="A13" s="5" t="s">
        <v>21</v>
      </c>
      <c r="B13" s="5" t="s">
        <v>28</v>
      </c>
      <c r="C13" s="11">
        <v>1.2</v>
      </c>
      <c r="L13" s="8"/>
      <c r="M13" s="8">
        <f>C13+(C13/100*18)</f>
        <v>1.4159999999999999</v>
      </c>
      <c r="N13" s="8"/>
      <c r="O13" s="5">
        <f xml:space="preserve">
IF(C13&lt;1,10*(C13/1),
IF(C13&lt;3,10+40*(C13-1)/2,
50+50*(MIN(C13,10)-3)/7))</f>
        <v>14</v>
      </c>
    </row>
    <row r="14" spans="1:20" x14ac:dyDescent="0.3">
      <c r="A14" s="6" t="s">
        <v>29</v>
      </c>
      <c r="B14" s="6" t="s">
        <v>30</v>
      </c>
      <c r="C14" s="12">
        <v>1.36</v>
      </c>
      <c r="L14" s="8"/>
      <c r="M14" s="8">
        <f>C14+(C14/100*6)</f>
        <v>1.4416000000000002</v>
      </c>
      <c r="N14" s="8"/>
      <c r="O14" s="12">
        <f ca="1">IFERROR(FORECAST(C14, OFFSET(Mobility_Normative_Data!$A$3, MATCH(C14, Mobility_Normative_Data!$B$3:$B$17, -1)-1, 0, 2), OFFSET(Mobility_Normative_Data!$B$3, MATCH(C14, Mobility_Normative_Data!$B$3:$B$17, -1)-1, 0, 2)), INDEX(Mobility_Normative_Data!$A$3:$A$17, MATCH(C14, Mobility_Normative_Data!$B$3:$B$17, -1)))</f>
        <v>20</v>
      </c>
    </row>
    <row r="15" spans="1:20" x14ac:dyDescent="0.3">
      <c r="A15" s="6" t="s">
        <v>29</v>
      </c>
      <c r="B15" s="6" t="s">
        <v>31</v>
      </c>
      <c r="C15" s="12">
        <v>5</v>
      </c>
      <c r="L15" s="8"/>
      <c r="M15" s="8">
        <f>C15+(C15/100*10)</f>
        <v>5.5</v>
      </c>
      <c r="N15" s="8"/>
      <c r="O15" s="12">
        <f ca="1">FORECAST(C15, OFFSET(Mobility_Normative_Data!$E$3, MATCH(C15, Mobility_Normative_Data!$F$3:$F$18, 1)-1, 0, 2), OFFSET(Mobility_Normative_Data!$F$3, MATCH(C15, Mobility_Normative_Data!$F$3:$F$18, 1)-1, 0, 2))</f>
        <v>20</v>
      </c>
    </row>
    <row r="16" spans="1:20" x14ac:dyDescent="0.3">
      <c r="A16" s="6" t="s">
        <v>29</v>
      </c>
      <c r="B16" s="6" t="s">
        <v>32</v>
      </c>
      <c r="C16" s="12">
        <v>45</v>
      </c>
      <c r="L16" s="8"/>
      <c r="M16" s="8">
        <f>C16+(C16/100*20)</f>
        <v>54</v>
      </c>
      <c r="N16" s="8"/>
      <c r="O16" s="12">
        <f ca="1">FORECAST(C16, OFFSET(Mobility_Normative_Data!$I$3, MATCH(C16, Mobility_Normative_Data!$J$3:$J$17, -1)-1, 0, 2), OFFSET(Mobility_Normative_Data!$J$3, MATCH(C16, Mobility_Normative_Data!$J$3:$J$17, -1)-1, 0, 2))</f>
        <v>20</v>
      </c>
    </row>
    <row r="17" spans="1:27" x14ac:dyDescent="0.3">
      <c r="A17" s="6" t="s">
        <v>29</v>
      </c>
      <c r="B17" s="6" t="s">
        <v>33</v>
      </c>
      <c r="C17" s="12">
        <v>39</v>
      </c>
      <c r="L17" s="8"/>
      <c r="M17" s="8">
        <f>C17+(C17/100*10)</f>
        <v>42.9</v>
      </c>
      <c r="N17" s="8"/>
      <c r="O17" s="12">
        <f ca="1">FORECAST(C17, OFFSET(Mobility_Normative_Data!$M$3, MATCH(C17, Mobility_Normative_Data!$N$3:$N$17, -1)-1, 0, 2), OFFSET(Mobility_Normative_Data!$N$3, MATCH(C17, Mobility_Normative_Data!$N$3:$N$17, -1)-1, 0, 2))</f>
        <v>20</v>
      </c>
    </row>
    <row r="18" spans="1:27" x14ac:dyDescent="0.3">
      <c r="A18" s="7" t="s">
        <v>34</v>
      </c>
      <c r="B18" s="7" t="s">
        <v>35</v>
      </c>
      <c r="C18" s="13">
        <v>0</v>
      </c>
      <c r="L18" s="8"/>
      <c r="M18" s="8">
        <f>C18 +(-0.2)</f>
        <v>-0.2</v>
      </c>
      <c r="N18" s="8"/>
      <c r="O18" s="20">
        <f>MAX(18,B27-(C18*25))</f>
        <v>20</v>
      </c>
    </row>
    <row r="19" spans="1:27" x14ac:dyDescent="0.3">
      <c r="A19" s="7" t="s">
        <v>34</v>
      </c>
      <c r="B19" s="7" t="s">
        <v>36</v>
      </c>
      <c r="C19" s="13">
        <v>0</v>
      </c>
      <c r="L19" s="8"/>
      <c r="M19" s="8">
        <f>C19+(-0.2)</f>
        <v>-0.2</v>
      </c>
      <c r="N19" s="8"/>
      <c r="O19" s="20">
        <f>MAX(18,B27-(J1925))</f>
        <v>20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20</v>
      </c>
      <c r="C27">
        <f>B27+10</f>
        <v>30</v>
      </c>
      <c r="D27">
        <f>C27+10</f>
        <v>40</v>
      </c>
      <c r="E27">
        <f>D27+10</f>
        <v>50</v>
      </c>
      <c r="F27">
        <f>E27+10</f>
        <v>60</v>
      </c>
    </row>
    <row r="28" spans="1:27" x14ac:dyDescent="0.3">
      <c r="A28" t="s">
        <v>0</v>
      </c>
      <c r="B28" s="24">
        <f>R2</f>
        <v>20.000000000000007</v>
      </c>
      <c r="C28">
        <f>B28+(B28/100*11.5)</f>
        <v>22.300000000000008</v>
      </c>
      <c r="D28">
        <f>C28+(C28/100*32.2)</f>
        <v>29.48060000000001</v>
      </c>
      <c r="E28">
        <f>D28+(D28/100*32.2)</f>
        <v>38.973353200000012</v>
      </c>
      <c r="F28">
        <f>E28+(E28/100*32.2)</f>
        <v>51.522772930400016</v>
      </c>
    </row>
    <row r="29" spans="1:27" x14ac:dyDescent="0.3">
      <c r="A29" t="s">
        <v>1</v>
      </c>
      <c r="B29">
        <f ca="1">R3</f>
        <v>19.999999999999996</v>
      </c>
      <c r="C29">
        <f ca="1">B29+(B29/100*12.3)</f>
        <v>22.459999999999997</v>
      </c>
      <c r="D29">
        <f ca="1">C29+(C29/100*30.8)</f>
        <v>29.377679999999998</v>
      </c>
      <c r="E29">
        <f ca="1">D29+(D29/100*30.8)</f>
        <v>38.426005439999997</v>
      </c>
      <c r="F29">
        <f ca="1">E29+(E29/100*30.8)</f>
        <v>50.261215115519995</v>
      </c>
    </row>
    <row r="30" spans="1:27" x14ac:dyDescent="0.3">
      <c r="A30" t="s">
        <v>2</v>
      </c>
      <c r="B30">
        <f>R4</f>
        <v>16.296195488721803</v>
      </c>
      <c r="C30">
        <f>B30+(B30/100*5.5)</f>
        <v>17.192486240601504</v>
      </c>
      <c r="D30">
        <f>C30+(C30/100*11)</f>
        <v>19.083659727067669</v>
      </c>
      <c r="E30">
        <f>D30+(D30/100*11)</f>
        <v>21.182862297045112</v>
      </c>
      <c r="F30">
        <f>E30+(E30/100*11)</f>
        <v>23.512977149720076</v>
      </c>
    </row>
    <row r="31" spans="1:27" x14ac:dyDescent="0.3">
      <c r="A31" t="s">
        <v>3</v>
      </c>
      <c r="B31">
        <f ca="1">R5</f>
        <v>20</v>
      </c>
      <c r="C31">
        <f ca="1">B31+(B31/100*9.9)</f>
        <v>21.98</v>
      </c>
      <c r="D31">
        <f ca="1">C31+(C31/100*19.8)</f>
        <v>26.332039999999999</v>
      </c>
      <c r="E31">
        <f ca="1">D31+(D31/100*19.8)</f>
        <v>31.545783919999998</v>
      </c>
      <c r="F31">
        <f ca="1">E31+(E31/100*19.8)</f>
        <v>37.791849136159996</v>
      </c>
      <c r="N31" s="46" t="s">
        <v>104</v>
      </c>
      <c r="O31" s="46"/>
      <c r="P31" s="46"/>
      <c r="Q31" s="46"/>
      <c r="R31" s="46"/>
      <c r="S31" s="46"/>
      <c r="T31" s="46"/>
      <c r="U31" s="46"/>
      <c r="V31" s="46"/>
      <c r="W31" s="46"/>
      <c r="X31" s="46"/>
      <c r="Y31" s="46"/>
      <c r="Z31" s="46"/>
      <c r="AA31" s="46"/>
    </row>
    <row r="32" spans="1:27" ht="86.4" x14ac:dyDescent="0.3">
      <c r="A32" t="s">
        <v>4</v>
      </c>
      <c r="B32">
        <f>R6</f>
        <v>20</v>
      </c>
      <c r="C32">
        <f>B32+(B32/100*20)</f>
        <v>24</v>
      </c>
      <c r="D32">
        <f>C32+(C32/100*60)</f>
        <v>38.4</v>
      </c>
      <c r="E32">
        <f>D32+(D32/100*60)</f>
        <v>61.44</v>
      </c>
      <c r="F32">
        <f>E32+(E32/100*60)</f>
        <v>98.304000000000002</v>
      </c>
      <c r="N32" s="2" t="s">
        <v>103</v>
      </c>
      <c r="O32" s="2" t="s">
        <v>124</v>
      </c>
      <c r="P32" s="2"/>
      <c r="Q32" s="2" t="s">
        <v>103</v>
      </c>
      <c r="R32" s="2" t="s">
        <v>125</v>
      </c>
      <c r="S32" s="2"/>
      <c r="T32" s="2" t="s">
        <v>103</v>
      </c>
      <c r="U32" s="2" t="s">
        <v>126</v>
      </c>
      <c r="V32" s="2"/>
      <c r="W32" s="2" t="s">
        <v>103</v>
      </c>
      <c r="X32" s="2" t="s">
        <v>127</v>
      </c>
      <c r="Y32" s="2"/>
      <c r="Z32" s="2" t="s">
        <v>103</v>
      </c>
      <c r="AA32" s="2" t="s">
        <v>128</v>
      </c>
    </row>
    <row r="33" spans="1:27" x14ac:dyDescent="0.3">
      <c r="N33" s="2">
        <f>B27</f>
        <v>20</v>
      </c>
      <c r="O33" s="27">
        <f>R2</f>
        <v>20.000000000000007</v>
      </c>
      <c r="P33" s="2"/>
      <c r="Q33" s="2">
        <f>N33</f>
        <v>20</v>
      </c>
      <c r="R33" s="2">
        <f ca="1">R3</f>
        <v>19.999999999999996</v>
      </c>
      <c r="S33" s="2"/>
      <c r="T33" s="2">
        <f>N33</f>
        <v>20</v>
      </c>
      <c r="U33" s="2">
        <f>R4</f>
        <v>16.296195488721803</v>
      </c>
      <c r="V33" s="2"/>
      <c r="W33" s="2">
        <f>N33</f>
        <v>20</v>
      </c>
      <c r="X33" s="2">
        <f ca="1">R5</f>
        <v>20</v>
      </c>
      <c r="Y33" s="2"/>
      <c r="Z33" s="2">
        <f>N33</f>
        <v>20</v>
      </c>
      <c r="AA33">
        <f>R6</f>
        <v>20</v>
      </c>
    </row>
    <row r="34" spans="1:27" x14ac:dyDescent="0.3">
      <c r="N34" s="2">
        <f>N33+1</f>
        <v>21</v>
      </c>
      <c r="O34" s="2">
        <f>O33+(O33*0.0115)</f>
        <v>20.230000000000008</v>
      </c>
      <c r="P34" s="2"/>
      <c r="Q34" s="2">
        <f>Q33+1</f>
        <v>21</v>
      </c>
      <c r="R34" s="2">
        <f ca="1">R33+(R33*0.0123)</f>
        <v>20.245999999999995</v>
      </c>
      <c r="S34" s="2"/>
      <c r="T34" s="2">
        <f>T33+1</f>
        <v>21</v>
      </c>
      <c r="U34" s="2">
        <f>U33+(U33*0.0055)</f>
        <v>16.385824563909772</v>
      </c>
      <c r="V34" s="2"/>
      <c r="W34" s="2">
        <f>W33+1</f>
        <v>21</v>
      </c>
      <c r="X34" s="2">
        <f ca="1">X33+(X33*0.0099)</f>
        <v>20.198</v>
      </c>
      <c r="Y34" s="2"/>
      <c r="Z34" s="2">
        <f>Z33+1</f>
        <v>21</v>
      </c>
      <c r="AA34">
        <f>AA33+(AA33*0.02)</f>
        <v>20.399999999999999</v>
      </c>
    </row>
    <row r="35" spans="1:27" x14ac:dyDescent="0.3">
      <c r="N35" s="2">
        <f t="shared" ref="N35:N43" si="3">N34+1</f>
        <v>22</v>
      </c>
      <c r="O35" s="2">
        <f t="shared" ref="O35:O43" si="4">O34+(O34*0.0115)</f>
        <v>20.462645000000009</v>
      </c>
      <c r="P35" s="2"/>
      <c r="Q35" s="2">
        <f t="shared" ref="Q35:Q43" si="5">Q34+1</f>
        <v>22</v>
      </c>
      <c r="R35" s="2">
        <f t="shared" ref="R35:R43" ca="1" si="6">R34+(R34*0.0123)</f>
        <v>20.495025799999993</v>
      </c>
      <c r="S35" s="2"/>
      <c r="T35" s="2">
        <f t="shared" ref="T35:T43" si="7">T34+1</f>
        <v>22</v>
      </c>
      <c r="U35" s="2">
        <f t="shared" ref="U35:U43" si="8">U34+(U34*0.0055)</f>
        <v>16.475946599011277</v>
      </c>
      <c r="V35" s="2"/>
      <c r="W35" s="2">
        <f t="shared" ref="W35:W43" si="9">W34+1</f>
        <v>22</v>
      </c>
      <c r="X35" s="2">
        <f t="shared" ref="X35:X43" ca="1" si="10">X34+(X34*0.0099)</f>
        <v>20.3979602</v>
      </c>
      <c r="Y35" s="2"/>
      <c r="Z35" s="2">
        <f t="shared" ref="Z35:Z43" si="11">Z34+1</f>
        <v>22</v>
      </c>
      <c r="AA35">
        <f t="shared" ref="AA35:AA43" si="12">AA34+(AA34*0.02)</f>
        <v>20.808</v>
      </c>
    </row>
    <row r="36" spans="1:27" x14ac:dyDescent="0.3">
      <c r="A36" t="s">
        <v>8</v>
      </c>
      <c r="N36" s="2">
        <f t="shared" si="3"/>
        <v>23</v>
      </c>
      <c r="O36" s="2">
        <f t="shared" si="4"/>
        <v>20.697965417500008</v>
      </c>
      <c r="P36" s="2"/>
      <c r="Q36" s="2">
        <f t="shared" si="5"/>
        <v>23</v>
      </c>
      <c r="R36" s="2">
        <f t="shared" ca="1" si="6"/>
        <v>20.747114617339992</v>
      </c>
      <c r="S36" s="2"/>
      <c r="T36" s="2">
        <f t="shared" si="7"/>
        <v>23</v>
      </c>
      <c r="U36" s="2">
        <f t="shared" si="8"/>
        <v>16.566564305305839</v>
      </c>
      <c r="V36" s="2"/>
      <c r="W36" s="2">
        <f t="shared" si="9"/>
        <v>23</v>
      </c>
      <c r="X36" s="2">
        <f t="shared" ca="1" si="10"/>
        <v>20.59990000598</v>
      </c>
      <c r="Y36" s="2"/>
      <c r="Z36" s="2">
        <f t="shared" si="11"/>
        <v>23</v>
      </c>
      <c r="AA36">
        <f t="shared" si="12"/>
        <v>21.224160000000001</v>
      </c>
    </row>
    <row r="37" spans="1:27" x14ac:dyDescent="0.3">
      <c r="A37" s="1">
        <f ca="1">(B28/100*20)+(B29/100*20)+(B30/100*25)+(B31/100*20)+(B32/100*15)</f>
        <v>19.074048872180452</v>
      </c>
      <c r="N37" s="2">
        <f t="shared" si="3"/>
        <v>24</v>
      </c>
      <c r="O37" s="2">
        <f t="shared" si="4"/>
        <v>20.935992019801258</v>
      </c>
      <c r="P37" s="2"/>
      <c r="Q37" s="2">
        <f t="shared" si="5"/>
        <v>24</v>
      </c>
      <c r="R37" s="2">
        <f t="shared" ca="1" si="6"/>
        <v>21.002304127133275</v>
      </c>
      <c r="S37" s="2"/>
      <c r="T37" s="2">
        <f t="shared" si="7"/>
        <v>24</v>
      </c>
      <c r="U37" s="2">
        <f t="shared" si="8"/>
        <v>16.657680408985023</v>
      </c>
      <c r="V37" s="2"/>
      <c r="W37" s="2">
        <f t="shared" si="9"/>
        <v>24</v>
      </c>
      <c r="X37" s="2">
        <f t="shared" ca="1" si="10"/>
        <v>20.803839016039202</v>
      </c>
      <c r="Y37" s="2"/>
      <c r="Z37" s="2">
        <f t="shared" si="11"/>
        <v>24</v>
      </c>
      <c r="AA37">
        <f t="shared" si="12"/>
        <v>21.648643200000002</v>
      </c>
    </row>
    <row r="38" spans="1:27" x14ac:dyDescent="0.3">
      <c r="N38" s="2">
        <f t="shared" si="3"/>
        <v>25</v>
      </c>
      <c r="O38" s="2">
        <f t="shared" si="4"/>
        <v>21.176755928028971</v>
      </c>
      <c r="P38" s="2"/>
      <c r="Q38" s="2">
        <f t="shared" si="5"/>
        <v>25</v>
      </c>
      <c r="R38" s="2">
        <f t="shared" ca="1" si="6"/>
        <v>21.260632467897015</v>
      </c>
      <c r="S38" s="2"/>
      <c r="T38" s="2">
        <f t="shared" si="7"/>
        <v>25</v>
      </c>
      <c r="U38" s="2">
        <f t="shared" si="8"/>
        <v>16.749297651234439</v>
      </c>
      <c r="V38" s="2"/>
      <c r="W38" s="2">
        <f t="shared" si="9"/>
        <v>25</v>
      </c>
      <c r="X38" s="2">
        <f t="shared" ca="1" si="10"/>
        <v>21.009797022297992</v>
      </c>
      <c r="Y38" s="2"/>
      <c r="Z38" s="2">
        <f t="shared" si="11"/>
        <v>25</v>
      </c>
      <c r="AA38">
        <f t="shared" si="12"/>
        <v>22.081616064000002</v>
      </c>
    </row>
    <row r="39" spans="1:27" x14ac:dyDescent="0.3">
      <c r="N39" s="2">
        <f t="shared" si="3"/>
        <v>26</v>
      </c>
      <c r="O39" s="2">
        <f t="shared" si="4"/>
        <v>21.420288621201305</v>
      </c>
      <c r="P39" s="2"/>
      <c r="Q39" s="2">
        <f t="shared" si="5"/>
        <v>26</v>
      </c>
      <c r="R39" s="2">
        <f t="shared" ca="1" si="6"/>
        <v>21.522138247252148</v>
      </c>
      <c r="S39" s="2"/>
      <c r="T39" s="2">
        <f t="shared" si="7"/>
        <v>26</v>
      </c>
      <c r="U39" s="2">
        <f t="shared" si="8"/>
        <v>16.841418788316229</v>
      </c>
      <c r="V39" s="2"/>
      <c r="W39" s="2">
        <f t="shared" si="9"/>
        <v>26</v>
      </c>
      <c r="X39" s="2">
        <f t="shared" ca="1" si="10"/>
        <v>21.217794012818743</v>
      </c>
      <c r="Y39" s="2"/>
      <c r="Z39" s="2">
        <f t="shared" si="11"/>
        <v>26</v>
      </c>
      <c r="AA39">
        <f t="shared" si="12"/>
        <v>22.523248385280002</v>
      </c>
    </row>
    <row r="40" spans="1:27" x14ac:dyDescent="0.3">
      <c r="N40" s="2">
        <f t="shared" si="3"/>
        <v>27</v>
      </c>
      <c r="O40" s="2">
        <f t="shared" si="4"/>
        <v>21.66662194034512</v>
      </c>
      <c r="P40" s="2"/>
      <c r="Q40" s="2">
        <f t="shared" si="5"/>
        <v>27</v>
      </c>
      <c r="R40" s="2">
        <f t="shared" ca="1" si="6"/>
        <v>21.786860547693347</v>
      </c>
      <c r="S40" s="2"/>
      <c r="T40" s="2">
        <f t="shared" si="7"/>
        <v>27</v>
      </c>
      <c r="U40" s="2">
        <f t="shared" si="8"/>
        <v>16.934046591651967</v>
      </c>
      <c r="V40" s="2"/>
      <c r="W40" s="2">
        <f t="shared" si="9"/>
        <v>27</v>
      </c>
      <c r="X40" s="2">
        <f t="shared" ca="1" si="10"/>
        <v>21.42785017354565</v>
      </c>
      <c r="Y40" s="2"/>
      <c r="Z40" s="2">
        <f t="shared" si="11"/>
        <v>27</v>
      </c>
      <c r="AA40">
        <f t="shared" si="12"/>
        <v>22.973713352985602</v>
      </c>
    </row>
    <row r="41" spans="1:27" x14ac:dyDescent="0.3">
      <c r="N41" s="2">
        <f t="shared" si="3"/>
        <v>28</v>
      </c>
      <c r="O41" s="2">
        <f t="shared" si="4"/>
        <v>21.915788092659088</v>
      </c>
      <c r="P41" s="2"/>
      <c r="Q41" s="2">
        <f t="shared" si="5"/>
        <v>28</v>
      </c>
      <c r="R41" s="2">
        <f t="shared" ca="1" si="6"/>
        <v>22.054838932429977</v>
      </c>
      <c r="S41" s="2"/>
      <c r="T41" s="2">
        <f t="shared" si="7"/>
        <v>28</v>
      </c>
      <c r="U41" s="2">
        <f t="shared" si="8"/>
        <v>17.027183847906052</v>
      </c>
      <c r="V41" s="2"/>
      <c r="W41" s="2">
        <f t="shared" si="9"/>
        <v>28</v>
      </c>
      <c r="X41" s="2">
        <f t="shared" ca="1" si="10"/>
        <v>21.639985890263752</v>
      </c>
      <c r="Y41" s="2"/>
      <c r="Z41" s="2">
        <f t="shared" si="11"/>
        <v>28</v>
      </c>
      <c r="AA41">
        <f t="shared" si="12"/>
        <v>23.433187620045313</v>
      </c>
    </row>
    <row r="42" spans="1:27" x14ac:dyDescent="0.3">
      <c r="B42" t="s">
        <v>12</v>
      </c>
      <c r="C42" t="s">
        <v>0</v>
      </c>
      <c r="D42" t="s">
        <v>12</v>
      </c>
      <c r="E42" t="s">
        <v>1</v>
      </c>
      <c r="F42" t="s">
        <v>12</v>
      </c>
      <c r="G42" t="s">
        <v>2</v>
      </c>
      <c r="H42" t="s">
        <v>12</v>
      </c>
      <c r="I42" t="s">
        <v>3</v>
      </c>
      <c r="J42" t="s">
        <v>12</v>
      </c>
      <c r="K42" t="s">
        <v>4</v>
      </c>
      <c r="N42" s="2">
        <f t="shared" si="3"/>
        <v>29</v>
      </c>
      <c r="O42" s="2">
        <f t="shared" si="4"/>
        <v>22.167819655724667</v>
      </c>
      <c r="P42" s="2"/>
      <c r="Q42" s="2">
        <f t="shared" si="5"/>
        <v>29</v>
      </c>
      <c r="R42" s="2">
        <f t="shared" ca="1" si="6"/>
        <v>22.326113451298866</v>
      </c>
      <c r="S42" s="2"/>
      <c r="T42" s="2">
        <f t="shared" si="7"/>
        <v>29</v>
      </c>
      <c r="U42" s="2">
        <f t="shared" si="8"/>
        <v>17.120833359069536</v>
      </c>
      <c r="V42" s="2"/>
      <c r="W42" s="2">
        <f t="shared" si="9"/>
        <v>29</v>
      </c>
      <c r="X42" s="2">
        <f t="shared" ca="1" si="10"/>
        <v>21.854221750577363</v>
      </c>
      <c r="Y42" s="2"/>
      <c r="Z42" s="2">
        <f t="shared" si="11"/>
        <v>29</v>
      </c>
      <c r="AA42">
        <f t="shared" si="12"/>
        <v>23.90185137244622</v>
      </c>
    </row>
    <row r="43" spans="1:27" x14ac:dyDescent="0.3">
      <c r="B43">
        <f>B27</f>
        <v>20</v>
      </c>
      <c r="C43">
        <f>B28</f>
        <v>20.000000000000007</v>
      </c>
      <c r="D43">
        <f>B43</f>
        <v>20</v>
      </c>
      <c r="E43">
        <f ca="1">B29</f>
        <v>19.999999999999996</v>
      </c>
      <c r="F43">
        <f>B27</f>
        <v>20</v>
      </c>
      <c r="G43">
        <f>B30</f>
        <v>16.296195488721803</v>
      </c>
      <c r="H43">
        <f>B27</f>
        <v>20</v>
      </c>
      <c r="I43">
        <f ca="1">B31</f>
        <v>20</v>
      </c>
      <c r="J43">
        <f>B27</f>
        <v>20</v>
      </c>
      <c r="K43">
        <f>B32</f>
        <v>20</v>
      </c>
      <c r="N43" s="2">
        <f t="shared" si="3"/>
        <v>30</v>
      </c>
      <c r="O43" s="2">
        <f t="shared" si="4"/>
        <v>22.422749581765501</v>
      </c>
      <c r="P43" s="2"/>
      <c r="Q43" s="2">
        <f t="shared" si="5"/>
        <v>30</v>
      </c>
      <c r="R43" s="2">
        <f t="shared" ca="1" si="6"/>
        <v>22.600724646749843</v>
      </c>
      <c r="S43" s="2"/>
      <c r="T43" s="2">
        <f t="shared" si="7"/>
        <v>30</v>
      </c>
      <c r="U43" s="2">
        <f t="shared" si="8"/>
        <v>17.214997942544418</v>
      </c>
      <c r="V43" s="2"/>
      <c r="W43" s="2">
        <f t="shared" si="9"/>
        <v>30</v>
      </c>
      <c r="X43" s="2">
        <f t="shared" ca="1" si="10"/>
        <v>22.070578545908077</v>
      </c>
      <c r="Y43" s="2"/>
      <c r="Z43" s="2">
        <f t="shared" si="11"/>
        <v>30</v>
      </c>
      <c r="AA43">
        <f t="shared" si="12"/>
        <v>24.379888399895144</v>
      </c>
    </row>
    <row r="44" spans="1:27" x14ac:dyDescent="0.3">
      <c r="B44">
        <f>C27</f>
        <v>30</v>
      </c>
      <c r="C44">
        <f>C28</f>
        <v>22.300000000000008</v>
      </c>
      <c r="D44">
        <f>B44</f>
        <v>30</v>
      </c>
      <c r="E44">
        <f ca="1">C29</f>
        <v>22.459999999999997</v>
      </c>
      <c r="F44">
        <f>C27</f>
        <v>30</v>
      </c>
      <c r="G44">
        <f>C30</f>
        <v>17.192486240601504</v>
      </c>
      <c r="H44">
        <f>C27</f>
        <v>30</v>
      </c>
      <c r="I44">
        <f ca="1">C31</f>
        <v>21.98</v>
      </c>
      <c r="J44">
        <f>C27</f>
        <v>30</v>
      </c>
      <c r="K44">
        <f>C32</f>
        <v>24</v>
      </c>
    </row>
    <row r="45" spans="1:27" x14ac:dyDescent="0.3">
      <c r="B45">
        <f>D27</f>
        <v>40</v>
      </c>
      <c r="C45">
        <f>D28</f>
        <v>29.48060000000001</v>
      </c>
      <c r="D45">
        <f>D27</f>
        <v>40</v>
      </c>
      <c r="E45">
        <f ca="1">D29</f>
        <v>29.377679999999998</v>
      </c>
      <c r="F45">
        <f>D27</f>
        <v>40</v>
      </c>
      <c r="G45">
        <f>D30</f>
        <v>19.083659727067669</v>
      </c>
      <c r="H45">
        <f>D27</f>
        <v>40</v>
      </c>
      <c r="I45">
        <f ca="1">D31</f>
        <v>26.332039999999999</v>
      </c>
      <c r="J45">
        <f>D27</f>
        <v>40</v>
      </c>
      <c r="K45">
        <f>D32</f>
        <v>38.4</v>
      </c>
    </row>
    <row r="46" spans="1:27" x14ac:dyDescent="0.3">
      <c r="B46">
        <f>E27</f>
        <v>50</v>
      </c>
      <c r="C46">
        <f>E28</f>
        <v>38.973353200000012</v>
      </c>
      <c r="D46">
        <f>E27</f>
        <v>50</v>
      </c>
      <c r="E46">
        <f ca="1">E29</f>
        <v>38.426005439999997</v>
      </c>
      <c r="F46">
        <f>E27</f>
        <v>50</v>
      </c>
      <c r="G46">
        <f>E30</f>
        <v>21.182862297045112</v>
      </c>
      <c r="H46">
        <f>E27</f>
        <v>50</v>
      </c>
      <c r="I46">
        <f ca="1">E31</f>
        <v>31.545783919999998</v>
      </c>
      <c r="J46">
        <f>E27</f>
        <v>50</v>
      </c>
      <c r="K46">
        <f>E32</f>
        <v>61.44</v>
      </c>
    </row>
    <row r="47" spans="1:27" x14ac:dyDescent="0.3">
      <c r="B47">
        <f>F27</f>
        <v>60</v>
      </c>
      <c r="C47">
        <f>F28</f>
        <v>51.522772930400016</v>
      </c>
      <c r="D47">
        <f>F27</f>
        <v>60</v>
      </c>
      <c r="E47">
        <f ca="1">F29</f>
        <v>50.261215115519995</v>
      </c>
      <c r="F47">
        <f>F27</f>
        <v>60</v>
      </c>
      <c r="G47">
        <f ca="1">F31</f>
        <v>37.791849136159996</v>
      </c>
      <c r="H47">
        <f>F27</f>
        <v>60</v>
      </c>
      <c r="I47">
        <f ca="1">F31</f>
        <v>37.791849136159996</v>
      </c>
      <c r="J47">
        <f>F27</f>
        <v>60</v>
      </c>
      <c r="K47">
        <f>F32</f>
        <v>98.304000000000002</v>
      </c>
    </row>
  </sheetData>
  <mergeCells count="2">
    <mergeCell ref="A23:F23"/>
    <mergeCell ref="N31:AA3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0C606-37CF-4305-B30B-A390760993E4}">
  <dimension ref="A1:AA43"/>
  <sheetViews>
    <sheetView zoomScale="75" zoomScaleNormal="75" workbookViewId="0">
      <selection activeCell="C44" sqref="C44"/>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37.6</v>
      </c>
      <c r="D2">
        <f t="shared" ref="D2:M2" si="0">C2-(C2/100*D1)</f>
        <v>37.224000000000004</v>
      </c>
      <c r="E2">
        <f t="shared" si="0"/>
        <v>36.479520000000001</v>
      </c>
      <c r="F2">
        <f t="shared" si="0"/>
        <v>35.385134399999998</v>
      </c>
      <c r="G2">
        <f t="shared" si="0"/>
        <v>33.969729023999996</v>
      </c>
      <c r="H2">
        <f t="shared" si="0"/>
        <v>32.271242572799999</v>
      </c>
      <c r="I2">
        <f t="shared" si="0"/>
        <v>30.334968018431997</v>
      </c>
      <c r="J2">
        <f t="shared" si="0"/>
        <v>28.211520257141757</v>
      </c>
      <c r="K2">
        <f t="shared" si="0"/>
        <v>25.954598636570417</v>
      </c>
      <c r="L2">
        <f t="shared" si="0"/>
        <v>23.618684759279081</v>
      </c>
      <c r="M2">
        <f t="shared" si="0"/>
        <v>21.256816283351171</v>
      </c>
      <c r="N2" s="8"/>
      <c r="O2" s="21"/>
      <c r="Q2" s="3" t="s">
        <v>0</v>
      </c>
      <c r="R2" s="16">
        <f>B27+ ((1 -((C2 / 37.6) * 0.7 )-((C3 / 100) * 0.3 )) * 100)</f>
        <v>20.000000000000007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20.000000000000004</v>
      </c>
      <c r="T3" s="23" t="s">
        <v>8</v>
      </c>
    </row>
    <row r="4" spans="1:20" ht="18" customHeight="1" x14ac:dyDescent="0.3">
      <c r="A4" s="4" t="s">
        <v>17</v>
      </c>
      <c r="B4" s="4" t="s">
        <v>18</v>
      </c>
      <c r="C4" s="10">
        <v>29</v>
      </c>
      <c r="D4">
        <f>C4-(C4/100*D1)</f>
        <v>28.71</v>
      </c>
      <c r="E4">
        <f t="shared" ref="E4:M4" si="2">D4-(D4/100*E1)</f>
        <v>28.1358</v>
      </c>
      <c r="F4">
        <f t="shared" si="2"/>
        <v>27.291726000000001</v>
      </c>
      <c r="G4">
        <f t="shared" si="2"/>
        <v>26.200056960000001</v>
      </c>
      <c r="H4">
        <f t="shared" si="2"/>
        <v>24.890054112000001</v>
      </c>
      <c r="I4">
        <f t="shared" si="2"/>
        <v>23.396650865280002</v>
      </c>
      <c r="J4">
        <f t="shared" si="2"/>
        <v>21.7588853047104</v>
      </c>
      <c r="K4">
        <f t="shared" si="2"/>
        <v>20.018174480333567</v>
      </c>
      <c r="L4">
        <f t="shared" si="2"/>
        <v>18.216538777103544</v>
      </c>
      <c r="M4">
        <f t="shared" si="2"/>
        <v>16.39488489939319</v>
      </c>
      <c r="N4" s="8"/>
      <c r="O4" s="18">
        <v>20</v>
      </c>
      <c r="Q4" s="5" t="s">
        <v>2</v>
      </c>
      <c r="R4" s="5">
        <f>B27 - 9*R11</f>
        <v>18.547142857142859</v>
      </c>
      <c r="T4" s="1">
        <f ca="1">(R2/100*20)+(R3/100*20)+(R4/100*25)+(R5/100*20)+(R6/100*15)</f>
        <v>19.636785714285718</v>
      </c>
    </row>
    <row r="5" spans="1:20" x14ac:dyDescent="0.3">
      <c r="A5" s="4" t="s">
        <v>17</v>
      </c>
      <c r="B5" s="4" t="s">
        <v>19</v>
      </c>
      <c r="C5" s="10">
        <v>3.2</v>
      </c>
      <c r="L5" s="8"/>
      <c r="M5" s="8">
        <f>C5-(C5/100*12)</f>
        <v>2.8160000000000003</v>
      </c>
      <c r="N5" s="8"/>
      <c r="O5" s="18">
        <f ca="1">FORECAST(C5, OFFSET(Strength_Normative_Data!$O$3, MATCH(C5, Strength_Normative_Data!$Q$3:$Q$17, -1)-1, 0, 2), OFFSET(Strength_Normative_Data!$Q$3, MATCH(C5, Strength_Normative_Data!$Q$3:$Q$17, -1)-1, 0, 2))</f>
        <v>20</v>
      </c>
      <c r="Q5" s="6" t="s">
        <v>29</v>
      </c>
      <c r="R5" s="6">
        <f ca="1">((O14/100*30)+(O15/100*25)+(O16/100*30)+(O17/100*15))</f>
        <v>19.999999999999996</v>
      </c>
    </row>
    <row r="6" spans="1:20" x14ac:dyDescent="0.3">
      <c r="A6" s="4" t="s">
        <v>17</v>
      </c>
      <c r="B6" s="4" t="s">
        <v>20</v>
      </c>
      <c r="C6" s="10">
        <v>35</v>
      </c>
      <c r="L6" s="8"/>
      <c r="M6" s="8">
        <f>C6-(C6/100*12)</f>
        <v>30.8</v>
      </c>
      <c r="N6" s="8"/>
      <c r="O6" s="18">
        <f ca="1">FORECAST(C6, OFFSET(Strength_Normative_Data!$J$3, MATCH(C6, Strength_Normative_Data!$L$3:$L$16, -1)-1, 0, 2), OFFSET(Strength_Normative_Data!$L$3, MATCH(C6, Strength_Normative_Data!$L$3:$L$16, -1)-1, 0, 2))</f>
        <v>20.000000000000014</v>
      </c>
      <c r="Q6" s="7" t="s">
        <v>4</v>
      </c>
      <c r="R6" s="7">
        <f>((O18/100*60)+(O19/100*40))</f>
        <v>20</v>
      </c>
    </row>
    <row r="7" spans="1:20" x14ac:dyDescent="0.3">
      <c r="A7" s="5" t="s">
        <v>21</v>
      </c>
      <c r="B7" s="5" t="s">
        <v>22</v>
      </c>
      <c r="C7" s="11">
        <v>28</v>
      </c>
      <c r="L7" s="8"/>
      <c r="M7" s="8">
        <f>C7+(C7/100*6)</f>
        <v>29.68</v>
      </c>
      <c r="N7" s="8"/>
      <c r="O7" s="22"/>
    </row>
    <row r="8" spans="1:20" x14ac:dyDescent="0.3">
      <c r="A8" s="5" t="s">
        <v>21</v>
      </c>
      <c r="B8" s="5" t="s">
        <v>23</v>
      </c>
      <c r="C8" s="11">
        <v>0.5</v>
      </c>
      <c r="L8" s="8"/>
      <c r="M8" s="8">
        <f>C8+(C8/100*4)</f>
        <v>0.52</v>
      </c>
      <c r="N8" s="8"/>
      <c r="O8" s="22">
        <f xml:space="preserve">
IF(C8&lt;=0.4,0,
IF(C8&lt;=0.5,20*(C8-0.4)/0.1,
IF(C8&lt;=0.6,20+40*(C8-0.5)/0.1,
60+40*(MIN(C8,0.75)-0.6)/0.15)))</f>
        <v>19.999999999999993</v>
      </c>
    </row>
    <row r="9" spans="1:20" x14ac:dyDescent="0.3">
      <c r="A9" s="5" t="s">
        <v>21</v>
      </c>
      <c r="B9" s="5" t="s">
        <v>24</v>
      </c>
      <c r="C9" s="11">
        <v>5.6</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26.928571428571431</v>
      </c>
      <c r="R11">
        <f xml:space="preserve">
IF(Q11&lt;=10,1.5-0.1*Q11,
IF(Q11&lt;=60,0.5-0.02*(Q11-10),
-0.5-0.03*(Q11-60)))</f>
        <v>0.16142857142857137</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1</v>
      </c>
      <c r="L13" s="8"/>
      <c r="M13" s="8">
        <f>C13+(C13/100*18)</f>
        <v>1.18</v>
      </c>
      <c r="N13" s="8"/>
      <c r="O13" s="5">
        <f xml:space="preserve">
IF(C13&lt;1,10*(C13/1),
IF(C13&lt;3,10+40*(C13-1)/2,
50+50*(MIN(C13,10)-3)/7))</f>
        <v>10</v>
      </c>
    </row>
    <row r="14" spans="1:20" x14ac:dyDescent="0.3">
      <c r="A14" s="6" t="s">
        <v>29</v>
      </c>
      <c r="B14" s="6" t="s">
        <v>30</v>
      </c>
      <c r="C14" s="12">
        <v>1.34</v>
      </c>
      <c r="L14" s="8"/>
      <c r="M14" s="8">
        <f>C14+(C14/100*6)</f>
        <v>1.4204000000000001</v>
      </c>
      <c r="N14" s="8"/>
      <c r="O14" s="12">
        <f ca="1">IFERROR(FORECAST(C14, OFFSET(Mobility_Normative_Data!$A$3, MATCH(C14, Mobility_Normative_Data!$C$3:$C$17, -1)-1, 0, 2), OFFSET(Mobility_Normative_Data!$C$3, MATCH(C14, Mobility_Normative_Data!$C$3:$C$17, -1)-1, 0, 2)), INDEX(Mobility_Normative_Data!$A$3:$A$17, MATCH(C14, Mobility_Normative_Data!$C$3:$C$17, -1)))</f>
        <v>20</v>
      </c>
    </row>
    <row r="15" spans="1:20" x14ac:dyDescent="0.3">
      <c r="A15" s="6" t="s">
        <v>29</v>
      </c>
      <c r="B15" s="6" t="s">
        <v>31</v>
      </c>
      <c r="C15" s="12">
        <v>5.5</v>
      </c>
      <c r="L15" s="8"/>
      <c r="M15" s="8">
        <f>C15+(C15/100*10)</f>
        <v>6.05</v>
      </c>
      <c r="N15" s="8"/>
      <c r="O15" s="12">
        <f ca="1">FORECAST(C15, OFFSET(Mobility_Normative_Data!$E$3, MATCH(C15, Mobility_Normative_Data!$G$3:$G$18, 1)-1, 0, 2), OFFSET(Mobility_Normative_Data!$G$3, MATCH(C15, Mobility_Normative_Data!$G$3:$G$18, 1)-1, 0, 2))</f>
        <v>19.999999999999986</v>
      </c>
    </row>
    <row r="16" spans="1:20" x14ac:dyDescent="0.3">
      <c r="A16" s="6" t="s">
        <v>29</v>
      </c>
      <c r="B16" s="6" t="s">
        <v>32</v>
      </c>
      <c r="C16" s="12">
        <v>45</v>
      </c>
      <c r="L16" s="8"/>
      <c r="M16" s="8">
        <f>C16+(C16/100*20)</f>
        <v>54</v>
      </c>
      <c r="N16" s="8"/>
      <c r="O16" s="12">
        <f ca="1">FORECAST(C16, OFFSET(Mobility_Normative_Data!$I$3, MATCH(C16, Mobility_Normative_Data!$K$3:$K$17, -1)-1, 0, 2), OFFSET(Mobility_Normative_Data!$K$3, MATCH(C16, Mobility_Normative_Data!$K$3:$K$17, -1)-1, 0, 2))</f>
        <v>20</v>
      </c>
    </row>
    <row r="17" spans="1:27" x14ac:dyDescent="0.3">
      <c r="A17" s="6" t="s">
        <v>29</v>
      </c>
      <c r="B17" s="6" t="s">
        <v>33</v>
      </c>
      <c r="C17" s="12">
        <v>42</v>
      </c>
      <c r="L17" s="8"/>
      <c r="M17" s="8">
        <f>C17+(C17/100*10)</f>
        <v>46.2</v>
      </c>
      <c r="N17" s="8"/>
      <c r="O17" s="12">
        <f ca="1">FORECAST(C17, OFFSET(Mobility_Normative_Data!$M$3, MATCH(C17, Mobility_Normative_Data!$O$3:$O$17, -1)-1, 0, 2), OFFSET(Mobility_Normative_Data!$O$3, MATCH(C17, Mobility_Normative_Data!$O$3:$O$17, -1)-1, 0, 2))</f>
        <v>20</v>
      </c>
    </row>
    <row r="18" spans="1:27" x14ac:dyDescent="0.3">
      <c r="A18" s="7" t="s">
        <v>34</v>
      </c>
      <c r="B18" s="7" t="s">
        <v>35</v>
      </c>
      <c r="C18" s="13">
        <v>0</v>
      </c>
      <c r="L18" s="8"/>
      <c r="M18" s="8">
        <f>C18 +(-0.2)</f>
        <v>-0.2</v>
      </c>
      <c r="N18" s="8"/>
      <c r="O18" s="20">
        <f>MAX(18,B27-(C18*25))</f>
        <v>20</v>
      </c>
    </row>
    <row r="19" spans="1:27" x14ac:dyDescent="0.3">
      <c r="A19" s="7" t="s">
        <v>34</v>
      </c>
      <c r="B19" s="7" t="s">
        <v>36</v>
      </c>
      <c r="C19" s="13">
        <v>0</v>
      </c>
      <c r="L19" s="8"/>
      <c r="M19" s="8">
        <f>C19+(-0.2)</f>
        <v>-0.2</v>
      </c>
      <c r="N19" s="8"/>
      <c r="O19" s="20">
        <f>MAX(18,B27-(J1925))</f>
        <v>20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20</v>
      </c>
      <c r="C27">
        <f>B27+10</f>
        <v>30</v>
      </c>
      <c r="D27">
        <f>C27+10</f>
        <v>40</v>
      </c>
      <c r="E27">
        <f>D27+10</f>
        <v>50</v>
      </c>
      <c r="F27">
        <f>E27+10</f>
        <v>60</v>
      </c>
    </row>
    <row r="28" spans="1:27" x14ac:dyDescent="0.3">
      <c r="A28" t="s">
        <v>0</v>
      </c>
      <c r="B28" s="24">
        <f>R2</f>
        <v>20.000000000000007</v>
      </c>
      <c r="C28">
        <f>B28+(B28/100*11.5)</f>
        <v>22.300000000000008</v>
      </c>
      <c r="D28">
        <f>C28+(C28/100*32.2)</f>
        <v>29.48060000000001</v>
      </c>
      <c r="E28">
        <f>D28+(D28/100*32.2)</f>
        <v>38.973353200000012</v>
      </c>
      <c r="F28">
        <f>E28+(E28/100*32.2)</f>
        <v>51.522772930400016</v>
      </c>
    </row>
    <row r="29" spans="1:27" x14ac:dyDescent="0.3">
      <c r="A29" t="s">
        <v>1</v>
      </c>
      <c r="B29">
        <f ca="1">R3</f>
        <v>20.000000000000004</v>
      </c>
      <c r="C29">
        <f ca="1">B29+(B29/100*12.3)</f>
        <v>22.460000000000004</v>
      </c>
      <c r="D29">
        <f ca="1">C29+(C29/100*30.8)</f>
        <v>29.377680000000005</v>
      </c>
      <c r="E29">
        <f ca="1">D29+(D29/100*30.8)</f>
        <v>38.426005440000012</v>
      </c>
      <c r="F29">
        <f ca="1">E29+(E29/100*30.8)</f>
        <v>50.261215115520017</v>
      </c>
    </row>
    <row r="30" spans="1:27" x14ac:dyDescent="0.3">
      <c r="A30" t="s">
        <v>2</v>
      </c>
      <c r="B30">
        <f>R4</f>
        <v>18.547142857142859</v>
      </c>
      <c r="C30">
        <f>B30+(B30/100*5.5)</f>
        <v>19.567235714285715</v>
      </c>
      <c r="D30">
        <f>C30+(C30/100*11)</f>
        <v>21.719631642857145</v>
      </c>
      <c r="E30">
        <f>D30+(D30/100*11)</f>
        <v>24.108791123571432</v>
      </c>
      <c r="F30">
        <f>E30+(E30/100*11)</f>
        <v>26.760758147164289</v>
      </c>
    </row>
    <row r="31" spans="1:27" x14ac:dyDescent="0.3">
      <c r="A31" t="s">
        <v>3</v>
      </c>
      <c r="B31">
        <f ca="1">R5</f>
        <v>19.999999999999996</v>
      </c>
      <c r="C31">
        <f ca="1">B31+(B31/100*9.9)</f>
        <v>21.979999999999997</v>
      </c>
      <c r="D31">
        <f ca="1">C31+(C31/100*19.8)</f>
        <v>26.332039999999996</v>
      </c>
      <c r="E31">
        <f ca="1">D31+(D31/100*19.8)</f>
        <v>31.545783919999995</v>
      </c>
      <c r="F31">
        <f ca="1">E31+(E31/100*19.8)</f>
        <v>37.791849136159996</v>
      </c>
      <c r="N31" s="46" t="s">
        <v>104</v>
      </c>
      <c r="O31" s="46"/>
      <c r="P31" s="46"/>
      <c r="Q31" s="46"/>
      <c r="R31" s="46"/>
      <c r="S31" s="46"/>
      <c r="T31" s="46"/>
      <c r="U31" s="46"/>
      <c r="V31" s="46"/>
      <c r="W31" s="46"/>
      <c r="X31" s="46"/>
      <c r="Y31" s="46"/>
      <c r="Z31" s="46"/>
      <c r="AA31" s="46"/>
    </row>
    <row r="32" spans="1:27" ht="100.8" x14ac:dyDescent="0.3">
      <c r="A32" t="s">
        <v>4</v>
      </c>
      <c r="B32">
        <f>R6</f>
        <v>20</v>
      </c>
      <c r="C32">
        <f>B32+(B32/100*20)</f>
        <v>24</v>
      </c>
      <c r="D32">
        <f>C32+(C32/100*60)</f>
        <v>38.4</v>
      </c>
      <c r="E32">
        <f>D32+(D32/100*60)</f>
        <v>61.44</v>
      </c>
      <c r="F32">
        <f>E32+(E32/100*60)</f>
        <v>98.304000000000002</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20</v>
      </c>
      <c r="O33" s="27">
        <f>R2</f>
        <v>20.000000000000007</v>
      </c>
      <c r="P33" s="2"/>
      <c r="Q33" s="2">
        <f>N33</f>
        <v>20</v>
      </c>
      <c r="R33" s="2">
        <f ca="1">R3</f>
        <v>20.000000000000004</v>
      </c>
      <c r="S33" s="2"/>
      <c r="T33" s="2">
        <f>N33</f>
        <v>20</v>
      </c>
      <c r="U33" s="2">
        <f>R4</f>
        <v>18.547142857142859</v>
      </c>
      <c r="V33" s="2"/>
      <c r="W33" s="2">
        <f>N33</f>
        <v>20</v>
      </c>
      <c r="X33" s="2">
        <f ca="1">R5</f>
        <v>19.999999999999996</v>
      </c>
      <c r="Y33" s="2"/>
      <c r="Z33" s="2">
        <f>N33</f>
        <v>20</v>
      </c>
      <c r="AA33">
        <f>R6</f>
        <v>20</v>
      </c>
    </row>
    <row r="34" spans="1:27" x14ac:dyDescent="0.3">
      <c r="N34" s="2">
        <f>N33+1</f>
        <v>21</v>
      </c>
      <c r="O34" s="2">
        <f>O33+(O33*0.0115)</f>
        <v>20.230000000000008</v>
      </c>
      <c r="P34" s="2"/>
      <c r="Q34" s="2">
        <f>Q33+1</f>
        <v>21</v>
      </c>
      <c r="R34" s="2">
        <f ca="1">R33+(R33*0.0123)</f>
        <v>20.246000000000002</v>
      </c>
      <c r="S34" s="2"/>
      <c r="T34" s="2">
        <f>T33+1</f>
        <v>21</v>
      </c>
      <c r="U34" s="2">
        <f t="shared" ref="U34:U43" si="3">U33+(U33*0.0055)</f>
        <v>18.649152142857144</v>
      </c>
      <c r="V34" s="2"/>
      <c r="W34" s="2">
        <f>W33+1</f>
        <v>21</v>
      </c>
      <c r="X34" s="2">
        <f ca="1">X33+(X33*0.0099)</f>
        <v>20.197999999999997</v>
      </c>
      <c r="Y34" s="2"/>
      <c r="Z34" s="2">
        <f>Z33+1</f>
        <v>21</v>
      </c>
      <c r="AA34">
        <f>AA33+(AA33*0.02)</f>
        <v>20.399999999999999</v>
      </c>
    </row>
    <row r="35" spans="1:27" x14ac:dyDescent="0.3">
      <c r="N35" s="2">
        <f t="shared" ref="N35:N43" si="4">N34+1</f>
        <v>22</v>
      </c>
      <c r="O35" s="2">
        <f t="shared" ref="O35:O43" si="5">O34+(O34*0.0115)</f>
        <v>20.462645000000009</v>
      </c>
      <c r="P35" s="2"/>
      <c r="Q35" s="2">
        <f t="shared" ref="Q35:Q43" si="6">Q34+1</f>
        <v>22</v>
      </c>
      <c r="R35" s="2">
        <f t="shared" ref="R35:R43" ca="1" si="7">R34+(R34*0.0123)</f>
        <v>20.495025800000001</v>
      </c>
      <c r="S35" s="2"/>
      <c r="T35" s="2">
        <f t="shared" ref="T35:T43" si="8">T34+1</f>
        <v>22</v>
      </c>
      <c r="U35" s="2">
        <f t="shared" si="3"/>
        <v>18.751722479642858</v>
      </c>
      <c r="V35" s="2"/>
      <c r="W35" s="2">
        <f t="shared" ref="W35:W43" si="9">W34+1</f>
        <v>22</v>
      </c>
      <c r="X35" s="2">
        <f t="shared" ref="X35:X43" ca="1" si="10">X34+(X34*0.0099)</f>
        <v>20.397960199999996</v>
      </c>
      <c r="Y35" s="2"/>
      <c r="Z35" s="2">
        <f t="shared" ref="Z35:Z43" si="11">Z34+1</f>
        <v>22</v>
      </c>
      <c r="AA35">
        <f t="shared" ref="AA35:AA43" si="12">AA34+(AA34*0.02)</f>
        <v>20.808</v>
      </c>
    </row>
    <row r="36" spans="1:27" x14ac:dyDescent="0.3">
      <c r="N36" s="2">
        <f t="shared" si="4"/>
        <v>23</v>
      </c>
      <c r="O36" s="2">
        <f t="shared" si="5"/>
        <v>20.697965417500008</v>
      </c>
      <c r="P36" s="2"/>
      <c r="Q36" s="2">
        <f t="shared" si="6"/>
        <v>23</v>
      </c>
      <c r="R36" s="2">
        <f t="shared" ca="1" si="7"/>
        <v>20.747114617339999</v>
      </c>
      <c r="S36" s="2"/>
      <c r="T36" s="2">
        <f t="shared" si="8"/>
        <v>23</v>
      </c>
      <c r="U36" s="2">
        <f t="shared" si="3"/>
        <v>18.854856953280894</v>
      </c>
      <c r="V36" s="2"/>
      <c r="W36" s="2">
        <f t="shared" si="9"/>
        <v>23</v>
      </c>
      <c r="X36" s="2">
        <f t="shared" ca="1" si="10"/>
        <v>20.599900005979997</v>
      </c>
      <c r="Y36" s="2"/>
      <c r="Z36" s="2">
        <f t="shared" si="11"/>
        <v>23</v>
      </c>
      <c r="AA36">
        <f t="shared" si="12"/>
        <v>21.224160000000001</v>
      </c>
    </row>
    <row r="37" spans="1:27" x14ac:dyDescent="0.3">
      <c r="A37" s="1"/>
      <c r="N37" s="2">
        <f t="shared" si="4"/>
        <v>24</v>
      </c>
      <c r="O37" s="2">
        <f t="shared" si="5"/>
        <v>20.935992019801258</v>
      </c>
      <c r="P37" s="2"/>
      <c r="Q37" s="2">
        <f t="shared" si="6"/>
        <v>24</v>
      </c>
      <c r="R37" s="2">
        <f t="shared" ca="1" si="7"/>
        <v>21.002304127133282</v>
      </c>
      <c r="S37" s="2"/>
      <c r="T37" s="2">
        <f t="shared" si="8"/>
        <v>24</v>
      </c>
      <c r="U37" s="2">
        <f t="shared" si="3"/>
        <v>18.958558666523938</v>
      </c>
      <c r="V37" s="2"/>
      <c r="W37" s="2">
        <f t="shared" si="9"/>
        <v>24</v>
      </c>
      <c r="X37" s="2">
        <f t="shared" ca="1" si="10"/>
        <v>20.803839016039198</v>
      </c>
      <c r="Y37" s="2"/>
      <c r="Z37" s="2">
        <f t="shared" si="11"/>
        <v>24</v>
      </c>
      <c r="AA37">
        <f t="shared" si="12"/>
        <v>21.648643200000002</v>
      </c>
    </row>
    <row r="38" spans="1:27" x14ac:dyDescent="0.3">
      <c r="N38" s="2">
        <f t="shared" si="4"/>
        <v>25</v>
      </c>
      <c r="O38" s="2">
        <f t="shared" si="5"/>
        <v>21.176755928028971</v>
      </c>
      <c r="P38" s="2"/>
      <c r="Q38" s="2">
        <f t="shared" si="6"/>
        <v>25</v>
      </c>
      <c r="R38" s="2">
        <f t="shared" ca="1" si="7"/>
        <v>21.260632467897022</v>
      </c>
      <c r="S38" s="2"/>
      <c r="T38" s="2">
        <f t="shared" si="8"/>
        <v>25</v>
      </c>
      <c r="U38" s="2">
        <f t="shared" si="3"/>
        <v>19.06283073918982</v>
      </c>
      <c r="V38" s="2"/>
      <c r="W38" s="2">
        <f t="shared" si="9"/>
        <v>25</v>
      </c>
      <c r="X38" s="2">
        <f t="shared" ca="1" si="10"/>
        <v>21.009797022297988</v>
      </c>
      <c r="Y38" s="2"/>
      <c r="Z38" s="2">
        <f t="shared" si="11"/>
        <v>25</v>
      </c>
      <c r="AA38">
        <f t="shared" si="12"/>
        <v>22.081616064000002</v>
      </c>
    </row>
    <row r="39" spans="1:27" x14ac:dyDescent="0.3">
      <c r="N39" s="2">
        <f t="shared" si="4"/>
        <v>26</v>
      </c>
      <c r="O39" s="2">
        <f t="shared" si="5"/>
        <v>21.420288621201305</v>
      </c>
      <c r="P39" s="2"/>
      <c r="Q39" s="2">
        <f t="shared" si="6"/>
        <v>26</v>
      </c>
      <c r="R39" s="2">
        <f t="shared" ca="1" si="7"/>
        <v>21.522138247252155</v>
      </c>
      <c r="S39" s="2"/>
      <c r="T39" s="2">
        <f t="shared" si="8"/>
        <v>26</v>
      </c>
      <c r="U39" s="2">
        <f t="shared" si="3"/>
        <v>19.167676308255363</v>
      </c>
      <c r="V39" s="2"/>
      <c r="W39" s="2">
        <f t="shared" si="9"/>
        <v>26</v>
      </c>
      <c r="X39" s="2">
        <f t="shared" ca="1" si="10"/>
        <v>21.217794012818739</v>
      </c>
      <c r="Y39" s="2"/>
      <c r="Z39" s="2">
        <f t="shared" si="11"/>
        <v>26</v>
      </c>
      <c r="AA39">
        <f t="shared" si="12"/>
        <v>22.523248385280002</v>
      </c>
    </row>
    <row r="40" spans="1:27" x14ac:dyDescent="0.3">
      <c r="N40" s="2">
        <f t="shared" si="4"/>
        <v>27</v>
      </c>
      <c r="O40" s="2">
        <f t="shared" si="5"/>
        <v>21.66662194034512</v>
      </c>
      <c r="P40" s="2"/>
      <c r="Q40" s="2">
        <f t="shared" si="6"/>
        <v>27</v>
      </c>
      <c r="R40" s="2">
        <f t="shared" ca="1" si="7"/>
        <v>21.786860547693355</v>
      </c>
      <c r="S40" s="2"/>
      <c r="T40" s="2">
        <f t="shared" si="8"/>
        <v>27</v>
      </c>
      <c r="U40" s="2">
        <f t="shared" si="3"/>
        <v>19.273098527950768</v>
      </c>
      <c r="V40" s="2"/>
      <c r="W40" s="2">
        <f t="shared" si="9"/>
        <v>27</v>
      </c>
      <c r="X40" s="2">
        <f t="shared" ca="1" si="10"/>
        <v>21.427850173545647</v>
      </c>
      <c r="Y40" s="2"/>
      <c r="Z40" s="2">
        <f t="shared" si="11"/>
        <v>27</v>
      </c>
      <c r="AA40">
        <f t="shared" si="12"/>
        <v>22.973713352985602</v>
      </c>
    </row>
    <row r="41" spans="1:27" x14ac:dyDescent="0.3">
      <c r="N41" s="2">
        <f t="shared" si="4"/>
        <v>28</v>
      </c>
      <c r="O41" s="2">
        <f t="shared" si="5"/>
        <v>21.915788092659088</v>
      </c>
      <c r="P41" s="2"/>
      <c r="Q41" s="2">
        <f t="shared" si="6"/>
        <v>28</v>
      </c>
      <c r="R41" s="2">
        <f t="shared" ca="1" si="7"/>
        <v>22.054838932429984</v>
      </c>
      <c r="S41" s="2"/>
      <c r="T41" s="2">
        <f t="shared" si="8"/>
        <v>28</v>
      </c>
      <c r="U41" s="2">
        <f t="shared" si="3"/>
        <v>19.379100569854497</v>
      </c>
      <c r="V41" s="2"/>
      <c r="W41" s="2">
        <f t="shared" si="9"/>
        <v>28</v>
      </c>
      <c r="X41" s="2">
        <f t="shared" ca="1" si="10"/>
        <v>21.639985890263748</v>
      </c>
      <c r="Y41" s="2"/>
      <c r="Z41" s="2">
        <f t="shared" si="11"/>
        <v>28</v>
      </c>
      <c r="AA41">
        <f t="shared" si="12"/>
        <v>23.433187620045313</v>
      </c>
    </row>
    <row r="42" spans="1:27" x14ac:dyDescent="0.3">
      <c r="N42" s="2">
        <f t="shared" si="4"/>
        <v>29</v>
      </c>
      <c r="O42" s="2">
        <f t="shared" si="5"/>
        <v>22.167819655724667</v>
      </c>
      <c r="P42" s="2"/>
      <c r="Q42" s="2">
        <f t="shared" si="6"/>
        <v>29</v>
      </c>
      <c r="R42" s="2">
        <f t="shared" ca="1" si="7"/>
        <v>22.326113451298873</v>
      </c>
      <c r="S42" s="2"/>
      <c r="T42" s="2">
        <f t="shared" si="8"/>
        <v>29</v>
      </c>
      <c r="U42" s="2">
        <f t="shared" si="3"/>
        <v>19.485685622988697</v>
      </c>
      <c r="V42" s="2"/>
      <c r="W42" s="2">
        <f t="shared" si="9"/>
        <v>29</v>
      </c>
      <c r="X42" s="2">
        <f t="shared" ca="1" si="10"/>
        <v>21.854221750577359</v>
      </c>
      <c r="Y42" s="2"/>
      <c r="Z42" s="2">
        <f t="shared" si="11"/>
        <v>29</v>
      </c>
      <c r="AA42">
        <f t="shared" si="12"/>
        <v>23.90185137244622</v>
      </c>
    </row>
    <row r="43" spans="1:27" x14ac:dyDescent="0.3">
      <c r="N43" s="2">
        <f t="shared" si="4"/>
        <v>30</v>
      </c>
      <c r="O43" s="2">
        <f t="shared" si="5"/>
        <v>22.422749581765501</v>
      </c>
      <c r="P43" s="2"/>
      <c r="Q43" s="2">
        <f t="shared" si="6"/>
        <v>30</v>
      </c>
      <c r="R43" s="2">
        <f t="shared" ca="1" si="7"/>
        <v>22.60072464674985</v>
      </c>
      <c r="S43" s="2"/>
      <c r="T43" s="2">
        <f t="shared" si="8"/>
        <v>30</v>
      </c>
      <c r="U43" s="2">
        <f t="shared" si="3"/>
        <v>19.592856893915133</v>
      </c>
      <c r="V43" s="2"/>
      <c r="W43" s="2">
        <f t="shared" si="9"/>
        <v>30</v>
      </c>
      <c r="X43" s="2">
        <f t="shared" ca="1" si="10"/>
        <v>22.070578545908074</v>
      </c>
      <c r="Y43" s="2"/>
      <c r="Z43" s="2">
        <f t="shared" si="11"/>
        <v>30</v>
      </c>
      <c r="AA43">
        <f t="shared" si="12"/>
        <v>24.379888399895144</v>
      </c>
    </row>
  </sheetData>
  <mergeCells count="2">
    <mergeCell ref="A23:F23"/>
    <mergeCell ref="N31:AA3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3C7B-9F65-499B-A9C9-E58F9A372E3B}">
  <dimension ref="A1:AA47"/>
  <sheetViews>
    <sheetView zoomScale="73" zoomScaleNormal="85" workbookViewId="0">
      <selection activeCell="Q25" sqref="Q25"/>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3.3320312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48</v>
      </c>
      <c r="D2">
        <f t="shared" ref="D2:M2" si="0">C2-(C2/100*D1)</f>
        <v>47.52</v>
      </c>
      <c r="E2">
        <f t="shared" si="0"/>
        <v>46.569600000000001</v>
      </c>
      <c r="F2">
        <f t="shared" si="0"/>
        <v>45.172511999999998</v>
      </c>
      <c r="G2">
        <f t="shared" si="0"/>
        <v>43.365611519999995</v>
      </c>
      <c r="H2">
        <f t="shared" si="0"/>
        <v>41.197330943999994</v>
      </c>
      <c r="I2">
        <f t="shared" si="0"/>
        <v>38.725491087359991</v>
      </c>
      <c r="J2">
        <f t="shared" si="0"/>
        <v>36.014706711244791</v>
      </c>
      <c r="K2">
        <f t="shared" si="0"/>
        <v>33.133530174345211</v>
      </c>
      <c r="L2">
        <f t="shared" si="0"/>
        <v>30.151512458654143</v>
      </c>
      <c r="M2">
        <f t="shared" si="0"/>
        <v>27.136361212788728</v>
      </c>
      <c r="N2" s="8"/>
      <c r="O2" s="21"/>
      <c r="Q2" s="3" t="s">
        <v>0</v>
      </c>
      <c r="R2" s="16">
        <f>B27+ ((1 -((C2 / 48) * 0.7 )-((C3 / 100) * 0.3 )) * 100)</f>
        <v>25.000000000000007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25</v>
      </c>
      <c r="T3" s="23" t="s">
        <v>8</v>
      </c>
    </row>
    <row r="4" spans="1:20" ht="18" customHeight="1" x14ac:dyDescent="0.3">
      <c r="A4" s="4" t="s">
        <v>17</v>
      </c>
      <c r="B4" s="4" t="s">
        <v>18</v>
      </c>
      <c r="C4" s="10">
        <v>50</v>
      </c>
      <c r="D4">
        <f>C4-(C4/100*D1)</f>
        <v>49.5</v>
      </c>
      <c r="E4">
        <f t="shared" ref="E4:M4" si="2">D4-(D4/100*E1)</f>
        <v>48.51</v>
      </c>
      <c r="F4">
        <f t="shared" si="2"/>
        <v>47.054699999999997</v>
      </c>
      <c r="G4">
        <f t="shared" si="2"/>
        <v>45.172511999999998</v>
      </c>
      <c r="H4">
        <f t="shared" si="2"/>
        <v>42.913886399999996</v>
      </c>
      <c r="I4">
        <f t="shared" si="2"/>
        <v>40.339053215999996</v>
      </c>
      <c r="J4">
        <f t="shared" si="2"/>
        <v>37.515319490879996</v>
      </c>
      <c r="K4">
        <f t="shared" si="2"/>
        <v>34.514093931609594</v>
      </c>
      <c r="L4">
        <f t="shared" si="2"/>
        <v>31.407825477764732</v>
      </c>
      <c r="M4">
        <f t="shared" si="2"/>
        <v>28.267042929988257</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25</v>
      </c>
      <c r="Q4" s="5" t="s">
        <v>2</v>
      </c>
      <c r="R4" s="5">
        <f>B27 - 9*R11</f>
        <v>23.627263157894738</v>
      </c>
      <c r="T4" s="1">
        <f ca="1">(R2/100*20)+(R3/100*20)+(R4/100*25)+(R5/100*20)+(R6/100*15)</f>
        <v>24.356815789473686</v>
      </c>
    </row>
    <row r="5" spans="1:20" x14ac:dyDescent="0.3">
      <c r="A5" s="4" t="s">
        <v>17</v>
      </c>
      <c r="B5" s="4" t="s">
        <v>19</v>
      </c>
      <c r="C5" s="10">
        <v>4.0999999999999996</v>
      </c>
      <c r="L5" s="8"/>
      <c r="M5" s="8">
        <f>C5-(C5/100*12)</f>
        <v>3.6079999999999997</v>
      </c>
      <c r="N5" s="8"/>
      <c r="O5" s="18">
        <f ca="1">FORECAST(C5, OFFSET(Strength_Normative_Data!$O$3, MATCH(C5, Strength_Normative_Data!$P$3:$P$17, -1)-1, 0, 2), OFFSET(Strength_Normative_Data!$P$3, MATCH(C5, Strength_Normative_Data!$P$3:$P$17, -1)-1, 0, 2))</f>
        <v>25</v>
      </c>
      <c r="Q5" s="6" t="s">
        <v>29</v>
      </c>
      <c r="R5" s="6">
        <f ca="1">((O14/100*30)+(O15/100*25)+(O16/100*30)+(O17/100*15))</f>
        <v>23.5</v>
      </c>
    </row>
    <row r="6" spans="1:20" x14ac:dyDescent="0.3">
      <c r="A6" s="4" t="s">
        <v>17</v>
      </c>
      <c r="B6" s="4" t="s">
        <v>20</v>
      </c>
      <c r="C6" s="10">
        <v>51</v>
      </c>
      <c r="L6" s="8"/>
      <c r="M6" s="8">
        <f>C6-(C6/100*12)</f>
        <v>44.88</v>
      </c>
      <c r="N6" s="8"/>
      <c r="O6" s="18">
        <f ca="1">FORECAST(C6, OFFSET(Strength_Normative_Data!$J$3, MATCH(C6, Strength_Normative_Data!$K$3:$K$16, -1)-1, 0, 2), OFFSET(Strength_Normative_Data!$K$3, MATCH(C6, Strength_Normative_Data!$K$3:$K$16, -1)-1, 0, 2))</f>
        <v>25</v>
      </c>
      <c r="Q6" s="7" t="s">
        <v>4</v>
      </c>
      <c r="R6" s="7">
        <f>((O18/100*60)+(O19/100*40))</f>
        <v>25</v>
      </c>
    </row>
    <row r="7" spans="1:20" x14ac:dyDescent="0.3">
      <c r="A7" s="5" t="s">
        <v>21</v>
      </c>
      <c r="B7" s="5" t="s">
        <v>22</v>
      </c>
      <c r="C7" s="11">
        <v>22</v>
      </c>
      <c r="L7" s="8"/>
      <c r="M7" s="8">
        <f>C7+(C7/100*6)</f>
        <v>23.32</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5.0999999999999996</v>
      </c>
      <c r="L9" s="8"/>
      <c r="M9" s="8"/>
      <c r="N9" s="8"/>
      <c r="O9" s="22"/>
    </row>
    <row r="10" spans="1:20" x14ac:dyDescent="0.3">
      <c r="A10" s="5" t="s">
        <v>21</v>
      </c>
      <c r="B10" s="5" t="s">
        <v>25</v>
      </c>
      <c r="C10" s="11">
        <v>5.6</v>
      </c>
      <c r="L10" s="8"/>
      <c r="M10" s="8">
        <f>C10+(C10/100*5)</f>
        <v>5.88</v>
      </c>
      <c r="N10" s="8"/>
      <c r="O10" s="22">
        <f xml:space="preserve">
IF(C10&lt;5.7,10*(C10/5.7),
IF(C10&lt;6.5,10+40*(C10-5.7)/0.8,
50+50*(MIN(C10,9)-6.5)/2.5))</f>
        <v>9.8245614035087705</v>
      </c>
      <c r="Q10" t="s">
        <v>89</v>
      </c>
      <c r="R10" t="s">
        <v>90</v>
      </c>
    </row>
    <row r="11" spans="1:20" x14ac:dyDescent="0.3">
      <c r="A11" s="5" t="s">
        <v>21</v>
      </c>
      <c r="B11" s="5" t="s">
        <v>26</v>
      </c>
      <c r="C11" s="11">
        <v>2.2999999999999998</v>
      </c>
      <c r="L11" s="8"/>
      <c r="M11" s="8">
        <f>C11+(C11/100*14)</f>
        <v>2.6219999999999999</v>
      </c>
      <c r="N11" s="8"/>
      <c r="O11" s="5">
        <f xml:space="preserve">
IF(C11&lt;1.6,10*(C11/1.6),
IF(C11&lt;3,10+40*(C11-1.6)/1.4,
50+50*(MIN(C11,7)-3)/4))</f>
        <v>29.999999999999993</v>
      </c>
      <c r="Q11">
        <f>(0.3*P12)+(0.2*O8)+(0.15*O10)+(0.25*O11)+(0.1*O13)</f>
        <v>27.373684210526321</v>
      </c>
      <c r="R11">
        <f xml:space="preserve">
IF(Q11&lt;=10,1.5-0.1*Q11,
IF(Q11&lt;=60,0.5-0.02*(Q11-10),
-0.5-0.03*(Q11-60)))</f>
        <v>0.15252631578947357</v>
      </c>
    </row>
    <row r="12" spans="1:20" x14ac:dyDescent="0.3">
      <c r="A12" s="5" t="s">
        <v>21</v>
      </c>
      <c r="B12" s="5" t="s">
        <v>27</v>
      </c>
      <c r="C12" s="11">
        <v>0.98</v>
      </c>
      <c r="L12" s="8"/>
      <c r="M12" s="8">
        <f>C12+(C12/100*6)</f>
        <v>1.0387999999999999</v>
      </c>
      <c r="N12" s="8"/>
      <c r="O12" s="5">
        <f>C12*100</f>
        <v>98</v>
      </c>
      <c r="P12" s="5">
        <f xml:space="preserve">
IF(O12&lt;80,5*(O12/80),
IF(O12&lt;100,10+20*(O12-80)/20,
IF(O12&lt;130,30+25*(O12-100)/30,
IF(O12&lt;160,55+25*(O12-130)/30,
IF(O12&lt;200,80+20*(O12-160)/40,100)))))</f>
        <v>28</v>
      </c>
    </row>
    <row r="13" spans="1:20" x14ac:dyDescent="0.3">
      <c r="A13" s="5" t="s">
        <v>21</v>
      </c>
      <c r="B13" s="5" t="s">
        <v>28</v>
      </c>
      <c r="C13" s="11">
        <v>1.5</v>
      </c>
      <c r="L13" s="8"/>
      <c r="M13" s="8">
        <f>C13+(C13/100*18)</f>
        <v>1.77</v>
      </c>
      <c r="N13" s="8"/>
      <c r="O13" s="5">
        <f xml:space="preserve">
IF(C13&lt;1,10*(C13/1),
IF(C13&lt;3,10+40*(C13-1)/2,
50+50*(MIN(C13,10)-3)/7))</f>
        <v>20</v>
      </c>
    </row>
    <row r="14" spans="1:20" x14ac:dyDescent="0.3">
      <c r="A14" s="6" t="s">
        <v>29</v>
      </c>
      <c r="B14" s="6" t="s">
        <v>30</v>
      </c>
      <c r="C14" s="12">
        <v>1.36</v>
      </c>
      <c r="L14" s="8"/>
      <c r="M14" s="8">
        <f>C14+(C14/100*6)</f>
        <v>1.4416000000000002</v>
      </c>
      <c r="N14" s="8"/>
      <c r="O14" s="12">
        <f ca="1">IFERROR(FORECAST(C14, OFFSET(Mobility_Normative_Data!$A$3, MATCH(C14, Mobility_Normative_Data!$B$3:$B$17, -1)-1, 0, 2), OFFSET(Mobility_Normative_Data!$B$3, MATCH(C14, Mobility_Normative_Data!$B$3:$B$17, -1)-1, 0, 2)), INDEX(Mobility_Normative_Data!$A$3:$A$17, MATCH(C14, Mobility_Normative_Data!$B$3:$B$17, -1)))</f>
        <v>20</v>
      </c>
    </row>
    <row r="15" spans="1:20" x14ac:dyDescent="0.3">
      <c r="A15" s="6" t="s">
        <v>29</v>
      </c>
      <c r="B15" s="6" t="s">
        <v>31</v>
      </c>
      <c r="C15" s="12">
        <v>5.2</v>
      </c>
      <c r="L15" s="8"/>
      <c r="M15" s="8">
        <f>C15+(C15/100*10)</f>
        <v>5.7200000000000006</v>
      </c>
      <c r="N15" s="8"/>
      <c r="O15" s="12">
        <f ca="1">FORECAST(C15, OFFSET(Mobility_Normative_Data!$E$3, MATCH(C15, Mobility_Normative_Data!$F$3:$F$18, 1)-1, 0, 2), OFFSET(Mobility_Normative_Data!$F$3, MATCH(C15, Mobility_Normative_Data!$F$3:$F$18, 1)-1, 0, 2))</f>
        <v>25</v>
      </c>
    </row>
    <row r="16" spans="1:20" x14ac:dyDescent="0.3">
      <c r="A16" s="6" t="s">
        <v>29</v>
      </c>
      <c r="B16" s="6" t="s">
        <v>32</v>
      </c>
      <c r="C16" s="12">
        <v>44</v>
      </c>
      <c r="L16" s="8"/>
      <c r="M16" s="8">
        <f>C16+(C16/100*20)</f>
        <v>52.8</v>
      </c>
      <c r="N16" s="8"/>
      <c r="O16" s="12">
        <f ca="1">FORECAST(C16, OFFSET(Mobility_Normative_Data!$I$3, MATCH(C16, Mobility_Normative_Data!$J$3:$J$17, -1)-1, 0, 2), OFFSET(Mobility_Normative_Data!$J$3, MATCH(C16, Mobility_Normative_Data!$J$3:$J$17, -1)-1, 0, 2))</f>
        <v>25</v>
      </c>
    </row>
    <row r="17" spans="1:27" x14ac:dyDescent="0.3">
      <c r="A17" s="6" t="s">
        <v>29</v>
      </c>
      <c r="B17" s="6" t="s">
        <v>33</v>
      </c>
      <c r="C17" s="12">
        <v>38</v>
      </c>
      <c r="L17" s="8"/>
      <c r="M17" s="8">
        <f>C17+(C17/100*10)</f>
        <v>41.8</v>
      </c>
      <c r="N17" s="8"/>
      <c r="O17" s="12">
        <f ca="1">FORECAST(C17, OFFSET(Mobility_Normative_Data!$M$3, MATCH(C17, Mobility_Normative_Data!$N$3:$N$17, -1)-1, 0, 2), OFFSET(Mobility_Normative_Data!$N$3, MATCH(C17, Mobility_Normative_Data!$N$3:$N$17, -1)-1, 0, 2))</f>
        <v>25</v>
      </c>
    </row>
    <row r="18" spans="1:27" x14ac:dyDescent="0.3">
      <c r="A18" s="7" t="s">
        <v>34</v>
      </c>
      <c r="B18" s="7" t="s">
        <v>35</v>
      </c>
      <c r="C18" s="13">
        <v>0</v>
      </c>
      <c r="L18" s="8"/>
      <c r="M18" s="8">
        <f>C18 +(-0.2)</f>
        <v>-0.2</v>
      </c>
      <c r="N18" s="8"/>
      <c r="O18" s="20">
        <f>MAX(18,B27-(C18*25))</f>
        <v>25</v>
      </c>
    </row>
    <row r="19" spans="1:27" x14ac:dyDescent="0.3">
      <c r="A19" s="7" t="s">
        <v>34</v>
      </c>
      <c r="B19" s="7" t="s">
        <v>36</v>
      </c>
      <c r="C19" s="13">
        <v>0</v>
      </c>
      <c r="L19" s="8"/>
      <c r="M19" s="8">
        <f>C19+(-0.2)</f>
        <v>-0.2</v>
      </c>
      <c r="N19" s="8"/>
      <c r="O19" s="20">
        <f>MAX(18,B27-(J1925))</f>
        <v>25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25</v>
      </c>
      <c r="C27">
        <f>B27+10</f>
        <v>35</v>
      </c>
      <c r="D27">
        <f>C27+10</f>
        <v>45</v>
      </c>
      <c r="E27">
        <f>D27+10</f>
        <v>55</v>
      </c>
      <c r="F27">
        <f>E27+10</f>
        <v>65</v>
      </c>
    </row>
    <row r="28" spans="1:27" x14ac:dyDescent="0.3">
      <c r="A28" t="s">
        <v>0</v>
      </c>
      <c r="B28" s="24">
        <f>R2</f>
        <v>25.000000000000007</v>
      </c>
      <c r="C28">
        <f>B28+(B28/100*11.5)</f>
        <v>27.875000000000007</v>
      </c>
      <c r="D28">
        <f>C28+(C28/100*32.2)</f>
        <v>36.850750000000012</v>
      </c>
      <c r="E28">
        <f>D28+(D28/100*32.2)</f>
        <v>48.716691500000017</v>
      </c>
      <c r="F28">
        <f>E28+(E28/100*32.2)</f>
        <v>64.403466163000019</v>
      </c>
    </row>
    <row r="29" spans="1:27" x14ac:dyDescent="0.3">
      <c r="A29" t="s">
        <v>1</v>
      </c>
      <c r="B29">
        <f ca="1">R3</f>
        <v>25</v>
      </c>
      <c r="C29">
        <f ca="1">B29+(B29/100*12.3)</f>
        <v>28.074999999999999</v>
      </c>
      <c r="D29">
        <f ca="1">C29+(C29/100*30.8)</f>
        <v>36.722099999999998</v>
      </c>
      <c r="E29">
        <f ca="1">D29+(D29/100*30.8)</f>
        <v>48.032506799999993</v>
      </c>
      <c r="F29">
        <f ca="1">E29+(E29/100*30.8)</f>
        <v>62.826518894399989</v>
      </c>
    </row>
    <row r="30" spans="1:27" x14ac:dyDescent="0.3">
      <c r="A30" t="s">
        <v>2</v>
      </c>
      <c r="B30">
        <f>R4</f>
        <v>23.627263157894738</v>
      </c>
      <c r="C30">
        <f>B30+(B30/100*5.5)</f>
        <v>24.926762631578949</v>
      </c>
      <c r="D30">
        <f>C30+(C30/100*11)</f>
        <v>27.668706521052634</v>
      </c>
      <c r="E30">
        <f>D30+(D30/100*11)</f>
        <v>30.712264238368423</v>
      </c>
      <c r="F30">
        <f>E30+(E30/100*11)</f>
        <v>34.090613304588949</v>
      </c>
    </row>
    <row r="31" spans="1:27" x14ac:dyDescent="0.3">
      <c r="A31" t="s">
        <v>3</v>
      </c>
      <c r="B31">
        <f ca="1">R5</f>
        <v>23.5</v>
      </c>
      <c r="C31">
        <f ca="1">B31+(B31/100*9.9)</f>
        <v>25.826499999999999</v>
      </c>
      <c r="D31">
        <f ca="1">C31+(C31/100*19.8)</f>
        <v>30.940147</v>
      </c>
      <c r="E31">
        <f ca="1">D31+(D31/100*19.8)</f>
        <v>37.066296106000003</v>
      </c>
      <c r="F31">
        <f ca="1">E31+(E31/100*19.8)</f>
        <v>44.405422734988001</v>
      </c>
      <c r="N31" s="46" t="s">
        <v>104</v>
      </c>
      <c r="O31" s="46"/>
      <c r="P31" s="46"/>
      <c r="Q31" s="46"/>
      <c r="R31" s="46"/>
      <c r="S31" s="46"/>
      <c r="T31" s="46"/>
      <c r="U31" s="46"/>
      <c r="V31" s="46"/>
      <c r="W31" s="46"/>
      <c r="X31" s="46"/>
      <c r="Y31" s="46"/>
      <c r="Z31" s="46"/>
      <c r="AA31" s="46"/>
    </row>
    <row r="32" spans="1:27" ht="86.4" x14ac:dyDescent="0.3">
      <c r="A32" t="s">
        <v>4</v>
      </c>
      <c r="B32">
        <f>R6</f>
        <v>25</v>
      </c>
      <c r="C32">
        <f>B32+(B32/100*20)</f>
        <v>30</v>
      </c>
      <c r="D32">
        <f>C32+(C32/100*60)</f>
        <v>48</v>
      </c>
      <c r="E32">
        <f>D32+(D32/100*60)</f>
        <v>76.8</v>
      </c>
      <c r="F32">
        <f>E32+(E32/100*60)</f>
        <v>122.88</v>
      </c>
      <c r="N32" s="2" t="s">
        <v>103</v>
      </c>
      <c r="O32" s="2" t="s">
        <v>124</v>
      </c>
      <c r="P32" s="2"/>
      <c r="Q32" s="2" t="s">
        <v>103</v>
      </c>
      <c r="R32" s="2" t="s">
        <v>125</v>
      </c>
      <c r="S32" s="2"/>
      <c r="T32" s="2" t="s">
        <v>103</v>
      </c>
      <c r="U32" s="2" t="s">
        <v>126</v>
      </c>
      <c r="V32" s="2"/>
      <c r="W32" s="2" t="s">
        <v>103</v>
      </c>
      <c r="X32" s="2" t="s">
        <v>127</v>
      </c>
      <c r="Y32" s="2"/>
      <c r="Z32" s="2" t="s">
        <v>103</v>
      </c>
      <c r="AA32" s="2" t="s">
        <v>128</v>
      </c>
    </row>
    <row r="33" spans="1:27" x14ac:dyDescent="0.3">
      <c r="N33" s="2">
        <f>B27</f>
        <v>25</v>
      </c>
      <c r="O33" s="27">
        <f>R2</f>
        <v>25.000000000000007</v>
      </c>
      <c r="P33" s="2"/>
      <c r="Q33" s="2">
        <f>N33</f>
        <v>25</v>
      </c>
      <c r="R33" s="2">
        <f ca="1">R3</f>
        <v>25</v>
      </c>
      <c r="S33" s="2"/>
      <c r="T33" s="2">
        <f>N33</f>
        <v>25</v>
      </c>
      <c r="U33" s="2">
        <f>R4</f>
        <v>23.627263157894738</v>
      </c>
      <c r="V33" s="2"/>
      <c r="W33" s="2">
        <f>N33</f>
        <v>25</v>
      </c>
      <c r="X33" s="2">
        <f ca="1">R5</f>
        <v>23.5</v>
      </c>
      <c r="Y33" s="2"/>
      <c r="Z33" s="2">
        <f>N33</f>
        <v>25</v>
      </c>
      <c r="AA33">
        <f>R6</f>
        <v>25</v>
      </c>
    </row>
    <row r="34" spans="1:27" x14ac:dyDescent="0.3">
      <c r="N34" s="2">
        <f>N33+1</f>
        <v>26</v>
      </c>
      <c r="O34" s="2">
        <f>O33+(O33*0.0115)</f>
        <v>25.287500000000009</v>
      </c>
      <c r="P34" s="2"/>
      <c r="Q34" s="2">
        <f>Q33+1</f>
        <v>26</v>
      </c>
      <c r="R34" s="2">
        <f ca="1">R33+(R33*0.0123)</f>
        <v>25.307500000000001</v>
      </c>
      <c r="S34" s="2"/>
      <c r="T34" s="2">
        <f>T33+1</f>
        <v>26</v>
      </c>
      <c r="U34" s="2">
        <f t="shared" ref="U34:U43" si="3">U33+(U33*0.0055)</f>
        <v>23.757213105263158</v>
      </c>
      <c r="V34" s="2"/>
      <c r="W34" s="2">
        <f>W33+1</f>
        <v>26</v>
      </c>
      <c r="X34" s="2">
        <f ca="1">X33+(X33*0.0099)</f>
        <v>23.73265</v>
      </c>
      <c r="Y34" s="2"/>
      <c r="Z34" s="2">
        <f>Z33+1</f>
        <v>26</v>
      </c>
      <c r="AA34">
        <f>AA33+(AA33*0.02)</f>
        <v>25.5</v>
      </c>
    </row>
    <row r="35" spans="1:27" x14ac:dyDescent="0.3">
      <c r="N35" s="2">
        <f t="shared" ref="N35:N43" si="4">N34+1</f>
        <v>27</v>
      </c>
      <c r="O35" s="2">
        <f t="shared" ref="O35:O43" si="5">O34+(O34*0.0115)</f>
        <v>25.578306250000008</v>
      </c>
      <c r="P35" s="2"/>
      <c r="Q35" s="2">
        <f t="shared" ref="Q35:Q43" si="6">Q34+1</f>
        <v>27</v>
      </c>
      <c r="R35" s="2">
        <f t="shared" ref="R35:R43" ca="1" si="7">R34+(R34*0.0123)</f>
        <v>25.618782250000002</v>
      </c>
      <c r="S35" s="2"/>
      <c r="T35" s="2">
        <f t="shared" ref="T35:T43" si="8">T34+1</f>
        <v>27</v>
      </c>
      <c r="U35" s="2">
        <f t="shared" si="3"/>
        <v>23.887877777342105</v>
      </c>
      <c r="V35" s="2"/>
      <c r="W35" s="2">
        <f t="shared" ref="W35:W43" si="9">W34+1</f>
        <v>27</v>
      </c>
      <c r="X35" s="2">
        <f t="shared" ref="X35:X43" ca="1" si="10">X34+(X34*0.0099)</f>
        <v>23.967603234999999</v>
      </c>
      <c r="Y35" s="2"/>
      <c r="Z35" s="2">
        <f t="shared" ref="Z35:Z43" si="11">Z34+1</f>
        <v>27</v>
      </c>
      <c r="AA35">
        <f t="shared" ref="AA35:AA43" si="12">AA34+(AA34*0.02)</f>
        <v>26.01</v>
      </c>
    </row>
    <row r="36" spans="1:27" x14ac:dyDescent="0.3">
      <c r="A36" t="s">
        <v>8</v>
      </c>
      <c r="N36" s="2">
        <f t="shared" si="4"/>
        <v>28</v>
      </c>
      <c r="O36" s="2">
        <f t="shared" si="5"/>
        <v>25.872456771875008</v>
      </c>
      <c r="P36" s="2"/>
      <c r="Q36" s="2">
        <f t="shared" si="6"/>
        <v>28</v>
      </c>
      <c r="R36" s="2">
        <f t="shared" ca="1" si="7"/>
        <v>25.933893271675004</v>
      </c>
      <c r="S36" s="2"/>
      <c r="T36" s="2">
        <f t="shared" si="8"/>
        <v>28</v>
      </c>
      <c r="U36" s="2">
        <f t="shared" si="3"/>
        <v>24.019261105117486</v>
      </c>
      <c r="V36" s="2"/>
      <c r="W36" s="2">
        <f t="shared" si="9"/>
        <v>28</v>
      </c>
      <c r="X36" s="2">
        <f t="shared" ca="1" si="10"/>
        <v>24.204882507026497</v>
      </c>
      <c r="Y36" s="2"/>
      <c r="Z36" s="2">
        <f t="shared" si="11"/>
        <v>28</v>
      </c>
      <c r="AA36">
        <f t="shared" si="12"/>
        <v>26.530200000000001</v>
      </c>
    </row>
    <row r="37" spans="1:27" x14ac:dyDescent="0.3">
      <c r="A37" s="1">
        <f ca="1">(B28/100*20)+(B29/100*20)+(B30/100*25)+(B31/100*20)+(B32/100*15)</f>
        <v>24.356815789473686</v>
      </c>
      <c r="N37" s="2">
        <f t="shared" si="4"/>
        <v>29</v>
      </c>
      <c r="O37" s="2">
        <f t="shared" si="5"/>
        <v>26.16999002475157</v>
      </c>
      <c r="P37" s="2"/>
      <c r="Q37" s="2">
        <f t="shared" si="6"/>
        <v>29</v>
      </c>
      <c r="R37" s="2">
        <f t="shared" ca="1" si="7"/>
        <v>26.252880158916607</v>
      </c>
      <c r="S37" s="2"/>
      <c r="T37" s="2">
        <f t="shared" si="8"/>
        <v>29</v>
      </c>
      <c r="U37" s="2">
        <f t="shared" si="3"/>
        <v>24.151367041195634</v>
      </c>
      <c r="V37" s="2"/>
      <c r="W37" s="2">
        <f t="shared" si="9"/>
        <v>29</v>
      </c>
      <c r="X37" s="2">
        <f t="shared" ca="1" si="10"/>
        <v>24.444510843846061</v>
      </c>
      <c r="Y37" s="2"/>
      <c r="Z37" s="2">
        <f t="shared" si="11"/>
        <v>29</v>
      </c>
      <c r="AA37">
        <f t="shared" si="12"/>
        <v>27.060804000000001</v>
      </c>
    </row>
    <row r="38" spans="1:27" x14ac:dyDescent="0.3">
      <c r="N38" s="2">
        <f t="shared" si="4"/>
        <v>30</v>
      </c>
      <c r="O38" s="2">
        <f t="shared" si="5"/>
        <v>26.470944910036213</v>
      </c>
      <c r="P38" s="2"/>
      <c r="Q38" s="2">
        <f t="shared" si="6"/>
        <v>30</v>
      </c>
      <c r="R38" s="2">
        <f t="shared" ca="1" si="7"/>
        <v>26.575790584871282</v>
      </c>
      <c r="S38" s="2"/>
      <c r="T38" s="2">
        <f t="shared" si="8"/>
        <v>30</v>
      </c>
      <c r="U38" s="2">
        <f t="shared" si="3"/>
        <v>24.284199559922211</v>
      </c>
      <c r="V38" s="2"/>
      <c r="W38" s="2">
        <f t="shared" si="9"/>
        <v>30</v>
      </c>
      <c r="X38" s="2">
        <f t="shared" ca="1" si="10"/>
        <v>24.686511501200137</v>
      </c>
      <c r="Y38" s="2"/>
      <c r="Z38" s="2">
        <f t="shared" si="11"/>
        <v>30</v>
      </c>
      <c r="AA38">
        <f t="shared" si="12"/>
        <v>27.602020080000003</v>
      </c>
    </row>
    <row r="39" spans="1:27" x14ac:dyDescent="0.3">
      <c r="N39" s="2">
        <f t="shared" si="4"/>
        <v>31</v>
      </c>
      <c r="O39" s="2">
        <f t="shared" si="5"/>
        <v>26.775360776501628</v>
      </c>
      <c r="P39" s="2"/>
      <c r="Q39" s="2">
        <f t="shared" si="6"/>
        <v>31</v>
      </c>
      <c r="R39" s="2">
        <f t="shared" ca="1" si="7"/>
        <v>26.902672809065198</v>
      </c>
      <c r="S39" s="2"/>
      <c r="T39" s="2">
        <f t="shared" si="8"/>
        <v>31</v>
      </c>
      <c r="U39" s="2">
        <f t="shared" si="3"/>
        <v>24.417762657501783</v>
      </c>
      <c r="V39" s="2"/>
      <c r="W39" s="2">
        <f t="shared" si="9"/>
        <v>31</v>
      </c>
      <c r="X39" s="2">
        <f t="shared" ca="1" si="10"/>
        <v>24.930907965062019</v>
      </c>
      <c r="Y39" s="2"/>
      <c r="Z39" s="2">
        <f t="shared" si="11"/>
        <v>31</v>
      </c>
      <c r="AA39">
        <f t="shared" si="12"/>
        <v>28.154060481600002</v>
      </c>
    </row>
    <row r="40" spans="1:27" x14ac:dyDescent="0.3">
      <c r="N40" s="2">
        <f t="shared" si="4"/>
        <v>32</v>
      </c>
      <c r="O40" s="2">
        <f t="shared" si="5"/>
        <v>27.083277425431397</v>
      </c>
      <c r="P40" s="2"/>
      <c r="Q40" s="2">
        <f t="shared" si="6"/>
        <v>32</v>
      </c>
      <c r="R40" s="2">
        <f t="shared" ca="1" si="7"/>
        <v>27.233575684616699</v>
      </c>
      <c r="S40" s="2"/>
      <c r="T40" s="2">
        <f t="shared" si="8"/>
        <v>32</v>
      </c>
      <c r="U40" s="2">
        <f t="shared" si="3"/>
        <v>24.552060352118044</v>
      </c>
      <c r="V40" s="2"/>
      <c r="W40" s="2">
        <f t="shared" si="9"/>
        <v>32</v>
      </c>
      <c r="X40" s="2">
        <f t="shared" ca="1" si="10"/>
        <v>25.177723953916132</v>
      </c>
      <c r="Y40" s="2"/>
      <c r="Z40" s="2">
        <f t="shared" si="11"/>
        <v>32</v>
      </c>
      <c r="AA40">
        <f t="shared" si="12"/>
        <v>28.717141691232001</v>
      </c>
    </row>
    <row r="41" spans="1:27" x14ac:dyDescent="0.3">
      <c r="N41" s="2">
        <f t="shared" si="4"/>
        <v>33</v>
      </c>
      <c r="O41" s="2">
        <f t="shared" si="5"/>
        <v>27.39473511582386</v>
      </c>
      <c r="P41" s="2"/>
      <c r="Q41" s="2">
        <f t="shared" si="6"/>
        <v>33</v>
      </c>
      <c r="R41" s="2">
        <f t="shared" ca="1" si="7"/>
        <v>27.568548665537485</v>
      </c>
      <c r="S41" s="2"/>
      <c r="T41" s="2">
        <f t="shared" si="8"/>
        <v>33</v>
      </c>
      <c r="U41" s="2">
        <f t="shared" si="3"/>
        <v>24.687096684054694</v>
      </c>
      <c r="V41" s="2"/>
      <c r="W41" s="2">
        <f t="shared" si="9"/>
        <v>33</v>
      </c>
      <c r="X41" s="2">
        <f t="shared" ca="1" si="10"/>
        <v>25.426983421059902</v>
      </c>
      <c r="Y41" s="2"/>
      <c r="Z41" s="2">
        <f t="shared" si="11"/>
        <v>33</v>
      </c>
      <c r="AA41">
        <f t="shared" si="12"/>
        <v>29.291484525056642</v>
      </c>
    </row>
    <row r="42" spans="1:27" x14ac:dyDescent="0.3">
      <c r="B42" t="s">
        <v>12</v>
      </c>
      <c r="C42" t="s">
        <v>0</v>
      </c>
      <c r="D42" t="s">
        <v>12</v>
      </c>
      <c r="E42" t="s">
        <v>1</v>
      </c>
      <c r="F42" t="s">
        <v>12</v>
      </c>
      <c r="G42" t="s">
        <v>2</v>
      </c>
      <c r="H42" t="s">
        <v>12</v>
      </c>
      <c r="I42" t="s">
        <v>3</v>
      </c>
      <c r="J42" t="s">
        <v>12</v>
      </c>
      <c r="K42" t="s">
        <v>4</v>
      </c>
      <c r="N42" s="2">
        <f t="shared" si="4"/>
        <v>34</v>
      </c>
      <c r="O42" s="2">
        <f t="shared" si="5"/>
        <v>27.709774569655835</v>
      </c>
      <c r="P42" s="2"/>
      <c r="Q42" s="2">
        <f t="shared" si="6"/>
        <v>34</v>
      </c>
      <c r="R42" s="2">
        <f t="shared" ca="1" si="7"/>
        <v>27.907641814123597</v>
      </c>
      <c r="S42" s="2"/>
      <c r="T42" s="2">
        <f t="shared" si="8"/>
        <v>34</v>
      </c>
      <c r="U42" s="2">
        <f t="shared" si="3"/>
        <v>24.822875715816995</v>
      </c>
      <c r="V42" s="2"/>
      <c r="W42" s="2">
        <f t="shared" si="9"/>
        <v>34</v>
      </c>
      <c r="X42" s="2">
        <f t="shared" ca="1" si="10"/>
        <v>25.678710556928394</v>
      </c>
      <c r="Y42" s="2"/>
      <c r="Z42" s="2">
        <f t="shared" si="11"/>
        <v>34</v>
      </c>
      <c r="AA42">
        <f t="shared" si="12"/>
        <v>29.877314215557774</v>
      </c>
    </row>
    <row r="43" spans="1:27" x14ac:dyDescent="0.3">
      <c r="B43">
        <f>B27</f>
        <v>25</v>
      </c>
      <c r="C43">
        <f>B28</f>
        <v>25.000000000000007</v>
      </c>
      <c r="D43">
        <f>B43</f>
        <v>25</v>
      </c>
      <c r="E43">
        <f ca="1">B29</f>
        <v>25</v>
      </c>
      <c r="F43">
        <f>B27</f>
        <v>25</v>
      </c>
      <c r="G43">
        <f>B30</f>
        <v>23.627263157894738</v>
      </c>
      <c r="H43">
        <f>B27</f>
        <v>25</v>
      </c>
      <c r="I43">
        <f ca="1">B31</f>
        <v>23.5</v>
      </c>
      <c r="J43">
        <f>B27</f>
        <v>25</v>
      </c>
      <c r="K43">
        <f>B32</f>
        <v>25</v>
      </c>
      <c r="N43" s="2">
        <f t="shared" si="4"/>
        <v>35</v>
      </c>
      <c r="O43" s="2">
        <f t="shared" si="5"/>
        <v>28.028436977206876</v>
      </c>
      <c r="P43" s="2"/>
      <c r="Q43" s="2">
        <f t="shared" si="6"/>
        <v>35</v>
      </c>
      <c r="R43" s="2">
        <f t="shared" ca="1" si="7"/>
        <v>28.250905808437317</v>
      </c>
      <c r="S43" s="2"/>
      <c r="T43" s="2">
        <f t="shared" si="8"/>
        <v>35</v>
      </c>
      <c r="U43" s="2">
        <f t="shared" si="3"/>
        <v>24.959401532253988</v>
      </c>
      <c r="V43" s="2"/>
      <c r="W43" s="2">
        <f t="shared" si="9"/>
        <v>35</v>
      </c>
      <c r="X43" s="2">
        <f t="shared" ca="1" si="10"/>
        <v>25.932929791441985</v>
      </c>
      <c r="Y43" s="2"/>
      <c r="Z43" s="2">
        <f t="shared" si="11"/>
        <v>35</v>
      </c>
      <c r="AA43">
        <f t="shared" si="12"/>
        <v>30.474860499868932</v>
      </c>
    </row>
    <row r="44" spans="1:27" x14ac:dyDescent="0.3">
      <c r="B44">
        <f>C27</f>
        <v>35</v>
      </c>
      <c r="C44">
        <f>C28</f>
        <v>27.875000000000007</v>
      </c>
      <c r="D44">
        <f>B44</f>
        <v>35</v>
      </c>
      <c r="E44">
        <f ca="1">C29</f>
        <v>28.074999999999999</v>
      </c>
      <c r="F44">
        <f>C27</f>
        <v>35</v>
      </c>
      <c r="G44">
        <f>C30</f>
        <v>24.926762631578949</v>
      </c>
      <c r="H44">
        <f>C27</f>
        <v>35</v>
      </c>
      <c r="I44">
        <f ca="1">C31</f>
        <v>25.826499999999999</v>
      </c>
      <c r="J44">
        <f>C27</f>
        <v>35</v>
      </c>
      <c r="K44">
        <f>C32</f>
        <v>30</v>
      </c>
    </row>
    <row r="45" spans="1:27" x14ac:dyDescent="0.3">
      <c r="B45">
        <f>D27</f>
        <v>45</v>
      </c>
      <c r="C45">
        <f>D28</f>
        <v>36.850750000000012</v>
      </c>
      <c r="D45">
        <f>D27</f>
        <v>45</v>
      </c>
      <c r="E45">
        <f ca="1">D29</f>
        <v>36.722099999999998</v>
      </c>
      <c r="F45">
        <f>D27</f>
        <v>45</v>
      </c>
      <c r="G45">
        <f>D30</f>
        <v>27.668706521052634</v>
      </c>
      <c r="H45">
        <f>D27</f>
        <v>45</v>
      </c>
      <c r="I45">
        <f ca="1">D31</f>
        <v>30.940147</v>
      </c>
      <c r="J45">
        <f>D27</f>
        <v>45</v>
      </c>
      <c r="K45">
        <f>D32</f>
        <v>48</v>
      </c>
    </row>
    <row r="46" spans="1:27" x14ac:dyDescent="0.3">
      <c r="B46">
        <f>E27</f>
        <v>55</v>
      </c>
      <c r="C46">
        <f>E28</f>
        <v>48.716691500000017</v>
      </c>
      <c r="D46">
        <f>E27</f>
        <v>55</v>
      </c>
      <c r="E46">
        <f ca="1">E29</f>
        <v>48.032506799999993</v>
      </c>
      <c r="F46">
        <f>E27</f>
        <v>55</v>
      </c>
      <c r="G46">
        <f>E30</f>
        <v>30.712264238368423</v>
      </c>
      <c r="H46">
        <f>E27</f>
        <v>55</v>
      </c>
      <c r="I46">
        <f ca="1">E31</f>
        <v>37.066296106000003</v>
      </c>
      <c r="J46">
        <f>E27</f>
        <v>55</v>
      </c>
      <c r="K46">
        <f>E32</f>
        <v>76.8</v>
      </c>
    </row>
    <row r="47" spans="1:27" x14ac:dyDescent="0.3">
      <c r="B47">
        <f>F27</f>
        <v>65</v>
      </c>
      <c r="C47">
        <f>F28</f>
        <v>64.403466163000019</v>
      </c>
      <c r="D47">
        <f>F27</f>
        <v>65</v>
      </c>
      <c r="E47">
        <f ca="1">F29</f>
        <v>62.826518894399989</v>
      </c>
      <c r="F47">
        <f>F27</f>
        <v>65</v>
      </c>
      <c r="G47">
        <f ca="1">F31</f>
        <v>44.405422734988001</v>
      </c>
      <c r="H47">
        <f>F27</f>
        <v>65</v>
      </c>
      <c r="I47">
        <f ca="1">F31</f>
        <v>44.405422734988001</v>
      </c>
      <c r="J47">
        <f>F27</f>
        <v>65</v>
      </c>
      <c r="K47">
        <f>F32</f>
        <v>122.88</v>
      </c>
    </row>
  </sheetData>
  <mergeCells count="2">
    <mergeCell ref="A23:F23"/>
    <mergeCell ref="N31:AA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5C26-A906-47BF-8F79-340B3777C93B}">
  <dimension ref="A1:AA43"/>
  <sheetViews>
    <sheetView zoomScale="75" zoomScaleNormal="75" workbookViewId="0">
      <selection activeCell="I33" sqref="I3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37.6</v>
      </c>
      <c r="D2">
        <f t="shared" ref="D2:M2" si="0">C2-(C2/100*D1)</f>
        <v>37.224000000000004</v>
      </c>
      <c r="E2">
        <f t="shared" si="0"/>
        <v>36.479520000000001</v>
      </c>
      <c r="F2">
        <f t="shared" si="0"/>
        <v>35.385134399999998</v>
      </c>
      <c r="G2">
        <f t="shared" si="0"/>
        <v>33.969729023999996</v>
      </c>
      <c r="H2">
        <f t="shared" si="0"/>
        <v>32.271242572799999</v>
      </c>
      <c r="I2">
        <f t="shared" si="0"/>
        <v>30.334968018431997</v>
      </c>
      <c r="J2">
        <f t="shared" si="0"/>
        <v>28.211520257141757</v>
      </c>
      <c r="K2">
        <f t="shared" si="0"/>
        <v>25.954598636570417</v>
      </c>
      <c r="L2">
        <f t="shared" si="0"/>
        <v>23.618684759279081</v>
      </c>
      <c r="M2">
        <f t="shared" si="0"/>
        <v>21.256816283351171</v>
      </c>
      <c r="N2" s="8"/>
      <c r="O2" s="21"/>
      <c r="Q2" s="3" t="s">
        <v>0</v>
      </c>
      <c r="R2" s="16">
        <f>B27+ ((1 -((C2 / 37.6) * 0.7 )-((C3 / 100) * 0.3 )) * 100)</f>
        <v>25.000000000000007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24.999999999999996</v>
      </c>
      <c r="T3" s="23" t="s">
        <v>8</v>
      </c>
    </row>
    <row r="4" spans="1:20" ht="18" customHeight="1" x14ac:dyDescent="0.3">
      <c r="A4" s="4" t="s">
        <v>17</v>
      </c>
      <c r="B4" s="4" t="s">
        <v>18</v>
      </c>
      <c r="C4" s="10">
        <v>30</v>
      </c>
      <c r="D4">
        <f>C4-(C4/100*D1)</f>
        <v>29.7</v>
      </c>
      <c r="E4">
        <f t="shared" ref="E4:M4" si="2">D4-(D4/100*E1)</f>
        <v>29.105999999999998</v>
      </c>
      <c r="F4">
        <f t="shared" si="2"/>
        <v>28.232819999999997</v>
      </c>
      <c r="G4">
        <f t="shared" si="2"/>
        <v>27.103507199999996</v>
      </c>
      <c r="H4">
        <f t="shared" si="2"/>
        <v>25.748331839999995</v>
      </c>
      <c r="I4">
        <f t="shared" si="2"/>
        <v>24.203431929599997</v>
      </c>
      <c r="J4">
        <f t="shared" si="2"/>
        <v>22.509191694527999</v>
      </c>
      <c r="K4">
        <f t="shared" si="2"/>
        <v>20.708456358965758</v>
      </c>
      <c r="L4">
        <f t="shared" si="2"/>
        <v>18.84469528665884</v>
      </c>
      <c r="M4">
        <f t="shared" si="2"/>
        <v>16.960225757992955</v>
      </c>
      <c r="N4" s="8"/>
      <c r="O4" s="18">
        <v>25</v>
      </c>
      <c r="Q4" s="5" t="s">
        <v>2</v>
      </c>
      <c r="R4" s="5">
        <f>B27 - 9*R11</f>
        <v>23.619142857142858</v>
      </c>
      <c r="T4" s="1">
        <f ca="1">(R2/100*20)+(R3/100*20)+(R4/100*25)+(R5/100*20)+(R6/100*15)</f>
        <v>24.354785714285715</v>
      </c>
    </row>
    <row r="5" spans="1:20" x14ac:dyDescent="0.3">
      <c r="A5" s="4" t="s">
        <v>17</v>
      </c>
      <c r="B5" s="4" t="s">
        <v>19</v>
      </c>
      <c r="C5" s="10">
        <v>3.1</v>
      </c>
      <c r="L5" s="8"/>
      <c r="M5" s="8">
        <f>C5-(C5/100*12)</f>
        <v>2.7280000000000002</v>
      </c>
      <c r="N5" s="8"/>
      <c r="O5" s="18">
        <f ca="1">FORECAST(C5, OFFSET(Strength_Normative_Data!$O$3, MATCH(C5, Strength_Normative_Data!$Q$3:$Q$17, -1)-1, 0, 2), OFFSET(Strength_Normative_Data!$Q$3, MATCH(C5, Strength_Normative_Data!$Q$3:$Q$17, -1)-1, 0, 2))</f>
        <v>24.999999999999972</v>
      </c>
      <c r="Q5" s="6" t="s">
        <v>29</v>
      </c>
      <c r="R5" s="6">
        <f ca="1">((O14/100*30)+(O15/100*25)+(O16/100*30)+(O17/100*15))</f>
        <v>23.499999999999993</v>
      </c>
    </row>
    <row r="6" spans="1:20" x14ac:dyDescent="0.3">
      <c r="A6" s="4" t="s">
        <v>17</v>
      </c>
      <c r="B6" s="4" t="s">
        <v>20</v>
      </c>
      <c r="C6" s="10">
        <v>33.5</v>
      </c>
      <c r="L6" s="8"/>
      <c r="M6" s="8">
        <f>C6-(C6/100*12)</f>
        <v>29.48</v>
      </c>
      <c r="N6" s="8"/>
      <c r="O6" s="18">
        <f ca="1">FORECAST(C6, OFFSET(Strength_Normative_Data!$J$3, MATCH(C6, Strength_Normative_Data!$L$3:$L$16, -1)-1, 0, 2), OFFSET(Strength_Normative_Data!$L$3, MATCH(C6, Strength_Normative_Data!$L$3:$L$16, -1)-1, 0, 2))</f>
        <v>25.000000000000014</v>
      </c>
      <c r="Q6" s="7" t="s">
        <v>4</v>
      </c>
      <c r="R6" s="7">
        <f>((O18/100*60)+(O19/100*40))</f>
        <v>25</v>
      </c>
    </row>
    <row r="7" spans="1:20" x14ac:dyDescent="0.3">
      <c r="A7" s="5" t="s">
        <v>21</v>
      </c>
      <c r="B7" s="5" t="s">
        <v>22</v>
      </c>
      <c r="C7" s="11">
        <v>29</v>
      </c>
      <c r="L7" s="8"/>
      <c r="M7" s="8">
        <f>C7+(C7/100*6)</f>
        <v>30.74</v>
      </c>
      <c r="N7" s="8"/>
      <c r="O7" s="22"/>
    </row>
    <row r="8" spans="1:20" x14ac:dyDescent="0.3">
      <c r="A8" s="5" t="s">
        <v>21</v>
      </c>
      <c r="B8" s="5" t="s">
        <v>23</v>
      </c>
      <c r="C8" s="11">
        <v>0.5</v>
      </c>
      <c r="L8" s="8"/>
      <c r="M8" s="8">
        <f>C8+(C8/100*4)</f>
        <v>0.52</v>
      </c>
      <c r="N8" s="8"/>
      <c r="O8" s="22">
        <f xml:space="preserve">
IF(C8&lt;=0.4,0,
IF(C8&lt;=0.5,20*(C8-0.4)/0.1,
IF(C8&lt;=0.6,20+40*(C8-0.5)/0.1,
60+40*(MIN(C8,0.75)-0.6)/0.15)))</f>
        <v>19.999999999999993</v>
      </c>
    </row>
    <row r="9" spans="1:20" x14ac:dyDescent="0.3">
      <c r="A9" s="5" t="s">
        <v>21</v>
      </c>
      <c r="B9" s="5" t="s">
        <v>24</v>
      </c>
      <c r="C9" s="11">
        <v>4.9000000000000004</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27.328571428571429</v>
      </c>
      <c r="R11">
        <f xml:space="preserve">
IF(Q11&lt;=10,1.5-0.1*Q11,
IF(Q11&lt;=60,0.5-0.02*(Q11-10),
-0.5-0.03*(Q11-60)))</f>
        <v>0.15342857142857141</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1.2</v>
      </c>
      <c r="L13" s="8"/>
      <c r="M13" s="8">
        <f>C13+(C13/100*18)</f>
        <v>1.4159999999999999</v>
      </c>
      <c r="N13" s="8"/>
      <c r="O13" s="5">
        <f xml:space="preserve">
IF(C13&lt;1,10*(C13/1),
IF(C13&lt;3,10+40*(C13-1)/2,
50+50*(MIN(C13,10)-3)/7))</f>
        <v>14</v>
      </c>
    </row>
    <row r="14" spans="1:20" x14ac:dyDescent="0.3">
      <c r="A14" s="6" t="s">
        <v>29</v>
      </c>
      <c r="B14" s="6" t="s">
        <v>30</v>
      </c>
      <c r="C14" s="12">
        <v>1.34</v>
      </c>
      <c r="L14" s="8"/>
      <c r="M14" s="8">
        <f>C14+(C14/100*6)</f>
        <v>1.4204000000000001</v>
      </c>
      <c r="N14" s="8"/>
      <c r="O14" s="12">
        <f ca="1">IFERROR(FORECAST(C14, OFFSET(Mobility_Normative_Data!$A$3, MATCH(C14, Mobility_Normative_Data!$C$3:$C$17, -1)-1, 0, 2), OFFSET(Mobility_Normative_Data!$C$3, MATCH(C14, Mobility_Normative_Data!$C$3:$C$17, -1)-1, 0, 2)), INDEX(Mobility_Normative_Data!$A$3:$A$17, MATCH(C14, Mobility_Normative_Data!$C$3:$C$17, -1)))</f>
        <v>20</v>
      </c>
    </row>
    <row r="15" spans="1:20" x14ac:dyDescent="0.3">
      <c r="A15" s="6" t="s">
        <v>29</v>
      </c>
      <c r="B15" s="6" t="s">
        <v>31</v>
      </c>
      <c r="C15" s="12">
        <v>5.8</v>
      </c>
      <c r="L15" s="8"/>
      <c r="M15" s="8">
        <f>C15+(C15/100*10)</f>
        <v>6.38</v>
      </c>
      <c r="N15" s="8"/>
      <c r="O15" s="12">
        <f ca="1">FORECAST(C15, OFFSET(Mobility_Normative_Data!$E$3, MATCH(C15, Mobility_Normative_Data!$G$3:$G$18, 1)-1, 0, 2), OFFSET(Mobility_Normative_Data!$G$3, MATCH(C15, Mobility_Normative_Data!$G$3:$G$18, 1)-1, 0, 2))</f>
        <v>24.999999999999972</v>
      </c>
    </row>
    <row r="16" spans="1:20" x14ac:dyDescent="0.3">
      <c r="A16" s="6" t="s">
        <v>29</v>
      </c>
      <c r="B16" s="6" t="s">
        <v>32</v>
      </c>
      <c r="C16" s="12">
        <v>44</v>
      </c>
      <c r="L16" s="8"/>
      <c r="M16" s="8">
        <f>C16+(C16/100*20)</f>
        <v>52.8</v>
      </c>
      <c r="N16" s="8"/>
      <c r="O16" s="12">
        <f ca="1">FORECAST(C16, OFFSET(Mobility_Normative_Data!$I$3, MATCH(C16, Mobility_Normative_Data!$K$3:$K$17, -1)-1, 0, 2), OFFSET(Mobility_Normative_Data!$K$3, MATCH(C16, Mobility_Normative_Data!$K$3:$K$17, -1)-1, 0, 2))</f>
        <v>25</v>
      </c>
    </row>
    <row r="17" spans="1:27" x14ac:dyDescent="0.3">
      <c r="A17" s="6" t="s">
        <v>29</v>
      </c>
      <c r="B17" s="6" t="s">
        <v>33</v>
      </c>
      <c r="C17" s="12">
        <v>41</v>
      </c>
      <c r="L17" s="8"/>
      <c r="M17" s="8">
        <f>C17+(C17/100*10)</f>
        <v>45.1</v>
      </c>
      <c r="N17" s="8"/>
      <c r="O17" s="12">
        <f ca="1">FORECAST(C17, OFFSET(Mobility_Normative_Data!$M$3, MATCH(C17, Mobility_Normative_Data!$O$3:$O$17, -1)-1, 0, 2), OFFSET(Mobility_Normative_Data!$O$3, MATCH(C17, Mobility_Normative_Data!$O$3:$O$17, -1)-1, 0, 2))</f>
        <v>25</v>
      </c>
    </row>
    <row r="18" spans="1:27" x14ac:dyDescent="0.3">
      <c r="A18" s="7" t="s">
        <v>34</v>
      </c>
      <c r="B18" s="7" t="s">
        <v>35</v>
      </c>
      <c r="C18" s="13">
        <v>0</v>
      </c>
      <c r="L18" s="8"/>
      <c r="M18" s="8">
        <f>C18 +(-0.2)</f>
        <v>-0.2</v>
      </c>
      <c r="N18" s="8"/>
      <c r="O18" s="20">
        <f>MAX(18,B27-(C18*25))</f>
        <v>25</v>
      </c>
    </row>
    <row r="19" spans="1:27" x14ac:dyDescent="0.3">
      <c r="A19" s="7" t="s">
        <v>34</v>
      </c>
      <c r="B19" s="7" t="s">
        <v>36</v>
      </c>
      <c r="C19" s="13">
        <v>0</v>
      </c>
      <c r="L19" s="8"/>
      <c r="M19" s="8">
        <f>C19+(-0.2)</f>
        <v>-0.2</v>
      </c>
      <c r="N19" s="8"/>
      <c r="O19" s="20">
        <f>MAX(18,B27-(J1925))</f>
        <v>25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25</v>
      </c>
      <c r="C27">
        <f>B27+10</f>
        <v>35</v>
      </c>
      <c r="D27">
        <f>C27+10</f>
        <v>45</v>
      </c>
      <c r="E27">
        <f>D27+10</f>
        <v>55</v>
      </c>
      <c r="F27">
        <f>E27+10</f>
        <v>65</v>
      </c>
    </row>
    <row r="28" spans="1:27" x14ac:dyDescent="0.3">
      <c r="A28" t="s">
        <v>0</v>
      </c>
      <c r="B28" s="24">
        <f>R2</f>
        <v>25.000000000000007</v>
      </c>
      <c r="C28">
        <f>B28+(B28/100*11.5)</f>
        <v>27.875000000000007</v>
      </c>
      <c r="D28">
        <f>C28+(C28/100*32.2)</f>
        <v>36.850750000000012</v>
      </c>
      <c r="E28">
        <f>D28+(D28/100*32.2)</f>
        <v>48.716691500000017</v>
      </c>
      <c r="F28">
        <f>E28+(E28/100*32.2)</f>
        <v>64.403466163000019</v>
      </c>
    </row>
    <row r="29" spans="1:27" x14ac:dyDescent="0.3">
      <c r="A29" t="s">
        <v>1</v>
      </c>
      <c r="B29">
        <f ca="1">R3</f>
        <v>24.999999999999996</v>
      </c>
      <c r="C29">
        <f ca="1">B29+(B29/100*12.3)</f>
        <v>28.074999999999996</v>
      </c>
      <c r="D29">
        <f ca="1">C29+(C29/100*30.8)</f>
        <v>36.722099999999998</v>
      </c>
      <c r="E29">
        <f ca="1">D29+(D29/100*30.8)</f>
        <v>48.032506799999993</v>
      </c>
      <c r="F29">
        <f ca="1">E29+(E29/100*30.8)</f>
        <v>62.826518894399989</v>
      </c>
    </row>
    <row r="30" spans="1:27" x14ac:dyDescent="0.3">
      <c r="A30" t="s">
        <v>2</v>
      </c>
      <c r="B30">
        <f>R4</f>
        <v>23.619142857142858</v>
      </c>
      <c r="C30">
        <f>B30+(B30/100*5.5)</f>
        <v>24.918195714285716</v>
      </c>
      <c r="D30">
        <f>C30+(C30/100*11)</f>
        <v>27.659197242857143</v>
      </c>
      <c r="E30">
        <f>D30+(D30/100*11)</f>
        <v>30.701708939571429</v>
      </c>
      <c r="F30">
        <f>E30+(E30/100*11)</f>
        <v>34.078896922924287</v>
      </c>
    </row>
    <row r="31" spans="1:27" x14ac:dyDescent="0.3">
      <c r="A31" t="s">
        <v>3</v>
      </c>
      <c r="B31">
        <f ca="1">R5</f>
        <v>23.499999999999993</v>
      </c>
      <c r="C31">
        <f ca="1">B31+(B31/100*9.9)</f>
        <v>25.826499999999992</v>
      </c>
      <c r="D31">
        <f ca="1">C31+(C31/100*19.8)</f>
        <v>30.940146999999989</v>
      </c>
      <c r="E31">
        <f ca="1">D31+(D31/100*19.8)</f>
        <v>37.066296105999989</v>
      </c>
      <c r="F31">
        <f ca="1">E31+(E31/100*19.8)</f>
        <v>44.405422734987987</v>
      </c>
      <c r="N31" s="46" t="s">
        <v>104</v>
      </c>
      <c r="O31" s="46"/>
      <c r="P31" s="46"/>
      <c r="Q31" s="46"/>
      <c r="R31" s="46"/>
      <c r="S31" s="46"/>
      <c r="T31" s="46"/>
      <c r="U31" s="46"/>
      <c r="V31" s="46"/>
      <c r="W31" s="46"/>
      <c r="X31" s="46"/>
      <c r="Y31" s="46"/>
      <c r="Z31" s="46"/>
      <c r="AA31" s="46"/>
    </row>
    <row r="32" spans="1:27" ht="100.8" x14ac:dyDescent="0.3">
      <c r="A32" t="s">
        <v>4</v>
      </c>
      <c r="B32">
        <f>R6</f>
        <v>25</v>
      </c>
      <c r="C32">
        <f>B32+(B32/100*20)</f>
        <v>30</v>
      </c>
      <c r="D32">
        <f>C32+(C32/100*60)</f>
        <v>48</v>
      </c>
      <c r="E32">
        <f>D32+(D32/100*60)</f>
        <v>76.8</v>
      </c>
      <c r="F32">
        <f>E32+(E32/100*60)</f>
        <v>122.88</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25</v>
      </c>
      <c r="O33" s="27">
        <f>R2</f>
        <v>25.000000000000007</v>
      </c>
      <c r="P33" s="2"/>
      <c r="Q33" s="2">
        <f>N33</f>
        <v>25</v>
      </c>
      <c r="R33" s="2">
        <f ca="1">R3</f>
        <v>24.999999999999996</v>
      </c>
      <c r="S33" s="2"/>
      <c r="T33" s="2">
        <f>N33</f>
        <v>25</v>
      </c>
      <c r="U33" s="2">
        <f>R4</f>
        <v>23.619142857142858</v>
      </c>
      <c r="V33" s="2"/>
      <c r="W33" s="2">
        <f>N33</f>
        <v>25</v>
      </c>
      <c r="X33" s="2">
        <f ca="1">R5</f>
        <v>23.499999999999993</v>
      </c>
      <c r="Y33" s="2"/>
      <c r="Z33" s="2">
        <f>N33</f>
        <v>25</v>
      </c>
      <c r="AA33">
        <f>R6</f>
        <v>25</v>
      </c>
    </row>
    <row r="34" spans="1:27" x14ac:dyDescent="0.3">
      <c r="N34" s="2">
        <f>N33+1</f>
        <v>26</v>
      </c>
      <c r="O34" s="2">
        <f>O33+(O33*0.0115)</f>
        <v>25.287500000000009</v>
      </c>
      <c r="P34" s="2"/>
      <c r="Q34" s="2">
        <f>Q33+1</f>
        <v>26</v>
      </c>
      <c r="R34" s="2">
        <f ca="1">R33+(R33*0.0123)</f>
        <v>25.307499999999997</v>
      </c>
      <c r="S34" s="2"/>
      <c r="T34" s="2">
        <f>T33+1</f>
        <v>26</v>
      </c>
      <c r="U34" s="2">
        <f t="shared" ref="U34:U43" si="3">U33+(U33*0.0055)</f>
        <v>23.749048142857145</v>
      </c>
      <c r="V34" s="2"/>
      <c r="W34" s="2">
        <f>W33+1</f>
        <v>26</v>
      </c>
      <c r="X34" s="2">
        <f ca="1">X33+(X33*0.0099)</f>
        <v>23.732649999999992</v>
      </c>
      <c r="Y34" s="2"/>
      <c r="Z34" s="2">
        <f>Z33+1</f>
        <v>26</v>
      </c>
      <c r="AA34">
        <f>AA33+(AA33*0.02)</f>
        <v>25.5</v>
      </c>
    </row>
    <row r="35" spans="1:27" x14ac:dyDescent="0.3">
      <c r="N35" s="2">
        <f t="shared" ref="N35:N43" si="4">N34+1</f>
        <v>27</v>
      </c>
      <c r="O35" s="2">
        <f t="shared" ref="O35:O43" si="5">O34+(O34*0.0115)</f>
        <v>25.578306250000008</v>
      </c>
      <c r="P35" s="2"/>
      <c r="Q35" s="2">
        <f t="shared" ref="Q35:Q43" si="6">Q34+1</f>
        <v>27</v>
      </c>
      <c r="R35" s="2">
        <f t="shared" ref="R35:R43" ca="1" si="7">R34+(R34*0.0123)</f>
        <v>25.618782249999999</v>
      </c>
      <c r="S35" s="2"/>
      <c r="T35" s="2">
        <f t="shared" ref="T35:T43" si="8">T34+1</f>
        <v>27</v>
      </c>
      <c r="U35" s="2">
        <f t="shared" si="3"/>
        <v>23.879667907642858</v>
      </c>
      <c r="V35" s="2"/>
      <c r="W35" s="2">
        <f t="shared" ref="W35:W43" si="9">W34+1</f>
        <v>27</v>
      </c>
      <c r="X35" s="2">
        <f t="shared" ref="X35:X43" ca="1" si="10">X34+(X34*0.0099)</f>
        <v>23.967603234999991</v>
      </c>
      <c r="Y35" s="2"/>
      <c r="Z35" s="2">
        <f t="shared" ref="Z35:Z43" si="11">Z34+1</f>
        <v>27</v>
      </c>
      <c r="AA35">
        <f t="shared" ref="AA35:AA43" si="12">AA34+(AA34*0.02)</f>
        <v>26.01</v>
      </c>
    </row>
    <row r="36" spans="1:27" x14ac:dyDescent="0.3">
      <c r="N36" s="2">
        <f t="shared" si="4"/>
        <v>28</v>
      </c>
      <c r="O36" s="2">
        <f t="shared" si="5"/>
        <v>25.872456771875008</v>
      </c>
      <c r="P36" s="2"/>
      <c r="Q36" s="2">
        <f t="shared" si="6"/>
        <v>28</v>
      </c>
      <c r="R36" s="2">
        <f t="shared" ca="1" si="7"/>
        <v>25.933893271675</v>
      </c>
      <c r="S36" s="2"/>
      <c r="T36" s="2">
        <f t="shared" si="8"/>
        <v>28</v>
      </c>
      <c r="U36" s="2">
        <f t="shared" si="3"/>
        <v>24.011006081134894</v>
      </c>
      <c r="V36" s="2"/>
      <c r="W36" s="2">
        <f t="shared" si="9"/>
        <v>28</v>
      </c>
      <c r="X36" s="2">
        <f t="shared" ca="1" si="10"/>
        <v>24.20488250702649</v>
      </c>
      <c r="Y36" s="2"/>
      <c r="Z36" s="2">
        <f t="shared" si="11"/>
        <v>28</v>
      </c>
      <c r="AA36">
        <f t="shared" si="12"/>
        <v>26.530200000000001</v>
      </c>
    </row>
    <row r="37" spans="1:27" x14ac:dyDescent="0.3">
      <c r="A37" s="1"/>
      <c r="N37" s="2">
        <f t="shared" si="4"/>
        <v>29</v>
      </c>
      <c r="O37" s="2">
        <f t="shared" si="5"/>
        <v>26.16999002475157</v>
      </c>
      <c r="P37" s="2"/>
      <c r="Q37" s="2">
        <f t="shared" si="6"/>
        <v>29</v>
      </c>
      <c r="R37" s="2">
        <f t="shared" ca="1" si="7"/>
        <v>26.252880158916604</v>
      </c>
      <c r="S37" s="2"/>
      <c r="T37" s="2">
        <f t="shared" si="8"/>
        <v>29</v>
      </c>
      <c r="U37" s="2">
        <f t="shared" si="3"/>
        <v>24.143066614581137</v>
      </c>
      <c r="V37" s="2"/>
      <c r="W37" s="2">
        <f t="shared" si="9"/>
        <v>29</v>
      </c>
      <c r="X37" s="2">
        <f t="shared" ca="1" si="10"/>
        <v>24.444510843846054</v>
      </c>
      <c r="Y37" s="2"/>
      <c r="Z37" s="2">
        <f t="shared" si="11"/>
        <v>29</v>
      </c>
      <c r="AA37">
        <f t="shared" si="12"/>
        <v>27.060804000000001</v>
      </c>
    </row>
    <row r="38" spans="1:27" x14ac:dyDescent="0.3">
      <c r="N38" s="2">
        <f t="shared" si="4"/>
        <v>30</v>
      </c>
      <c r="O38" s="2">
        <f t="shared" si="5"/>
        <v>26.470944910036213</v>
      </c>
      <c r="P38" s="2"/>
      <c r="Q38" s="2">
        <f t="shared" si="6"/>
        <v>30</v>
      </c>
      <c r="R38" s="2">
        <f t="shared" ca="1" si="7"/>
        <v>26.575790584871278</v>
      </c>
      <c r="S38" s="2"/>
      <c r="T38" s="2">
        <f t="shared" si="8"/>
        <v>30</v>
      </c>
      <c r="U38" s="2">
        <f t="shared" si="3"/>
        <v>24.275853480961334</v>
      </c>
      <c r="V38" s="2"/>
      <c r="W38" s="2">
        <f t="shared" si="9"/>
        <v>30</v>
      </c>
      <c r="X38" s="2">
        <f t="shared" ca="1" si="10"/>
        <v>24.68651150120013</v>
      </c>
      <c r="Y38" s="2"/>
      <c r="Z38" s="2">
        <f t="shared" si="11"/>
        <v>30</v>
      </c>
      <c r="AA38">
        <f t="shared" si="12"/>
        <v>27.602020080000003</v>
      </c>
    </row>
    <row r="39" spans="1:27" x14ac:dyDescent="0.3">
      <c r="N39" s="2">
        <f t="shared" si="4"/>
        <v>31</v>
      </c>
      <c r="O39" s="2">
        <f t="shared" si="5"/>
        <v>26.775360776501628</v>
      </c>
      <c r="P39" s="2"/>
      <c r="Q39" s="2">
        <f t="shared" si="6"/>
        <v>31</v>
      </c>
      <c r="R39" s="2">
        <f t="shared" ca="1" si="7"/>
        <v>26.902672809065194</v>
      </c>
      <c r="S39" s="2"/>
      <c r="T39" s="2">
        <f t="shared" si="8"/>
        <v>31</v>
      </c>
      <c r="U39" s="2">
        <f t="shared" si="3"/>
        <v>24.409370675106622</v>
      </c>
      <c r="V39" s="2"/>
      <c r="W39" s="2">
        <f t="shared" si="9"/>
        <v>31</v>
      </c>
      <c r="X39" s="2">
        <f t="shared" ca="1" si="10"/>
        <v>24.930907965062012</v>
      </c>
      <c r="Y39" s="2"/>
      <c r="Z39" s="2">
        <f t="shared" si="11"/>
        <v>31</v>
      </c>
      <c r="AA39">
        <f t="shared" si="12"/>
        <v>28.154060481600002</v>
      </c>
    </row>
    <row r="40" spans="1:27" x14ac:dyDescent="0.3">
      <c r="N40" s="2">
        <f t="shared" si="4"/>
        <v>32</v>
      </c>
      <c r="O40" s="2">
        <f t="shared" si="5"/>
        <v>27.083277425431397</v>
      </c>
      <c r="P40" s="2"/>
      <c r="Q40" s="2">
        <f t="shared" si="6"/>
        <v>32</v>
      </c>
      <c r="R40" s="2">
        <f t="shared" ca="1" si="7"/>
        <v>27.233575684616696</v>
      </c>
      <c r="S40" s="2"/>
      <c r="T40" s="2">
        <f t="shared" si="8"/>
        <v>32</v>
      </c>
      <c r="U40" s="2">
        <f t="shared" si="3"/>
        <v>24.54362221381971</v>
      </c>
      <c r="V40" s="2"/>
      <c r="W40" s="2">
        <f t="shared" si="9"/>
        <v>32</v>
      </c>
      <c r="X40" s="2">
        <f t="shared" ca="1" si="10"/>
        <v>25.177723953916125</v>
      </c>
      <c r="Y40" s="2"/>
      <c r="Z40" s="2">
        <f t="shared" si="11"/>
        <v>32</v>
      </c>
      <c r="AA40">
        <f t="shared" si="12"/>
        <v>28.717141691232001</v>
      </c>
    </row>
    <row r="41" spans="1:27" x14ac:dyDescent="0.3">
      <c r="N41" s="2">
        <f t="shared" si="4"/>
        <v>33</v>
      </c>
      <c r="O41" s="2">
        <f t="shared" si="5"/>
        <v>27.39473511582386</v>
      </c>
      <c r="P41" s="2"/>
      <c r="Q41" s="2">
        <f t="shared" si="6"/>
        <v>33</v>
      </c>
      <c r="R41" s="2">
        <f t="shared" ca="1" si="7"/>
        <v>27.568548665537481</v>
      </c>
      <c r="S41" s="2"/>
      <c r="T41" s="2">
        <f t="shared" si="8"/>
        <v>33</v>
      </c>
      <c r="U41" s="2">
        <f t="shared" si="3"/>
        <v>24.678612135995717</v>
      </c>
      <c r="V41" s="2"/>
      <c r="W41" s="2">
        <f t="shared" si="9"/>
        <v>33</v>
      </c>
      <c r="X41" s="2">
        <f t="shared" ca="1" si="10"/>
        <v>25.426983421059894</v>
      </c>
      <c r="Y41" s="2"/>
      <c r="Z41" s="2">
        <f t="shared" si="11"/>
        <v>33</v>
      </c>
      <c r="AA41">
        <f t="shared" si="12"/>
        <v>29.291484525056642</v>
      </c>
    </row>
    <row r="42" spans="1:27" x14ac:dyDescent="0.3">
      <c r="N42" s="2">
        <f t="shared" si="4"/>
        <v>34</v>
      </c>
      <c r="O42" s="2">
        <f t="shared" si="5"/>
        <v>27.709774569655835</v>
      </c>
      <c r="P42" s="2"/>
      <c r="Q42" s="2">
        <f t="shared" si="6"/>
        <v>34</v>
      </c>
      <c r="R42" s="2">
        <f t="shared" ca="1" si="7"/>
        <v>27.907641814123593</v>
      </c>
      <c r="S42" s="2"/>
      <c r="T42" s="2">
        <f t="shared" si="8"/>
        <v>34</v>
      </c>
      <c r="U42" s="2">
        <f t="shared" si="3"/>
        <v>24.814344502743694</v>
      </c>
      <c r="V42" s="2"/>
      <c r="W42" s="2">
        <f t="shared" si="9"/>
        <v>34</v>
      </c>
      <c r="X42" s="2">
        <f t="shared" ca="1" si="10"/>
        <v>25.678710556928387</v>
      </c>
      <c r="Y42" s="2"/>
      <c r="Z42" s="2">
        <f t="shared" si="11"/>
        <v>34</v>
      </c>
      <c r="AA42">
        <f t="shared" si="12"/>
        <v>29.877314215557774</v>
      </c>
    </row>
    <row r="43" spans="1:27" x14ac:dyDescent="0.3">
      <c r="N43" s="2">
        <f t="shared" si="4"/>
        <v>35</v>
      </c>
      <c r="O43" s="2">
        <f t="shared" si="5"/>
        <v>28.028436977206876</v>
      </c>
      <c r="P43" s="2"/>
      <c r="Q43" s="2">
        <f t="shared" si="6"/>
        <v>35</v>
      </c>
      <c r="R43" s="2">
        <f t="shared" ca="1" si="7"/>
        <v>28.250905808437313</v>
      </c>
      <c r="S43" s="2"/>
      <c r="T43" s="2">
        <f t="shared" si="8"/>
        <v>35</v>
      </c>
      <c r="U43" s="2">
        <f t="shared" si="3"/>
        <v>24.950823397508785</v>
      </c>
      <c r="V43" s="2"/>
      <c r="W43" s="2">
        <f t="shared" si="9"/>
        <v>35</v>
      </c>
      <c r="X43" s="2">
        <f t="shared" ca="1" si="10"/>
        <v>25.932929791441978</v>
      </c>
      <c r="Y43" s="2"/>
      <c r="Z43" s="2">
        <f t="shared" si="11"/>
        <v>35</v>
      </c>
      <c r="AA43">
        <f t="shared" si="12"/>
        <v>30.474860499868932</v>
      </c>
    </row>
  </sheetData>
  <mergeCells count="2">
    <mergeCell ref="A23:F23"/>
    <mergeCell ref="N31:AA3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FC32D-FC65-41A6-BA3B-2F0D7072471D}">
  <dimension ref="A1:AA47"/>
  <sheetViews>
    <sheetView zoomScale="85" zoomScaleNormal="85" workbookViewId="0">
      <selection activeCell="H10" sqref="H10"/>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43.4</v>
      </c>
      <c r="D2">
        <f t="shared" ref="D2:M2" si="0">C2-(C2/100*D1)</f>
        <v>42.966000000000001</v>
      </c>
      <c r="E2">
        <f t="shared" si="0"/>
        <v>42.106680000000004</v>
      </c>
      <c r="F2">
        <f t="shared" si="0"/>
        <v>40.843479600000002</v>
      </c>
      <c r="G2">
        <f t="shared" si="0"/>
        <v>39.209740416000002</v>
      </c>
      <c r="H2">
        <f t="shared" si="0"/>
        <v>37.2492533952</v>
      </c>
      <c r="I2">
        <f t="shared" si="0"/>
        <v>35.014298191488002</v>
      </c>
      <c r="J2">
        <f t="shared" si="0"/>
        <v>32.563297318083841</v>
      </c>
      <c r="K2">
        <f t="shared" si="0"/>
        <v>29.958233532637134</v>
      </c>
      <c r="L2">
        <f t="shared" si="0"/>
        <v>27.261992514699791</v>
      </c>
      <c r="M2">
        <f t="shared" si="0"/>
        <v>24.535793263229813</v>
      </c>
      <c r="N2" s="8"/>
      <c r="O2" s="21"/>
      <c r="Q2" s="3" t="s">
        <v>0</v>
      </c>
      <c r="R2" s="16">
        <f>B27+ ((1 -((C2 / 43.4) * 0.7 )-((C3 / 100) * 0.3 )) * 100)</f>
        <v>30.000000000000007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29.999999999999996</v>
      </c>
      <c r="T3" s="23" t="s">
        <v>8</v>
      </c>
    </row>
    <row r="4" spans="1:20" ht="18" customHeight="1" x14ac:dyDescent="0.3">
      <c r="A4" s="4" t="s">
        <v>17</v>
      </c>
      <c r="B4" s="4" t="s">
        <v>18</v>
      </c>
      <c r="C4" s="10">
        <v>51</v>
      </c>
      <c r="D4">
        <f>C4-(C4/100*D1)</f>
        <v>50.49</v>
      </c>
      <c r="E4">
        <f t="shared" ref="E4:M4" si="2">D4-(D4/100*E1)</f>
        <v>49.480200000000004</v>
      </c>
      <c r="F4">
        <f t="shared" si="2"/>
        <v>47.995794000000004</v>
      </c>
      <c r="G4">
        <f t="shared" si="2"/>
        <v>46.075962240000003</v>
      </c>
      <c r="H4">
        <f t="shared" si="2"/>
        <v>43.772164128</v>
      </c>
      <c r="I4">
        <f t="shared" si="2"/>
        <v>41.145834280320003</v>
      </c>
      <c r="J4">
        <f t="shared" si="2"/>
        <v>38.265625880697606</v>
      </c>
      <c r="K4">
        <f t="shared" si="2"/>
        <v>35.2043758102418</v>
      </c>
      <c r="L4">
        <f t="shared" si="2"/>
        <v>32.035981987320035</v>
      </c>
      <c r="M4">
        <f t="shared" si="2"/>
        <v>28.832383788588032</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30</v>
      </c>
      <c r="Q4" s="5" t="s">
        <v>2</v>
      </c>
      <c r="R4" s="5">
        <f>B27 - 9*R11</f>
        <v>28.920406015037596</v>
      </c>
      <c r="T4" s="1">
        <f ca="1">(R2/100*20)+(R3/100*20)+(R4/100*25)+(R5/100*20)+(R6/100*15)</f>
        <v>29.7301015037594</v>
      </c>
    </row>
    <row r="5" spans="1:20" x14ac:dyDescent="0.3">
      <c r="A5" s="4" t="s">
        <v>17</v>
      </c>
      <c r="B5" s="4" t="s">
        <v>19</v>
      </c>
      <c r="C5" s="10">
        <v>3.9</v>
      </c>
      <c r="L5" s="8"/>
      <c r="M5" s="8">
        <f>C5-(C5/100*12)</f>
        <v>3.4319999999999999</v>
      </c>
      <c r="N5" s="8"/>
      <c r="O5" s="18">
        <f ca="1">FORECAST(C5, OFFSET(Strength_Normative_Data!$O$3, MATCH(C5, Strength_Normative_Data!$P$3:$P$17, -1)-1, 0, 2), OFFSET(Strength_Normative_Data!$P$3, MATCH(C5, Strength_Normative_Data!$P$3:$P$17, -1)-1, 0, 2))</f>
        <v>29.999999999999986</v>
      </c>
      <c r="Q5" s="6" t="s">
        <v>29</v>
      </c>
      <c r="R5" s="6">
        <f ca="1">((O14/100*30)+(O15/100*25)+(O16/100*30)+(O17/100*15))</f>
        <v>29.999999999999996</v>
      </c>
    </row>
    <row r="6" spans="1:20" x14ac:dyDescent="0.3">
      <c r="A6" s="4" t="s">
        <v>17</v>
      </c>
      <c r="B6" s="4" t="s">
        <v>20</v>
      </c>
      <c r="C6" s="10">
        <v>49</v>
      </c>
      <c r="L6" s="8"/>
      <c r="M6" s="8">
        <f>C6-(C6/100*12)</f>
        <v>43.12</v>
      </c>
      <c r="N6" s="8"/>
      <c r="O6" s="18">
        <f ca="1">FORECAST(C6, OFFSET(Strength_Normative_Data!$J$3, MATCH(C6, Strength_Normative_Data!$K$3:$K$16, -1)-1, 0, 2), OFFSET(Strength_Normative_Data!$K$3, MATCH(C6, Strength_Normative_Data!$K$3:$K$16, -1)-1, 0, 2))</f>
        <v>30</v>
      </c>
      <c r="Q6" s="7" t="s">
        <v>4</v>
      </c>
      <c r="R6" s="7">
        <f>((O18/100*60)+(O19/100*40))</f>
        <v>30</v>
      </c>
    </row>
    <row r="7" spans="1:20" x14ac:dyDescent="0.3">
      <c r="A7" s="5" t="s">
        <v>21</v>
      </c>
      <c r="B7" s="5" t="s">
        <v>22</v>
      </c>
      <c r="C7" s="11">
        <v>26</v>
      </c>
      <c r="L7" s="8"/>
      <c r="M7" s="8">
        <f>C7+(C7/100*6)</f>
        <v>27.56</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5.6</v>
      </c>
      <c r="L9" s="8"/>
      <c r="M9" s="8"/>
      <c r="N9" s="8"/>
      <c r="O9" s="22"/>
    </row>
    <row r="10" spans="1:20" x14ac:dyDescent="0.3">
      <c r="A10" s="5" t="s">
        <v>21</v>
      </c>
      <c r="B10" s="5" t="s">
        <v>25</v>
      </c>
      <c r="C10" s="11">
        <v>5.6</v>
      </c>
      <c r="L10" s="8"/>
      <c r="M10" s="8">
        <f>C10+(C10/100*5)</f>
        <v>5.88</v>
      </c>
      <c r="N10" s="8"/>
      <c r="O10" s="22">
        <f xml:space="preserve">
IF(C10&lt;5.7,10*(C10/5.7),
IF(C10&lt;6.5,10+40*(C10-5.7)/0.8,
50+50*(MIN(C10,9)-6.5)/2.5))</f>
        <v>9.8245614035087705</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29.002255639097751</v>
      </c>
      <c r="R11">
        <f xml:space="preserve">
IF(Q11&lt;=10,1.5-0.1*Q11,
IF(Q11&lt;=60,0.5-0.02*(Q11-10),
-0.5-0.03*(Q11-60)))</f>
        <v>0.11995488721804498</v>
      </c>
    </row>
    <row r="12" spans="1:20" x14ac:dyDescent="0.3">
      <c r="A12" s="5" t="s">
        <v>21</v>
      </c>
      <c r="B12" s="5" t="s">
        <v>27</v>
      </c>
      <c r="C12" s="11">
        <v>0.98</v>
      </c>
      <c r="L12" s="8"/>
      <c r="M12" s="8">
        <f>C12+(C12/100*6)</f>
        <v>1.0387999999999999</v>
      </c>
      <c r="N12" s="8"/>
      <c r="O12" s="5">
        <f>C12*100</f>
        <v>98</v>
      </c>
      <c r="P12" s="5">
        <f xml:space="preserve">
IF(O12&lt;80,5*(O12/80),
IF(O12&lt;100,10+20*(O12-80)/20,
IF(O12&lt;130,30+25*(O12-100)/30,
IF(O12&lt;160,55+25*(O12-130)/30,
IF(O12&lt;200,80+20*(O12-160)/40,100)))))</f>
        <v>28</v>
      </c>
    </row>
    <row r="13" spans="1:20" x14ac:dyDescent="0.3">
      <c r="A13" s="5" t="s">
        <v>21</v>
      </c>
      <c r="B13" s="5" t="s">
        <v>28</v>
      </c>
      <c r="C13" s="11">
        <v>1.6</v>
      </c>
      <c r="L13" s="8"/>
      <c r="M13" s="8">
        <f>C13+(C13/100*18)</f>
        <v>1.8880000000000001</v>
      </c>
      <c r="N13" s="8"/>
      <c r="O13" s="5">
        <f xml:space="preserve">
IF(C13&lt;1,10*(C13/1),
IF(C13&lt;3,10+40*(C13-1)/2,
50+50*(MIN(C13,10)-3)/7))</f>
        <v>22</v>
      </c>
    </row>
    <row r="14" spans="1:20" x14ac:dyDescent="0.3">
      <c r="A14" s="6" t="s">
        <v>29</v>
      </c>
      <c r="B14" s="6" t="s">
        <v>30</v>
      </c>
      <c r="C14" s="12">
        <v>1.43</v>
      </c>
      <c r="L14" s="8"/>
      <c r="M14" s="8">
        <f>C14+(C14/100*6)</f>
        <v>1.5158</v>
      </c>
      <c r="N14" s="8"/>
      <c r="O14" s="12">
        <v>30</v>
      </c>
    </row>
    <row r="15" spans="1:20" x14ac:dyDescent="0.3">
      <c r="A15" s="6" t="s">
        <v>29</v>
      </c>
      <c r="B15" s="6" t="s">
        <v>31</v>
      </c>
      <c r="C15" s="12">
        <v>5.5</v>
      </c>
      <c r="L15" s="8"/>
      <c r="M15" s="8">
        <f>C15+(C15/100*10)</f>
        <v>6.05</v>
      </c>
      <c r="N15" s="8"/>
      <c r="O15" s="12">
        <f ca="1">FORECAST(C15, OFFSET(Mobility_Normative_Data!$E$3, MATCH(C15, Mobility_Normative_Data!$F$3:$F$18, 1)-1, 0, 2), OFFSET(Mobility_Normative_Data!$F$3, MATCH(C15, Mobility_Normative_Data!$F$3:$F$18, 1)-1, 0, 2))</f>
        <v>29.999999999999986</v>
      </c>
    </row>
    <row r="16" spans="1:20" x14ac:dyDescent="0.3">
      <c r="A16" s="6" t="s">
        <v>29</v>
      </c>
      <c r="B16" s="6" t="s">
        <v>32</v>
      </c>
      <c r="C16" s="12">
        <v>43</v>
      </c>
      <c r="L16" s="8"/>
      <c r="M16" s="8">
        <f>C16+(C16/100*20)</f>
        <v>51.6</v>
      </c>
      <c r="N16" s="8"/>
      <c r="O16" s="12">
        <f ca="1">FORECAST(C16, OFFSET(Mobility_Normative_Data!$I$3, MATCH(C16, Mobility_Normative_Data!$J$3:$J$17, -1)-1, 0, 2), OFFSET(Mobility_Normative_Data!$J$3, MATCH(C16, Mobility_Normative_Data!$J$3:$J$17, -1)-1, 0, 2))</f>
        <v>30</v>
      </c>
    </row>
    <row r="17" spans="1:27" x14ac:dyDescent="0.3">
      <c r="A17" s="6" t="s">
        <v>29</v>
      </c>
      <c r="B17" s="6" t="s">
        <v>33</v>
      </c>
      <c r="C17" s="12">
        <v>37</v>
      </c>
      <c r="L17" s="8"/>
      <c r="M17" s="8">
        <f>C17+(C17/100*10)</f>
        <v>40.700000000000003</v>
      </c>
      <c r="N17" s="8"/>
      <c r="O17" s="12">
        <f ca="1">FORECAST(C17, OFFSET(Mobility_Normative_Data!$M$3, MATCH(C17, Mobility_Normative_Data!$N$3:$N$17, -1)-1, 0, 2), OFFSET(Mobility_Normative_Data!$N$3, MATCH(C17, Mobility_Normative_Data!$N$3:$N$17, -1)-1, 0, 2))</f>
        <v>30</v>
      </c>
    </row>
    <row r="18" spans="1:27" x14ac:dyDescent="0.3">
      <c r="A18" s="7" t="s">
        <v>34</v>
      </c>
      <c r="B18" s="7" t="s">
        <v>35</v>
      </c>
      <c r="C18" s="13">
        <v>0</v>
      </c>
      <c r="L18" s="8"/>
      <c r="M18" s="8">
        <f>C18 +(-0.2)</f>
        <v>-0.2</v>
      </c>
      <c r="N18" s="8"/>
      <c r="O18" s="20">
        <f>MAX(18,B27-(C18*25))</f>
        <v>30</v>
      </c>
    </row>
    <row r="19" spans="1:27" x14ac:dyDescent="0.3">
      <c r="A19" s="7" t="s">
        <v>34</v>
      </c>
      <c r="B19" s="7" t="s">
        <v>36</v>
      </c>
      <c r="C19" s="13">
        <v>0</v>
      </c>
      <c r="L19" s="8"/>
      <c r="M19" s="8">
        <f>C19+(-0.2)</f>
        <v>-0.2</v>
      </c>
      <c r="N19" s="8"/>
      <c r="O19" s="20">
        <f>MAX(18,B27-(J1925))</f>
        <v>30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30</v>
      </c>
      <c r="C27">
        <f>B27+10</f>
        <v>40</v>
      </c>
      <c r="D27">
        <f>C27+10</f>
        <v>50</v>
      </c>
      <c r="E27">
        <f>D27+10</f>
        <v>60</v>
      </c>
      <c r="F27">
        <f>E27+10</f>
        <v>70</v>
      </c>
    </row>
    <row r="28" spans="1:27" x14ac:dyDescent="0.3">
      <c r="A28" t="s">
        <v>0</v>
      </c>
      <c r="B28" s="24">
        <f>R2</f>
        <v>30.000000000000007</v>
      </c>
      <c r="C28">
        <f>B28+(B28/100*11.5)</f>
        <v>33.45000000000001</v>
      </c>
      <c r="D28">
        <f>C28+(C28/100*32.2)</f>
        <v>44.220900000000015</v>
      </c>
      <c r="E28">
        <f>D28+(D28/100*32.2)</f>
        <v>58.460029800000022</v>
      </c>
      <c r="F28">
        <f>E28+(E28/100*32.2)</f>
        <v>77.284159395600028</v>
      </c>
    </row>
    <row r="29" spans="1:27" x14ac:dyDescent="0.3">
      <c r="A29" t="s">
        <v>1</v>
      </c>
      <c r="B29">
        <f ca="1">R3</f>
        <v>29.999999999999996</v>
      </c>
      <c r="C29">
        <f ca="1">B29+(B29/100*12.3)</f>
        <v>33.69</v>
      </c>
      <c r="D29">
        <f ca="1">C29+(C29/100*30.8)</f>
        <v>44.066519999999997</v>
      </c>
      <c r="E29">
        <f ca="1">D29+(D29/100*30.8)</f>
        <v>57.639008159999996</v>
      </c>
      <c r="F29">
        <f ca="1">E29+(E29/100*30.8)</f>
        <v>75.391822673279989</v>
      </c>
    </row>
    <row r="30" spans="1:27" x14ac:dyDescent="0.3">
      <c r="A30" t="s">
        <v>2</v>
      </c>
      <c r="B30">
        <f>R4</f>
        <v>28.920406015037596</v>
      </c>
      <c r="C30">
        <f>B30+(B30/100*5.5)</f>
        <v>30.511028345864663</v>
      </c>
      <c r="D30">
        <f>C30+(C30/100*11)</f>
        <v>33.867241463909778</v>
      </c>
      <c r="E30">
        <f>D30+(D30/100*11)</f>
        <v>37.592638024939852</v>
      </c>
      <c r="F30">
        <f>E30+(E30/100*11)</f>
        <v>41.727828207683238</v>
      </c>
    </row>
    <row r="31" spans="1:27" x14ac:dyDescent="0.3">
      <c r="A31" t="s">
        <v>3</v>
      </c>
      <c r="B31">
        <f ca="1">R5</f>
        <v>29.999999999999996</v>
      </c>
      <c r="C31">
        <f ca="1">B31+(B31/100*9.9)</f>
        <v>32.97</v>
      </c>
      <c r="D31">
        <f ca="1">C31+(C31/100*19.8)</f>
        <v>39.498059999999995</v>
      </c>
      <c r="E31">
        <f ca="1">D31+(D31/100*19.8)</f>
        <v>47.318675879999994</v>
      </c>
      <c r="F31">
        <f ca="1">E31+(E31/100*19.8)</f>
        <v>56.687773704239994</v>
      </c>
      <c r="N31" s="46" t="s">
        <v>104</v>
      </c>
      <c r="O31" s="46"/>
      <c r="P31" s="46"/>
      <c r="Q31" s="46"/>
      <c r="R31" s="46"/>
      <c r="S31" s="46"/>
      <c r="T31" s="46"/>
      <c r="U31" s="46"/>
      <c r="V31" s="46"/>
      <c r="W31" s="46"/>
      <c r="X31" s="46"/>
      <c r="Y31" s="46"/>
      <c r="Z31" s="46"/>
      <c r="AA31" s="46"/>
    </row>
    <row r="32" spans="1:27" ht="86.4" x14ac:dyDescent="0.3">
      <c r="A32" t="s">
        <v>4</v>
      </c>
      <c r="B32">
        <f>R6</f>
        <v>30</v>
      </c>
      <c r="C32">
        <f>B32+(B32/100*20)</f>
        <v>36</v>
      </c>
      <c r="D32">
        <f>C32+(C32/100*60)</f>
        <v>57.599999999999994</v>
      </c>
      <c r="E32">
        <f>D32+(D32/100*60)</f>
        <v>92.16</v>
      </c>
      <c r="F32">
        <f>E32+(E32/100*60)</f>
        <v>147.45599999999999</v>
      </c>
      <c r="N32" s="2" t="s">
        <v>103</v>
      </c>
      <c r="O32" s="2" t="s">
        <v>110</v>
      </c>
      <c r="P32" s="2"/>
      <c r="Q32" s="2" t="s">
        <v>103</v>
      </c>
      <c r="R32" s="2" t="s">
        <v>111</v>
      </c>
      <c r="S32" s="2"/>
      <c r="T32" s="2" t="s">
        <v>103</v>
      </c>
      <c r="U32" s="2" t="s">
        <v>112</v>
      </c>
      <c r="V32" s="2"/>
      <c r="W32" s="2" t="s">
        <v>103</v>
      </c>
      <c r="X32" s="2" t="s">
        <v>113</v>
      </c>
      <c r="Y32" s="2"/>
      <c r="Z32" s="2" t="s">
        <v>103</v>
      </c>
      <c r="AA32" s="2" t="s">
        <v>114</v>
      </c>
    </row>
    <row r="33" spans="1:27" x14ac:dyDescent="0.3">
      <c r="N33" s="2">
        <f>B27</f>
        <v>30</v>
      </c>
      <c r="O33" s="27">
        <f>R2</f>
        <v>30.000000000000007</v>
      </c>
      <c r="P33" s="2"/>
      <c r="Q33" s="2">
        <f>N33</f>
        <v>30</v>
      </c>
      <c r="R33" s="2">
        <f ca="1">R3</f>
        <v>29.999999999999996</v>
      </c>
      <c r="S33" s="2"/>
      <c r="T33" s="2">
        <f>N33</f>
        <v>30</v>
      </c>
      <c r="U33" s="2">
        <f>R4</f>
        <v>28.920406015037596</v>
      </c>
      <c r="V33" s="2"/>
      <c r="W33" s="2">
        <f>N33</f>
        <v>30</v>
      </c>
      <c r="X33" s="2">
        <f ca="1">R5</f>
        <v>29.999999999999996</v>
      </c>
      <c r="Y33" s="2"/>
      <c r="Z33" s="2">
        <f>N33</f>
        <v>30</v>
      </c>
      <c r="AA33">
        <f>R6</f>
        <v>30</v>
      </c>
    </row>
    <row r="34" spans="1:27" x14ac:dyDescent="0.3">
      <c r="N34" s="2">
        <f>N33+1</f>
        <v>31</v>
      </c>
      <c r="O34" s="2">
        <f>O33+(O33*0.0115)</f>
        <v>30.345000000000006</v>
      </c>
      <c r="P34" s="2"/>
      <c r="Q34" s="2">
        <f>Q33+1</f>
        <v>31</v>
      </c>
      <c r="R34" s="2">
        <f ca="1">R33+(R33*0.0123)</f>
        <v>30.368999999999996</v>
      </c>
      <c r="S34" s="2"/>
      <c r="T34" s="2">
        <f>T33+1</f>
        <v>31</v>
      </c>
      <c r="U34" s="2">
        <f t="shared" ref="U34:U43" si="3">U33+(U33*0.0055)</f>
        <v>29.079468248120303</v>
      </c>
      <c r="V34" s="2"/>
      <c r="W34" s="2">
        <f>W33+1</f>
        <v>31</v>
      </c>
      <c r="X34" s="2">
        <f ca="1">X33+(X33*0.0099)</f>
        <v>30.296999999999997</v>
      </c>
      <c r="Y34" s="2"/>
      <c r="Z34" s="2">
        <f>Z33+1</f>
        <v>31</v>
      </c>
      <c r="AA34">
        <f>AA33+(AA33*0.02)</f>
        <v>30.6</v>
      </c>
    </row>
    <row r="35" spans="1:27" x14ac:dyDescent="0.3">
      <c r="N35" s="2">
        <f t="shared" ref="N35:N43" si="4">N34+1</f>
        <v>32</v>
      </c>
      <c r="O35" s="2">
        <f t="shared" ref="O35:O43" si="5">O34+(O34*0.0115)</f>
        <v>30.693967500000007</v>
      </c>
      <c r="P35" s="2"/>
      <c r="Q35" s="2">
        <f t="shared" ref="Q35:Q43" si="6">Q34+1</f>
        <v>32</v>
      </c>
      <c r="R35" s="2">
        <f t="shared" ref="R35:R43" ca="1" si="7">R34+(R34*0.0123)</f>
        <v>30.742538699999997</v>
      </c>
      <c r="S35" s="2"/>
      <c r="T35" s="2">
        <f t="shared" ref="T35:T43" si="8">T34+1</f>
        <v>32</v>
      </c>
      <c r="U35" s="2">
        <f t="shared" si="3"/>
        <v>29.239405323484966</v>
      </c>
      <c r="V35" s="2"/>
      <c r="W35" s="2">
        <f t="shared" ref="W35:W43" si="9">W34+1</f>
        <v>32</v>
      </c>
      <c r="X35" s="2">
        <f t="shared" ref="X35:X43" ca="1" si="10">X34+(X34*0.0099)</f>
        <v>30.596940299999996</v>
      </c>
      <c r="Y35" s="2"/>
      <c r="Z35" s="2">
        <f t="shared" ref="Z35:Z43" si="11">Z34+1</f>
        <v>32</v>
      </c>
      <c r="AA35">
        <f t="shared" ref="AA35:AA43" si="12">AA34+(AA34*0.02)</f>
        <v>31.212</v>
      </c>
    </row>
    <row r="36" spans="1:27" x14ac:dyDescent="0.3">
      <c r="A36" t="s">
        <v>8</v>
      </c>
      <c r="N36" s="2">
        <f t="shared" si="4"/>
        <v>33</v>
      </c>
      <c r="O36" s="2">
        <f t="shared" si="5"/>
        <v>31.046948126250008</v>
      </c>
      <c r="P36" s="2"/>
      <c r="Q36" s="2">
        <f t="shared" si="6"/>
        <v>33</v>
      </c>
      <c r="R36" s="2">
        <f t="shared" ca="1" si="7"/>
        <v>31.120671926009997</v>
      </c>
      <c r="S36" s="2"/>
      <c r="T36" s="2">
        <f t="shared" si="8"/>
        <v>33</v>
      </c>
      <c r="U36" s="2">
        <f t="shared" si="3"/>
        <v>29.400222052764132</v>
      </c>
      <c r="V36" s="2"/>
      <c r="W36" s="2">
        <f t="shared" si="9"/>
        <v>33</v>
      </c>
      <c r="X36" s="2">
        <f t="shared" ca="1" si="10"/>
        <v>30.899850008969995</v>
      </c>
      <c r="Y36" s="2"/>
      <c r="Z36" s="2">
        <f t="shared" si="11"/>
        <v>33</v>
      </c>
      <c r="AA36">
        <f t="shared" si="12"/>
        <v>31.83624</v>
      </c>
    </row>
    <row r="37" spans="1:27" x14ac:dyDescent="0.3">
      <c r="A37" s="1">
        <f ca="1">(B28/100*20)+(B29/100*20)+(B30/100*25)+(B31/100*20)+(B32/100*15)</f>
        <v>29.7301015037594</v>
      </c>
      <c r="N37" s="2">
        <f t="shared" si="4"/>
        <v>34</v>
      </c>
      <c r="O37" s="2">
        <f t="shared" si="5"/>
        <v>31.403988029701882</v>
      </c>
      <c r="P37" s="2"/>
      <c r="Q37" s="2">
        <f t="shared" si="6"/>
        <v>34</v>
      </c>
      <c r="R37" s="2">
        <f t="shared" ca="1" si="7"/>
        <v>31.503456190699922</v>
      </c>
      <c r="S37" s="2"/>
      <c r="T37" s="2">
        <f t="shared" si="8"/>
        <v>34</v>
      </c>
      <c r="U37" s="2">
        <f t="shared" si="3"/>
        <v>29.561923274054333</v>
      </c>
      <c r="V37" s="2"/>
      <c r="W37" s="2">
        <f t="shared" si="9"/>
        <v>34</v>
      </c>
      <c r="X37" s="2">
        <f t="shared" ca="1" si="10"/>
        <v>31.205758524058798</v>
      </c>
      <c r="Y37" s="2"/>
      <c r="Z37" s="2">
        <f t="shared" si="11"/>
        <v>34</v>
      </c>
      <c r="AA37">
        <f t="shared" si="12"/>
        <v>32.4729648</v>
      </c>
    </row>
    <row r="38" spans="1:27" x14ac:dyDescent="0.3">
      <c r="N38" s="2">
        <f t="shared" si="4"/>
        <v>35</v>
      </c>
      <c r="O38" s="2">
        <f t="shared" si="5"/>
        <v>31.765133892043455</v>
      </c>
      <c r="P38" s="2"/>
      <c r="Q38" s="2">
        <f t="shared" si="6"/>
        <v>35</v>
      </c>
      <c r="R38" s="2">
        <f t="shared" ca="1" si="7"/>
        <v>31.890948701845531</v>
      </c>
      <c r="S38" s="2"/>
      <c r="T38" s="2">
        <f t="shared" si="8"/>
        <v>35</v>
      </c>
      <c r="U38" s="2">
        <f t="shared" si="3"/>
        <v>29.724513852061634</v>
      </c>
      <c r="V38" s="2"/>
      <c r="W38" s="2">
        <f t="shared" si="9"/>
        <v>35</v>
      </c>
      <c r="X38" s="2">
        <f t="shared" ca="1" si="10"/>
        <v>31.514695533446979</v>
      </c>
      <c r="Y38" s="2"/>
      <c r="Z38" s="2">
        <f t="shared" si="11"/>
        <v>35</v>
      </c>
      <c r="AA38">
        <f t="shared" si="12"/>
        <v>33.122424096000003</v>
      </c>
    </row>
    <row r="39" spans="1:27" x14ac:dyDescent="0.3">
      <c r="N39" s="2">
        <f t="shared" si="4"/>
        <v>36</v>
      </c>
      <c r="O39" s="2">
        <f t="shared" si="5"/>
        <v>32.130432931801955</v>
      </c>
      <c r="P39" s="2"/>
      <c r="Q39" s="2">
        <f t="shared" si="6"/>
        <v>36</v>
      </c>
      <c r="R39" s="2">
        <f t="shared" ca="1" si="7"/>
        <v>32.28320737087823</v>
      </c>
      <c r="S39" s="2"/>
      <c r="T39" s="2">
        <f t="shared" si="8"/>
        <v>36</v>
      </c>
      <c r="U39" s="2">
        <f t="shared" si="3"/>
        <v>29.887998678247971</v>
      </c>
      <c r="V39" s="2"/>
      <c r="W39" s="2">
        <f t="shared" si="9"/>
        <v>36</v>
      </c>
      <c r="X39" s="2">
        <f t="shared" ca="1" si="10"/>
        <v>31.826691019228104</v>
      </c>
      <c r="Y39" s="2"/>
      <c r="Z39" s="2">
        <f t="shared" si="11"/>
        <v>36</v>
      </c>
      <c r="AA39">
        <f t="shared" si="12"/>
        <v>33.784872577920005</v>
      </c>
    </row>
    <row r="40" spans="1:27" x14ac:dyDescent="0.3">
      <c r="N40" s="2">
        <f t="shared" si="4"/>
        <v>37</v>
      </c>
      <c r="O40" s="2">
        <f t="shared" si="5"/>
        <v>32.499932910517678</v>
      </c>
      <c r="P40" s="2"/>
      <c r="Q40" s="2">
        <f t="shared" si="6"/>
        <v>37</v>
      </c>
      <c r="R40" s="2">
        <f t="shared" ca="1" si="7"/>
        <v>32.680290821540034</v>
      </c>
      <c r="S40" s="2"/>
      <c r="T40" s="2">
        <f t="shared" si="8"/>
        <v>37</v>
      </c>
      <c r="U40" s="2">
        <f t="shared" si="3"/>
        <v>30.052382670978336</v>
      </c>
      <c r="V40" s="2"/>
      <c r="W40" s="2">
        <f t="shared" si="9"/>
        <v>37</v>
      </c>
      <c r="X40" s="2">
        <f t="shared" ca="1" si="10"/>
        <v>32.141775260318461</v>
      </c>
      <c r="Y40" s="2"/>
      <c r="Z40" s="2">
        <f t="shared" si="11"/>
        <v>37</v>
      </c>
      <c r="AA40">
        <f t="shared" si="12"/>
        <v>34.460570029478404</v>
      </c>
    </row>
    <row r="41" spans="1:27" x14ac:dyDescent="0.3">
      <c r="N41" s="2">
        <f t="shared" si="4"/>
        <v>38</v>
      </c>
      <c r="O41" s="2">
        <f t="shared" si="5"/>
        <v>32.873682138988634</v>
      </c>
      <c r="P41" s="2"/>
      <c r="Q41" s="2">
        <f t="shared" si="6"/>
        <v>38</v>
      </c>
      <c r="R41" s="2">
        <f t="shared" ca="1" si="7"/>
        <v>33.082258398644974</v>
      </c>
      <c r="S41" s="2"/>
      <c r="T41" s="2">
        <f t="shared" si="8"/>
        <v>38</v>
      </c>
      <c r="U41" s="2">
        <f t="shared" si="3"/>
        <v>30.217670775668715</v>
      </c>
      <c r="V41" s="2"/>
      <c r="W41" s="2">
        <f t="shared" si="9"/>
        <v>38</v>
      </c>
      <c r="X41" s="2">
        <f t="shared" ca="1" si="10"/>
        <v>32.459978835395617</v>
      </c>
      <c r="Y41" s="2"/>
      <c r="Z41" s="2">
        <f t="shared" si="11"/>
        <v>38</v>
      </c>
      <c r="AA41">
        <f t="shared" si="12"/>
        <v>35.149781430067975</v>
      </c>
    </row>
    <row r="42" spans="1:27" x14ac:dyDescent="0.3">
      <c r="B42" t="s">
        <v>12</v>
      </c>
      <c r="C42" t="s">
        <v>0</v>
      </c>
      <c r="D42" t="s">
        <v>12</v>
      </c>
      <c r="E42" t="s">
        <v>1</v>
      </c>
      <c r="F42" t="s">
        <v>12</v>
      </c>
      <c r="G42" t="s">
        <v>2</v>
      </c>
      <c r="H42" t="s">
        <v>12</v>
      </c>
      <c r="I42" t="s">
        <v>3</v>
      </c>
      <c r="J42" t="s">
        <v>12</v>
      </c>
      <c r="K42" t="s">
        <v>4</v>
      </c>
      <c r="N42" s="2">
        <f t="shared" si="4"/>
        <v>39</v>
      </c>
      <c r="O42" s="2">
        <f t="shared" si="5"/>
        <v>33.251729483587006</v>
      </c>
      <c r="P42" s="2"/>
      <c r="Q42" s="2">
        <f t="shared" si="6"/>
        <v>39</v>
      </c>
      <c r="R42" s="2">
        <f t="shared" ca="1" si="7"/>
        <v>33.489170176948306</v>
      </c>
      <c r="S42" s="2"/>
      <c r="T42" s="2">
        <f t="shared" si="8"/>
        <v>39</v>
      </c>
      <c r="U42" s="2">
        <f t="shared" si="3"/>
        <v>30.383867964934893</v>
      </c>
      <c r="V42" s="2"/>
      <c r="W42" s="2">
        <f t="shared" si="9"/>
        <v>39</v>
      </c>
      <c r="X42" s="2">
        <f t="shared" ca="1" si="10"/>
        <v>32.781332625866035</v>
      </c>
      <c r="Y42" s="2"/>
      <c r="Z42" s="2">
        <f t="shared" si="11"/>
        <v>39</v>
      </c>
      <c r="AA42">
        <f t="shared" si="12"/>
        <v>35.852777058669332</v>
      </c>
    </row>
    <row r="43" spans="1:27" x14ac:dyDescent="0.3">
      <c r="B43">
        <f>B27</f>
        <v>30</v>
      </c>
      <c r="C43">
        <f>B28</f>
        <v>30.000000000000007</v>
      </c>
      <c r="D43">
        <f>B43</f>
        <v>30</v>
      </c>
      <c r="E43">
        <f ca="1">B29</f>
        <v>29.999999999999996</v>
      </c>
      <c r="F43">
        <f>B27</f>
        <v>30</v>
      </c>
      <c r="G43">
        <f>B30</f>
        <v>28.920406015037596</v>
      </c>
      <c r="H43">
        <f>B27</f>
        <v>30</v>
      </c>
      <c r="I43">
        <f ca="1">B31</f>
        <v>29.999999999999996</v>
      </c>
      <c r="J43">
        <f>B27</f>
        <v>30</v>
      </c>
      <c r="K43">
        <f>B32</f>
        <v>30</v>
      </c>
      <c r="N43" s="2">
        <f t="shared" si="4"/>
        <v>40</v>
      </c>
      <c r="O43" s="2">
        <f t="shared" si="5"/>
        <v>33.634124372648259</v>
      </c>
      <c r="P43" s="2"/>
      <c r="Q43" s="2">
        <f t="shared" si="6"/>
        <v>40</v>
      </c>
      <c r="R43" s="2">
        <f t="shared" ca="1" si="7"/>
        <v>33.901086970124773</v>
      </c>
      <c r="S43" s="2"/>
      <c r="T43" s="2">
        <f t="shared" si="8"/>
        <v>40</v>
      </c>
      <c r="U43" s="2">
        <f t="shared" si="3"/>
        <v>30.550979238742034</v>
      </c>
      <c r="V43" s="2"/>
      <c r="W43" s="2">
        <f t="shared" si="9"/>
        <v>40</v>
      </c>
      <c r="X43" s="2">
        <f t="shared" ca="1" si="10"/>
        <v>33.105867818862109</v>
      </c>
      <c r="Y43" s="2"/>
      <c r="Z43" s="2">
        <f t="shared" si="11"/>
        <v>40</v>
      </c>
      <c r="AA43">
        <f t="shared" si="12"/>
        <v>36.569832599842719</v>
      </c>
    </row>
    <row r="44" spans="1:27" x14ac:dyDescent="0.3">
      <c r="B44">
        <f>C27</f>
        <v>40</v>
      </c>
      <c r="C44">
        <f>C28</f>
        <v>33.45000000000001</v>
      </c>
      <c r="D44">
        <f>B44</f>
        <v>40</v>
      </c>
      <c r="E44">
        <f ca="1">C29</f>
        <v>33.69</v>
      </c>
      <c r="F44">
        <f>C27</f>
        <v>40</v>
      </c>
      <c r="G44">
        <f>C30</f>
        <v>30.511028345864663</v>
      </c>
      <c r="H44">
        <f>C27</f>
        <v>40</v>
      </c>
      <c r="I44">
        <f ca="1">C31</f>
        <v>32.97</v>
      </c>
      <c r="J44">
        <f>C27</f>
        <v>40</v>
      </c>
      <c r="K44">
        <f>C32</f>
        <v>36</v>
      </c>
    </row>
    <row r="45" spans="1:27" x14ac:dyDescent="0.3">
      <c r="B45">
        <f>D27</f>
        <v>50</v>
      </c>
      <c r="C45">
        <f>D28</f>
        <v>44.220900000000015</v>
      </c>
      <c r="D45">
        <f>D27</f>
        <v>50</v>
      </c>
      <c r="E45">
        <f ca="1">D29</f>
        <v>44.066519999999997</v>
      </c>
      <c r="F45">
        <f>D27</f>
        <v>50</v>
      </c>
      <c r="G45">
        <f>D30</f>
        <v>33.867241463909778</v>
      </c>
      <c r="H45">
        <f>D27</f>
        <v>50</v>
      </c>
      <c r="I45">
        <f ca="1">D31</f>
        <v>39.498059999999995</v>
      </c>
      <c r="J45">
        <f>D27</f>
        <v>50</v>
      </c>
      <c r="K45">
        <f>D32</f>
        <v>57.599999999999994</v>
      </c>
    </row>
    <row r="46" spans="1:27" x14ac:dyDescent="0.3">
      <c r="B46">
        <f>E27</f>
        <v>60</v>
      </c>
      <c r="C46">
        <f>E28</f>
        <v>58.460029800000022</v>
      </c>
      <c r="D46">
        <f>E27</f>
        <v>60</v>
      </c>
      <c r="E46">
        <f ca="1">E29</f>
        <v>57.639008159999996</v>
      </c>
      <c r="F46">
        <f>E27</f>
        <v>60</v>
      </c>
      <c r="G46">
        <f>E30</f>
        <v>37.592638024939852</v>
      </c>
      <c r="H46">
        <f>E27</f>
        <v>60</v>
      </c>
      <c r="I46">
        <f ca="1">E31</f>
        <v>47.318675879999994</v>
      </c>
      <c r="J46">
        <f>E27</f>
        <v>60</v>
      </c>
      <c r="K46">
        <f>E32</f>
        <v>92.16</v>
      </c>
    </row>
    <row r="47" spans="1:27" x14ac:dyDescent="0.3">
      <c r="B47">
        <f>F27</f>
        <v>70</v>
      </c>
      <c r="C47">
        <f>F28</f>
        <v>77.284159395600028</v>
      </c>
      <c r="D47">
        <f>F27</f>
        <v>70</v>
      </c>
      <c r="E47">
        <f ca="1">F29</f>
        <v>75.391822673279989</v>
      </c>
      <c r="F47">
        <f>F27</f>
        <v>70</v>
      </c>
      <c r="G47">
        <f ca="1">F31</f>
        <v>56.687773704239994</v>
      </c>
      <c r="H47">
        <f>F27</f>
        <v>70</v>
      </c>
      <c r="I47">
        <f ca="1">F31</f>
        <v>56.687773704239994</v>
      </c>
      <c r="J47">
        <f>F27</f>
        <v>70</v>
      </c>
      <c r="K47">
        <f>F32</f>
        <v>147.45599999999999</v>
      </c>
    </row>
  </sheetData>
  <mergeCells count="2">
    <mergeCell ref="A23:F23"/>
    <mergeCell ref="N31:AA3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446A-0CBA-4E10-81B7-ABD654A10D0E}">
  <dimension ref="A1:AA43"/>
  <sheetViews>
    <sheetView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34.700000000000003</v>
      </c>
      <c r="D2">
        <f t="shared" ref="D2:M2" si="0">C2-(C2/100*D1)</f>
        <v>34.353000000000002</v>
      </c>
      <c r="E2">
        <f t="shared" si="0"/>
        <v>33.665939999999999</v>
      </c>
      <c r="F2">
        <f t="shared" si="0"/>
        <v>32.6559618</v>
      </c>
      <c r="G2">
        <f t="shared" si="0"/>
        <v>31.349723328</v>
      </c>
      <c r="H2">
        <f t="shared" si="0"/>
        <v>29.782237161600001</v>
      </c>
      <c r="I2">
        <f t="shared" si="0"/>
        <v>27.995302931904</v>
      </c>
      <c r="J2">
        <f t="shared" si="0"/>
        <v>26.035631726670719</v>
      </c>
      <c r="K2">
        <f t="shared" si="0"/>
        <v>23.95278118853706</v>
      </c>
      <c r="L2">
        <f t="shared" si="0"/>
        <v>21.797030881568723</v>
      </c>
      <c r="M2">
        <f t="shared" si="0"/>
        <v>19.61732779341185</v>
      </c>
      <c r="N2" s="8"/>
      <c r="O2" s="21"/>
      <c r="Q2" s="3" t="s">
        <v>0</v>
      </c>
      <c r="R2" s="16">
        <f>B27+ ((1 -((C2 / 34.7) * 0.7 )-((C3 / 100) * 0.3 )) * 100)</f>
        <v>30.000000000000007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29.999999999999996</v>
      </c>
      <c r="T3" s="23" t="s">
        <v>8</v>
      </c>
    </row>
    <row r="4" spans="1:20" ht="18" customHeight="1" x14ac:dyDescent="0.3">
      <c r="A4" s="4" t="s">
        <v>17</v>
      </c>
      <c r="B4" s="4" t="s">
        <v>18</v>
      </c>
      <c r="C4" s="10">
        <v>31</v>
      </c>
      <c r="D4">
        <f>C4-(C4/100*D1)</f>
        <v>30.69</v>
      </c>
      <c r="E4">
        <f t="shared" ref="E4:M4" si="2">D4-(D4/100*E1)</f>
        <v>30.0762</v>
      </c>
      <c r="F4">
        <f t="shared" si="2"/>
        <v>29.173914</v>
      </c>
      <c r="G4">
        <f t="shared" si="2"/>
        <v>28.006957440000001</v>
      </c>
      <c r="H4">
        <f t="shared" si="2"/>
        <v>26.606609568</v>
      </c>
      <c r="I4">
        <f t="shared" si="2"/>
        <v>25.01021299392</v>
      </c>
      <c r="J4">
        <f t="shared" si="2"/>
        <v>23.259498084345601</v>
      </c>
      <c r="K4">
        <f t="shared" si="2"/>
        <v>21.398738237597954</v>
      </c>
      <c r="L4">
        <f t="shared" si="2"/>
        <v>19.472851796214137</v>
      </c>
      <c r="M4">
        <f t="shared" si="2"/>
        <v>17.525566616592723</v>
      </c>
      <c r="N4" s="8"/>
      <c r="O4" s="18">
        <v>30</v>
      </c>
      <c r="Q4" s="5" t="s">
        <v>2</v>
      </c>
      <c r="R4" s="5">
        <f>B27 - 9*R11</f>
        <v>28.619142857142858</v>
      </c>
      <c r="T4" s="1">
        <f ca="1">(R2/100*20)+(R3/100*20)+(R4/100*25)+(R5/100*20)+(R6/100*15)</f>
        <v>29.654785714285715</v>
      </c>
    </row>
    <row r="5" spans="1:20" x14ac:dyDescent="0.3">
      <c r="A5" s="4" t="s">
        <v>17</v>
      </c>
      <c r="B5" s="4" t="s">
        <v>19</v>
      </c>
      <c r="C5" s="10">
        <v>3</v>
      </c>
      <c r="L5" s="8"/>
      <c r="M5" s="8">
        <f>C5-(C5/100*12)</f>
        <v>2.64</v>
      </c>
      <c r="N5" s="8"/>
      <c r="O5" s="18">
        <f ca="1">FORECAST(C5, OFFSET(Strength_Normative_Data!$O$3, MATCH(C5, Strength_Normative_Data!$Q$3:$Q$17, -1)-1, 0, 2), OFFSET(Strength_Normative_Data!$Q$3, MATCH(C5, Strength_Normative_Data!$Q$3:$Q$17, -1)-1, 0, 2))</f>
        <v>29.999999999999986</v>
      </c>
      <c r="Q5" s="6" t="s">
        <v>29</v>
      </c>
      <c r="R5" s="6">
        <f ca="1">((O14/100*30)+(O15/100*25)+(O16/100*30)+(O17/100*15))</f>
        <v>30.000000000000007</v>
      </c>
    </row>
    <row r="6" spans="1:20" x14ac:dyDescent="0.3">
      <c r="A6" s="4" t="s">
        <v>17</v>
      </c>
      <c r="B6" s="4" t="s">
        <v>20</v>
      </c>
      <c r="C6" s="10">
        <v>32</v>
      </c>
      <c r="L6" s="8"/>
      <c r="M6" s="8">
        <f>C6-(C6/100*12)</f>
        <v>28.16</v>
      </c>
      <c r="N6" s="8"/>
      <c r="O6" s="18">
        <f ca="1">FORECAST(C6, OFFSET(Strength_Normative_Data!$J$3, MATCH(C6, Strength_Normative_Data!$L$3:$L$16, -1)-1, 0, 2), OFFSET(Strength_Normative_Data!$L$3, MATCH(C6, Strength_Normative_Data!$L$3:$L$16, -1)-1, 0, 2))</f>
        <v>30</v>
      </c>
      <c r="Q6" s="7" t="s">
        <v>4</v>
      </c>
      <c r="R6" s="7">
        <f>((O18/100*60)+(O19/100*40))</f>
        <v>30</v>
      </c>
    </row>
    <row r="7" spans="1:20" x14ac:dyDescent="0.3">
      <c r="A7" s="5" t="s">
        <v>21</v>
      </c>
      <c r="B7" s="5" t="s">
        <v>22</v>
      </c>
      <c r="C7" s="11">
        <v>32</v>
      </c>
      <c r="L7" s="8"/>
      <c r="M7" s="8">
        <f>C7+(C7/100*6)</f>
        <v>33.92</v>
      </c>
      <c r="N7" s="8"/>
      <c r="O7" s="22"/>
    </row>
    <row r="8" spans="1:20" x14ac:dyDescent="0.3">
      <c r="A8" s="5" t="s">
        <v>21</v>
      </c>
      <c r="B8" s="5" t="s">
        <v>23</v>
      </c>
      <c r="C8" s="11">
        <v>0.5</v>
      </c>
      <c r="L8" s="8"/>
      <c r="M8" s="8">
        <f>C8+(C8/100*4)</f>
        <v>0.52</v>
      </c>
      <c r="N8" s="8"/>
      <c r="O8" s="22">
        <f xml:space="preserve">
IF(C8&lt;=0.4,0,
IF(C8&lt;=0.5,20*(C8-0.4)/0.1,
IF(C8&lt;=0.6,20+40*(C8-0.5)/0.1,
60+40*(MIN(C8,0.75)-0.6)/0.15)))</f>
        <v>19.999999999999993</v>
      </c>
    </row>
    <row r="9" spans="1:20" x14ac:dyDescent="0.3">
      <c r="A9" s="5" t="s">
        <v>21</v>
      </c>
      <c r="B9" s="5" t="s">
        <v>24</v>
      </c>
      <c r="C9" s="11">
        <v>5.6</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27.328571428571429</v>
      </c>
      <c r="R11">
        <f xml:space="preserve">
IF(Q11&lt;=10,1.5-0.1*Q11,
IF(Q11&lt;=60,0.5-0.02*(Q11-10),
-0.5-0.03*(Q11-60)))</f>
        <v>0.15342857142857141</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1.2</v>
      </c>
      <c r="L13" s="8"/>
      <c r="M13" s="8">
        <f>C13+(C13/100*18)</f>
        <v>1.4159999999999999</v>
      </c>
      <c r="N13" s="8"/>
      <c r="O13" s="5">
        <f xml:space="preserve">
IF(C13&lt;1,10*(C13/1),
IF(C13&lt;3,10+40*(C13-1)/2,
50+50*(MIN(C13,10)-3)/7))</f>
        <v>14</v>
      </c>
    </row>
    <row r="14" spans="1:20" x14ac:dyDescent="0.3">
      <c r="A14" s="6" t="s">
        <v>29</v>
      </c>
      <c r="B14" s="6" t="s">
        <v>30</v>
      </c>
      <c r="C14" s="12">
        <v>1.34</v>
      </c>
      <c r="L14" s="8"/>
      <c r="M14" s="8">
        <f>C14+(C14/100*6)</f>
        <v>1.4204000000000001</v>
      </c>
      <c r="N14" s="8"/>
      <c r="O14" s="12">
        <v>30</v>
      </c>
    </row>
    <row r="15" spans="1:20" x14ac:dyDescent="0.3">
      <c r="A15" s="6" t="s">
        <v>29</v>
      </c>
      <c r="B15" s="6" t="s">
        <v>31</v>
      </c>
      <c r="C15" s="12">
        <v>6</v>
      </c>
      <c r="L15" s="8"/>
      <c r="M15" s="8">
        <f>C15+(C15/100*10)</f>
        <v>6.6</v>
      </c>
      <c r="N15" s="8"/>
      <c r="O15" s="12">
        <f ca="1">FORECAST(C15, OFFSET(Mobility_Normative_Data!$E$3, MATCH(C15, Mobility_Normative_Data!$G$3:$G$18, 1)-1, 0, 2), OFFSET(Mobility_Normative_Data!$G$3, MATCH(C15, Mobility_Normative_Data!$G$3:$G$18, 1)-1, 0, 2))</f>
        <v>30.000000000000028</v>
      </c>
    </row>
    <row r="16" spans="1:20" x14ac:dyDescent="0.3">
      <c r="A16" s="6" t="s">
        <v>29</v>
      </c>
      <c r="B16" s="6" t="s">
        <v>32</v>
      </c>
      <c r="C16" s="12">
        <v>43</v>
      </c>
      <c r="L16" s="8"/>
      <c r="M16" s="8">
        <f>C16+(C16/100*20)</f>
        <v>51.6</v>
      </c>
      <c r="N16" s="8"/>
      <c r="O16" s="12">
        <f ca="1">FORECAST(C16, OFFSET(Mobility_Normative_Data!$I$3, MATCH(C16, Mobility_Normative_Data!$K$3:$K$17, -1)-1, 0, 2), OFFSET(Mobility_Normative_Data!$K$3, MATCH(C16, Mobility_Normative_Data!$K$3:$K$17, -1)-1, 0, 2))</f>
        <v>30</v>
      </c>
    </row>
    <row r="17" spans="1:27" x14ac:dyDescent="0.3">
      <c r="A17" s="6" t="s">
        <v>29</v>
      </c>
      <c r="B17" s="6" t="s">
        <v>33</v>
      </c>
      <c r="C17" s="12">
        <v>40</v>
      </c>
      <c r="L17" s="8"/>
      <c r="M17" s="8">
        <f>C17+(C17/100*10)</f>
        <v>44</v>
      </c>
      <c r="N17" s="8"/>
      <c r="O17" s="12">
        <f ca="1">FORECAST(C17, OFFSET(Mobility_Normative_Data!$M$3, MATCH(C17, Mobility_Normative_Data!$O$3:$O$17, -1)-1, 0, 2), OFFSET(Mobility_Normative_Data!$O$3, MATCH(C17, Mobility_Normative_Data!$O$3:$O$17, -1)-1, 0, 2))</f>
        <v>30</v>
      </c>
    </row>
    <row r="18" spans="1:27" x14ac:dyDescent="0.3">
      <c r="A18" s="7" t="s">
        <v>34</v>
      </c>
      <c r="B18" s="7" t="s">
        <v>35</v>
      </c>
      <c r="C18" s="13">
        <v>0</v>
      </c>
      <c r="L18" s="8"/>
      <c r="M18" s="8">
        <f>C18 +(-0.2)</f>
        <v>-0.2</v>
      </c>
      <c r="N18" s="8"/>
      <c r="O18" s="20">
        <f>MAX(18,B27-(C18*25))</f>
        <v>30</v>
      </c>
    </row>
    <row r="19" spans="1:27" x14ac:dyDescent="0.3">
      <c r="A19" s="7" t="s">
        <v>34</v>
      </c>
      <c r="B19" s="7" t="s">
        <v>36</v>
      </c>
      <c r="C19" s="13">
        <v>0</v>
      </c>
      <c r="L19" s="8"/>
      <c r="M19" s="8">
        <f>C19+(-0.2)</f>
        <v>-0.2</v>
      </c>
      <c r="N19" s="8"/>
      <c r="O19" s="20">
        <f>MAX(18,B27-(J1925))</f>
        <v>30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30</v>
      </c>
      <c r="C27">
        <f>B27+10</f>
        <v>40</v>
      </c>
      <c r="D27">
        <f>C27+10</f>
        <v>50</v>
      </c>
      <c r="E27">
        <f>D27+10</f>
        <v>60</v>
      </c>
      <c r="F27">
        <f>E27+10</f>
        <v>70</v>
      </c>
    </row>
    <row r="28" spans="1:27" x14ac:dyDescent="0.3">
      <c r="A28" t="s">
        <v>0</v>
      </c>
      <c r="B28" s="24">
        <f>R2</f>
        <v>30.000000000000007</v>
      </c>
      <c r="C28">
        <f>B28+(B28/100*11.5)</f>
        <v>33.45000000000001</v>
      </c>
      <c r="D28">
        <f>C28+(C28/100*32.2)</f>
        <v>44.220900000000015</v>
      </c>
      <c r="E28">
        <f>D28+(D28/100*32.2)</f>
        <v>58.460029800000022</v>
      </c>
      <c r="F28">
        <f>E28+(E28/100*32.2)</f>
        <v>77.284159395600028</v>
      </c>
    </row>
    <row r="29" spans="1:27" x14ac:dyDescent="0.3">
      <c r="A29" t="s">
        <v>1</v>
      </c>
      <c r="B29">
        <f ca="1">R3</f>
        <v>29.999999999999996</v>
      </c>
      <c r="C29">
        <f ca="1">B29+(B29/100*12.3)</f>
        <v>33.69</v>
      </c>
      <c r="D29">
        <f ca="1">C29+(C29/100*30.8)</f>
        <v>44.066519999999997</v>
      </c>
      <c r="E29">
        <f ca="1">D29+(D29/100*30.8)</f>
        <v>57.639008159999996</v>
      </c>
      <c r="F29">
        <f ca="1">E29+(E29/100*30.8)</f>
        <v>75.391822673279989</v>
      </c>
    </row>
    <row r="30" spans="1:27" x14ac:dyDescent="0.3">
      <c r="A30" t="s">
        <v>2</v>
      </c>
      <c r="B30">
        <f>R4</f>
        <v>28.619142857142858</v>
      </c>
      <c r="C30">
        <f>B30+(B30/100*5.5)</f>
        <v>30.193195714285714</v>
      </c>
      <c r="D30">
        <f>C30+(C30/100*11)</f>
        <v>33.514447242857145</v>
      </c>
      <c r="E30">
        <f>D30+(D30/100*11)</f>
        <v>37.201036439571432</v>
      </c>
      <c r="F30">
        <f>E30+(E30/100*11)</f>
        <v>41.29315044792429</v>
      </c>
    </row>
    <row r="31" spans="1:27" x14ac:dyDescent="0.3">
      <c r="A31" t="s">
        <v>3</v>
      </c>
      <c r="B31">
        <f ca="1">R5</f>
        <v>30.000000000000007</v>
      </c>
      <c r="C31">
        <f ca="1">B31+(B31/100*9.9)</f>
        <v>32.970000000000006</v>
      </c>
      <c r="D31">
        <f ca="1">C31+(C31/100*19.8)</f>
        <v>39.498060000000009</v>
      </c>
      <c r="E31">
        <f ca="1">D31+(D31/100*19.8)</f>
        <v>47.318675880000015</v>
      </c>
      <c r="F31">
        <f ca="1">E31+(E31/100*19.8)</f>
        <v>56.687773704240016</v>
      </c>
      <c r="N31" s="46" t="s">
        <v>104</v>
      </c>
      <c r="O31" s="46"/>
      <c r="P31" s="46"/>
      <c r="Q31" s="46"/>
      <c r="R31" s="46"/>
      <c r="S31" s="46"/>
      <c r="T31" s="46"/>
      <c r="U31" s="46"/>
      <c r="V31" s="46"/>
      <c r="W31" s="46"/>
      <c r="X31" s="46"/>
      <c r="Y31" s="46"/>
      <c r="Z31" s="46"/>
      <c r="AA31" s="46"/>
    </row>
    <row r="32" spans="1:27" ht="100.8" x14ac:dyDescent="0.3">
      <c r="A32" t="s">
        <v>4</v>
      </c>
      <c r="B32">
        <f>R6</f>
        <v>30</v>
      </c>
      <c r="C32">
        <f>B32+(B32/100*20)</f>
        <v>36</v>
      </c>
      <c r="D32">
        <f>C32+(C32/100*60)</f>
        <v>57.599999999999994</v>
      </c>
      <c r="E32">
        <f>D32+(D32/100*60)</f>
        <v>92.16</v>
      </c>
      <c r="F32">
        <f>E32+(E32/100*60)</f>
        <v>147.45599999999999</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30</v>
      </c>
      <c r="O33" s="27">
        <f>R2</f>
        <v>30.000000000000007</v>
      </c>
      <c r="P33" s="2"/>
      <c r="Q33" s="2">
        <f>N33</f>
        <v>30</v>
      </c>
      <c r="R33" s="2">
        <f ca="1">R3</f>
        <v>29.999999999999996</v>
      </c>
      <c r="S33" s="2"/>
      <c r="T33" s="2">
        <f>N33</f>
        <v>30</v>
      </c>
      <c r="U33" s="2">
        <f>R4</f>
        <v>28.619142857142858</v>
      </c>
      <c r="V33" s="2"/>
      <c r="W33" s="2">
        <f>N33</f>
        <v>30</v>
      </c>
      <c r="X33" s="2">
        <f ca="1">R5</f>
        <v>30.000000000000007</v>
      </c>
      <c r="Y33" s="2"/>
      <c r="Z33" s="2">
        <f>N33</f>
        <v>30</v>
      </c>
      <c r="AA33">
        <f>R6</f>
        <v>30</v>
      </c>
    </row>
    <row r="34" spans="1:27" x14ac:dyDescent="0.3">
      <c r="N34" s="2">
        <f>N33+1</f>
        <v>31</v>
      </c>
      <c r="O34" s="2">
        <f>O33+(O33*0.0115)</f>
        <v>30.345000000000006</v>
      </c>
      <c r="P34" s="2"/>
      <c r="Q34" s="2">
        <f>Q33+1</f>
        <v>31</v>
      </c>
      <c r="R34" s="2">
        <f ca="1">R33+(R33*0.0123)</f>
        <v>30.368999999999996</v>
      </c>
      <c r="S34" s="2"/>
      <c r="T34" s="2">
        <f>T33+1</f>
        <v>31</v>
      </c>
      <c r="U34" s="2">
        <f t="shared" ref="U34:U43" si="3">U33+(U33*0.0055)</f>
        <v>28.776548142857145</v>
      </c>
      <c r="V34" s="2"/>
      <c r="W34" s="2">
        <f>W33+1</f>
        <v>31</v>
      </c>
      <c r="X34" s="2">
        <f ca="1">X33+(X33*0.0099)</f>
        <v>30.297000000000008</v>
      </c>
      <c r="Y34" s="2"/>
      <c r="Z34" s="2">
        <f>Z33+1</f>
        <v>31</v>
      </c>
      <c r="AA34">
        <f>AA33+(AA33*0.02)</f>
        <v>30.6</v>
      </c>
    </row>
    <row r="35" spans="1:27" x14ac:dyDescent="0.3">
      <c r="N35" s="2">
        <f t="shared" ref="N35:N43" si="4">N34+1</f>
        <v>32</v>
      </c>
      <c r="O35" s="2">
        <f t="shared" ref="O35:O43" si="5">O34+(O34*0.0115)</f>
        <v>30.693967500000007</v>
      </c>
      <c r="P35" s="2"/>
      <c r="Q35" s="2">
        <f t="shared" ref="Q35:Q43" si="6">Q34+1</f>
        <v>32</v>
      </c>
      <c r="R35" s="2">
        <f t="shared" ref="R35:R43" ca="1" si="7">R34+(R34*0.0123)</f>
        <v>30.742538699999997</v>
      </c>
      <c r="S35" s="2"/>
      <c r="T35" s="2">
        <f t="shared" ref="T35:T43" si="8">T34+1</f>
        <v>32</v>
      </c>
      <c r="U35" s="2">
        <f t="shared" si="3"/>
        <v>28.93481915764286</v>
      </c>
      <c r="V35" s="2"/>
      <c r="W35" s="2">
        <f t="shared" ref="W35:W43" si="9">W34+1</f>
        <v>32</v>
      </c>
      <c r="X35" s="2">
        <f t="shared" ref="X35:X43" ca="1" si="10">X34+(X34*0.0099)</f>
        <v>30.596940300000007</v>
      </c>
      <c r="Y35" s="2"/>
      <c r="Z35" s="2">
        <f t="shared" ref="Z35:Z43" si="11">Z34+1</f>
        <v>32</v>
      </c>
      <c r="AA35">
        <f t="shared" ref="AA35:AA43" si="12">AA34+(AA34*0.02)</f>
        <v>31.212</v>
      </c>
    </row>
    <row r="36" spans="1:27" x14ac:dyDescent="0.3">
      <c r="N36" s="2">
        <f t="shared" si="4"/>
        <v>33</v>
      </c>
      <c r="O36" s="2">
        <f t="shared" si="5"/>
        <v>31.046948126250008</v>
      </c>
      <c r="P36" s="2"/>
      <c r="Q36" s="2">
        <f t="shared" si="6"/>
        <v>33</v>
      </c>
      <c r="R36" s="2">
        <f t="shared" ca="1" si="7"/>
        <v>31.120671926009997</v>
      </c>
      <c r="S36" s="2"/>
      <c r="T36" s="2">
        <f t="shared" si="8"/>
        <v>33</v>
      </c>
      <c r="U36" s="2">
        <f t="shared" si="3"/>
        <v>29.093960663009895</v>
      </c>
      <c r="V36" s="2"/>
      <c r="W36" s="2">
        <f t="shared" si="9"/>
        <v>33</v>
      </c>
      <c r="X36" s="2">
        <f t="shared" ca="1" si="10"/>
        <v>30.899850008970006</v>
      </c>
      <c r="Y36" s="2"/>
      <c r="Z36" s="2">
        <f t="shared" si="11"/>
        <v>33</v>
      </c>
      <c r="AA36">
        <f t="shared" si="12"/>
        <v>31.83624</v>
      </c>
    </row>
    <row r="37" spans="1:27" x14ac:dyDescent="0.3">
      <c r="A37" s="1"/>
      <c r="N37" s="2">
        <f t="shared" si="4"/>
        <v>34</v>
      </c>
      <c r="O37" s="2">
        <f t="shared" si="5"/>
        <v>31.403988029701882</v>
      </c>
      <c r="P37" s="2"/>
      <c r="Q37" s="2">
        <f t="shared" si="6"/>
        <v>34</v>
      </c>
      <c r="R37" s="2">
        <f t="shared" ca="1" si="7"/>
        <v>31.503456190699922</v>
      </c>
      <c r="S37" s="2"/>
      <c r="T37" s="2">
        <f t="shared" si="8"/>
        <v>34</v>
      </c>
      <c r="U37" s="2">
        <f t="shared" si="3"/>
        <v>29.25397744665645</v>
      </c>
      <c r="V37" s="2"/>
      <c r="W37" s="2">
        <f t="shared" si="9"/>
        <v>34</v>
      </c>
      <c r="X37" s="2">
        <f t="shared" ca="1" si="10"/>
        <v>31.205758524058808</v>
      </c>
      <c r="Y37" s="2"/>
      <c r="Z37" s="2">
        <f t="shared" si="11"/>
        <v>34</v>
      </c>
      <c r="AA37">
        <f t="shared" si="12"/>
        <v>32.4729648</v>
      </c>
    </row>
    <row r="38" spans="1:27" x14ac:dyDescent="0.3">
      <c r="N38" s="2">
        <f t="shared" si="4"/>
        <v>35</v>
      </c>
      <c r="O38" s="2">
        <f t="shared" si="5"/>
        <v>31.765133892043455</v>
      </c>
      <c r="P38" s="2"/>
      <c r="Q38" s="2">
        <f t="shared" si="6"/>
        <v>35</v>
      </c>
      <c r="R38" s="2">
        <f t="shared" ca="1" si="7"/>
        <v>31.890948701845531</v>
      </c>
      <c r="S38" s="2"/>
      <c r="T38" s="2">
        <f t="shared" si="8"/>
        <v>35</v>
      </c>
      <c r="U38" s="2">
        <f t="shared" si="3"/>
        <v>29.414874322613059</v>
      </c>
      <c r="V38" s="2"/>
      <c r="W38" s="2">
        <f t="shared" si="9"/>
        <v>35</v>
      </c>
      <c r="X38" s="2">
        <f t="shared" ca="1" si="10"/>
        <v>31.514695533446989</v>
      </c>
      <c r="Y38" s="2"/>
      <c r="Z38" s="2">
        <f t="shared" si="11"/>
        <v>35</v>
      </c>
      <c r="AA38">
        <f t="shared" si="12"/>
        <v>33.122424096000003</v>
      </c>
    </row>
    <row r="39" spans="1:27" x14ac:dyDescent="0.3">
      <c r="N39" s="2">
        <f t="shared" si="4"/>
        <v>36</v>
      </c>
      <c r="O39" s="2">
        <f t="shared" si="5"/>
        <v>32.130432931801955</v>
      </c>
      <c r="P39" s="2"/>
      <c r="Q39" s="2">
        <f t="shared" si="6"/>
        <v>36</v>
      </c>
      <c r="R39" s="2">
        <f t="shared" ca="1" si="7"/>
        <v>32.28320737087823</v>
      </c>
      <c r="S39" s="2"/>
      <c r="T39" s="2">
        <f t="shared" si="8"/>
        <v>36</v>
      </c>
      <c r="U39" s="2">
        <f t="shared" si="3"/>
        <v>29.576656131387431</v>
      </c>
      <c r="V39" s="2"/>
      <c r="W39" s="2">
        <f t="shared" si="9"/>
        <v>36</v>
      </c>
      <c r="X39" s="2">
        <f t="shared" ca="1" si="10"/>
        <v>31.826691019228114</v>
      </c>
      <c r="Y39" s="2"/>
      <c r="Z39" s="2">
        <f t="shared" si="11"/>
        <v>36</v>
      </c>
      <c r="AA39">
        <f t="shared" si="12"/>
        <v>33.784872577920005</v>
      </c>
    </row>
    <row r="40" spans="1:27" x14ac:dyDescent="0.3">
      <c r="N40" s="2">
        <f t="shared" si="4"/>
        <v>37</v>
      </c>
      <c r="O40" s="2">
        <f t="shared" si="5"/>
        <v>32.499932910517678</v>
      </c>
      <c r="P40" s="2"/>
      <c r="Q40" s="2">
        <f t="shared" si="6"/>
        <v>37</v>
      </c>
      <c r="R40" s="2">
        <f t="shared" ca="1" si="7"/>
        <v>32.680290821540034</v>
      </c>
      <c r="S40" s="2"/>
      <c r="T40" s="2">
        <f t="shared" si="8"/>
        <v>37</v>
      </c>
      <c r="U40" s="2">
        <f t="shared" si="3"/>
        <v>29.73932774011006</v>
      </c>
      <c r="V40" s="2"/>
      <c r="W40" s="2">
        <f t="shared" si="9"/>
        <v>37</v>
      </c>
      <c r="X40" s="2">
        <f t="shared" ca="1" si="10"/>
        <v>32.141775260318475</v>
      </c>
      <c r="Y40" s="2"/>
      <c r="Z40" s="2">
        <f t="shared" si="11"/>
        <v>37</v>
      </c>
      <c r="AA40">
        <f t="shared" si="12"/>
        <v>34.460570029478404</v>
      </c>
    </row>
    <row r="41" spans="1:27" x14ac:dyDescent="0.3">
      <c r="N41" s="2">
        <f t="shared" si="4"/>
        <v>38</v>
      </c>
      <c r="O41" s="2">
        <f t="shared" si="5"/>
        <v>32.873682138988634</v>
      </c>
      <c r="P41" s="2"/>
      <c r="Q41" s="2">
        <f t="shared" si="6"/>
        <v>38</v>
      </c>
      <c r="R41" s="2">
        <f t="shared" ca="1" si="7"/>
        <v>33.082258398644974</v>
      </c>
      <c r="S41" s="2"/>
      <c r="T41" s="2">
        <f t="shared" si="8"/>
        <v>38</v>
      </c>
      <c r="U41" s="2">
        <f t="shared" si="3"/>
        <v>29.902894042680664</v>
      </c>
      <c r="V41" s="2"/>
      <c r="W41" s="2">
        <f t="shared" si="9"/>
        <v>38</v>
      </c>
      <c r="X41" s="2">
        <f t="shared" ca="1" si="10"/>
        <v>32.459978835395631</v>
      </c>
      <c r="Y41" s="2"/>
      <c r="Z41" s="2">
        <f t="shared" si="11"/>
        <v>38</v>
      </c>
      <c r="AA41">
        <f t="shared" si="12"/>
        <v>35.149781430067975</v>
      </c>
    </row>
    <row r="42" spans="1:27" x14ac:dyDescent="0.3">
      <c r="N42" s="2">
        <f t="shared" si="4"/>
        <v>39</v>
      </c>
      <c r="O42" s="2">
        <f t="shared" si="5"/>
        <v>33.251729483587006</v>
      </c>
      <c r="P42" s="2"/>
      <c r="Q42" s="2">
        <f t="shared" si="6"/>
        <v>39</v>
      </c>
      <c r="R42" s="2">
        <f t="shared" ca="1" si="7"/>
        <v>33.489170176948306</v>
      </c>
      <c r="S42" s="2"/>
      <c r="T42" s="2">
        <f t="shared" si="8"/>
        <v>39</v>
      </c>
      <c r="U42" s="2">
        <f t="shared" si="3"/>
        <v>30.067359959915407</v>
      </c>
      <c r="V42" s="2"/>
      <c r="W42" s="2">
        <f t="shared" si="9"/>
        <v>39</v>
      </c>
      <c r="X42" s="2">
        <f t="shared" ca="1" si="10"/>
        <v>32.78133262586605</v>
      </c>
      <c r="Y42" s="2"/>
      <c r="Z42" s="2">
        <f t="shared" si="11"/>
        <v>39</v>
      </c>
      <c r="AA42">
        <f t="shared" si="12"/>
        <v>35.852777058669332</v>
      </c>
    </row>
    <row r="43" spans="1:27" x14ac:dyDescent="0.3">
      <c r="N43" s="2">
        <f t="shared" si="4"/>
        <v>40</v>
      </c>
      <c r="O43" s="2">
        <f t="shared" si="5"/>
        <v>33.634124372648259</v>
      </c>
      <c r="P43" s="2"/>
      <c r="Q43" s="2">
        <f t="shared" si="6"/>
        <v>40</v>
      </c>
      <c r="R43" s="2">
        <f t="shared" ca="1" si="7"/>
        <v>33.901086970124773</v>
      </c>
      <c r="S43" s="2"/>
      <c r="T43" s="2">
        <f t="shared" si="8"/>
        <v>40</v>
      </c>
      <c r="U43" s="2">
        <f t="shared" si="3"/>
        <v>30.232730439694944</v>
      </c>
      <c r="V43" s="2"/>
      <c r="W43" s="2">
        <f t="shared" si="9"/>
        <v>40</v>
      </c>
      <c r="X43" s="2">
        <f t="shared" ca="1" si="10"/>
        <v>33.105867818862123</v>
      </c>
      <c r="Y43" s="2"/>
      <c r="Z43" s="2">
        <f t="shared" si="11"/>
        <v>40</v>
      </c>
      <c r="AA43">
        <f t="shared" si="12"/>
        <v>36.569832599842719</v>
      </c>
    </row>
  </sheetData>
  <mergeCells count="2">
    <mergeCell ref="A23:F23"/>
    <mergeCell ref="N31:AA3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3B4D9-5A59-4ACF-8CB2-0B84095B8ADB}">
  <dimension ref="A1:AA47"/>
  <sheetViews>
    <sheetView zoomScale="85" zoomScaleNormal="8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43.4</v>
      </c>
      <c r="D2">
        <f t="shared" ref="D2:M2" si="0">C2-(C2/100*D1)</f>
        <v>42.966000000000001</v>
      </c>
      <c r="E2">
        <f t="shared" si="0"/>
        <v>42.106680000000004</v>
      </c>
      <c r="F2">
        <f t="shared" si="0"/>
        <v>40.843479600000002</v>
      </c>
      <c r="G2">
        <f t="shared" si="0"/>
        <v>39.209740416000002</v>
      </c>
      <c r="H2">
        <f t="shared" si="0"/>
        <v>37.2492533952</v>
      </c>
      <c r="I2">
        <f t="shared" si="0"/>
        <v>35.014298191488002</v>
      </c>
      <c r="J2">
        <f t="shared" si="0"/>
        <v>32.563297318083841</v>
      </c>
      <c r="K2">
        <f t="shared" si="0"/>
        <v>29.958233532637134</v>
      </c>
      <c r="L2">
        <f t="shared" si="0"/>
        <v>27.261992514699791</v>
      </c>
      <c r="M2">
        <f t="shared" si="0"/>
        <v>24.535793263229813</v>
      </c>
      <c r="N2" s="8"/>
      <c r="O2" s="21"/>
      <c r="Q2" s="3" t="s">
        <v>0</v>
      </c>
      <c r="R2" s="16">
        <f>B27+ ((1 -((C2 / 43.4) * 0.7 )-((C3 / 100) * 0.3 )) * 100)</f>
        <v>35.000000000000007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35</v>
      </c>
      <c r="T3" s="23" t="s">
        <v>8</v>
      </c>
    </row>
    <row r="4" spans="1:20" ht="18" customHeight="1" x14ac:dyDescent="0.3">
      <c r="A4" s="4" t="s">
        <v>17</v>
      </c>
      <c r="B4" s="4" t="s">
        <v>18</v>
      </c>
      <c r="C4" s="10">
        <v>50</v>
      </c>
      <c r="D4">
        <f>C4-(C4/100*D1)</f>
        <v>49.5</v>
      </c>
      <c r="E4">
        <f t="shared" ref="E4:M4" si="2">D4-(D4/100*E1)</f>
        <v>48.51</v>
      </c>
      <c r="F4">
        <f t="shared" si="2"/>
        <v>47.054699999999997</v>
      </c>
      <c r="G4">
        <f t="shared" si="2"/>
        <v>45.172511999999998</v>
      </c>
      <c r="H4">
        <f t="shared" si="2"/>
        <v>42.913886399999996</v>
      </c>
      <c r="I4">
        <f t="shared" si="2"/>
        <v>40.339053215999996</v>
      </c>
      <c r="J4">
        <f t="shared" si="2"/>
        <v>37.515319490879996</v>
      </c>
      <c r="K4">
        <f t="shared" si="2"/>
        <v>34.514093931609594</v>
      </c>
      <c r="L4">
        <f t="shared" si="2"/>
        <v>31.407825477764732</v>
      </c>
      <c r="M4">
        <f t="shared" si="2"/>
        <v>28.267042929988257</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35</v>
      </c>
      <c r="Q4" s="5" t="s">
        <v>2</v>
      </c>
      <c r="R4" s="5">
        <f>B27 - 9*R11</f>
        <v>33.920406015037592</v>
      </c>
      <c r="T4" s="1">
        <f ca="1">(R2/100*20)+(R3/100*20)+(R4/100*25)+(R5/100*20)+(R6/100*15)</f>
        <v>34.7301015037594</v>
      </c>
    </row>
    <row r="5" spans="1:20" x14ac:dyDescent="0.3">
      <c r="A5" s="4" t="s">
        <v>17</v>
      </c>
      <c r="B5" s="4" t="s">
        <v>19</v>
      </c>
      <c r="C5" s="10">
        <v>3.7</v>
      </c>
      <c r="L5" s="8"/>
      <c r="M5" s="8">
        <f>C5-(C5/100*12)</f>
        <v>3.2560000000000002</v>
      </c>
      <c r="N5" s="8"/>
      <c r="O5" s="18">
        <f ca="1">FORECAST(C5, OFFSET(Strength_Normative_Data!$O$3, MATCH(C5, Strength_Normative_Data!$P$3:$P$17, -1)-1, 0, 2), OFFSET(Strength_Normative_Data!$P$3, MATCH(C5, Strength_Normative_Data!$P$3:$P$17, -1)-1, 0, 2))</f>
        <v>35</v>
      </c>
      <c r="Q5" s="6" t="s">
        <v>29</v>
      </c>
      <c r="R5" s="6">
        <f ca="1">((O14/100*30)+(O15/100*25)+(O16/100*30)+(O17/100*15))</f>
        <v>34.999999999999993</v>
      </c>
    </row>
    <row r="6" spans="1:20" x14ac:dyDescent="0.3">
      <c r="A6" s="4" t="s">
        <v>17</v>
      </c>
      <c r="B6" s="4" t="s">
        <v>20</v>
      </c>
      <c r="C6" s="10">
        <v>46.5</v>
      </c>
      <c r="L6" s="8"/>
      <c r="M6" s="8">
        <f>C6-(C6/100*12)</f>
        <v>40.92</v>
      </c>
      <c r="N6" s="8"/>
      <c r="O6" s="18">
        <f ca="1">FORECAST(C6, OFFSET(Strength_Normative_Data!$J$3, MATCH(C6, Strength_Normative_Data!$K$3:$K$16, -1)-1, 0, 2), OFFSET(Strength_Normative_Data!$K$3, MATCH(C6, Strength_Normative_Data!$K$3:$K$16, -1)-1, 0, 2))</f>
        <v>35</v>
      </c>
      <c r="Q6" s="7" t="s">
        <v>4</v>
      </c>
      <c r="R6" s="7">
        <f>((O18/100*60)+(O19/100*40))</f>
        <v>35</v>
      </c>
    </row>
    <row r="7" spans="1:20" x14ac:dyDescent="0.3">
      <c r="A7" s="5" t="s">
        <v>21</v>
      </c>
      <c r="B7" s="5" t="s">
        <v>22</v>
      </c>
      <c r="C7" s="11">
        <v>26</v>
      </c>
      <c r="L7" s="8"/>
      <c r="M7" s="8">
        <f>C7+(C7/100*6)</f>
        <v>27.56</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5.6</v>
      </c>
      <c r="L9" s="8"/>
      <c r="M9" s="8"/>
      <c r="N9" s="8"/>
      <c r="O9" s="22"/>
    </row>
    <row r="10" spans="1:20" x14ac:dyDescent="0.3">
      <c r="A10" s="5" t="s">
        <v>21</v>
      </c>
      <c r="B10" s="5" t="s">
        <v>25</v>
      </c>
      <c r="C10" s="11">
        <v>5.6</v>
      </c>
      <c r="L10" s="8"/>
      <c r="M10" s="8">
        <f>C10+(C10/100*5)</f>
        <v>5.88</v>
      </c>
      <c r="N10" s="8"/>
      <c r="O10" s="22">
        <f xml:space="preserve">
IF(C10&lt;5.7,10*(C10/5.7),
IF(C10&lt;6.5,10+40*(C10-5.7)/0.8,
50+50*(MIN(C10,9)-6.5)/2.5))</f>
        <v>9.8245614035087705</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29.002255639097751</v>
      </c>
      <c r="R11">
        <f xml:space="preserve">
IF(Q11&lt;=10,1.5-0.1*Q11,
IF(Q11&lt;=60,0.5-0.02*(Q11-10),
-0.5-0.03*(Q11-60)))</f>
        <v>0.11995488721804498</v>
      </c>
    </row>
    <row r="12" spans="1:20" x14ac:dyDescent="0.3">
      <c r="A12" s="5" t="s">
        <v>21</v>
      </c>
      <c r="B12" s="5" t="s">
        <v>27</v>
      </c>
      <c r="C12" s="11">
        <v>0.98</v>
      </c>
      <c r="L12" s="8"/>
      <c r="M12" s="8">
        <f>C12+(C12/100*6)</f>
        <v>1.0387999999999999</v>
      </c>
      <c r="N12" s="8"/>
      <c r="O12" s="5">
        <f>C12*100</f>
        <v>98</v>
      </c>
      <c r="P12" s="5">
        <f xml:space="preserve">
IF(O12&lt;80,5*(O12/80),
IF(O12&lt;100,10+20*(O12-80)/20,
IF(O12&lt;130,30+25*(O12-100)/30,
IF(O12&lt;160,55+25*(O12-130)/30,
IF(O12&lt;200,80+20*(O12-160)/40,100)))))</f>
        <v>28</v>
      </c>
    </row>
    <row r="13" spans="1:20" x14ac:dyDescent="0.3">
      <c r="A13" s="5" t="s">
        <v>21</v>
      </c>
      <c r="B13" s="5" t="s">
        <v>28</v>
      </c>
      <c r="C13" s="11">
        <v>1.6</v>
      </c>
      <c r="L13" s="8"/>
      <c r="M13" s="8">
        <f>C13+(C13/100*18)</f>
        <v>1.8880000000000001</v>
      </c>
      <c r="N13" s="8"/>
      <c r="O13" s="5">
        <f xml:space="preserve">
IF(C13&lt;1,10*(C13/1),
IF(C13&lt;3,10+40*(C13-1)/2,
50+50*(MIN(C13,10)-3)/7))</f>
        <v>22</v>
      </c>
    </row>
    <row r="14" spans="1:20" x14ac:dyDescent="0.3">
      <c r="A14" s="6" t="s">
        <v>29</v>
      </c>
      <c r="B14" s="6" t="s">
        <v>30</v>
      </c>
      <c r="C14" s="12">
        <v>1.43</v>
      </c>
      <c r="L14" s="8"/>
      <c r="M14" s="8">
        <f>C14+(C14/100*6)</f>
        <v>1.5158</v>
      </c>
      <c r="N14" s="8"/>
      <c r="O14" s="12">
        <v>35</v>
      </c>
    </row>
    <row r="15" spans="1:20" x14ac:dyDescent="0.3">
      <c r="A15" s="6" t="s">
        <v>29</v>
      </c>
      <c r="B15" s="6" t="s">
        <v>31</v>
      </c>
      <c r="C15" s="12">
        <v>5.8</v>
      </c>
      <c r="L15" s="8"/>
      <c r="M15" s="8">
        <f>C15+(C15/100*10)</f>
        <v>6.38</v>
      </c>
      <c r="N15" s="8"/>
      <c r="O15" s="12">
        <f ca="1">FORECAST(C15, OFFSET(Mobility_Normative_Data!$E$3, MATCH(C15, Mobility_Normative_Data!$F$3:$F$18, 1)-1, 0, 2), OFFSET(Mobility_Normative_Data!$F$3, MATCH(C15, Mobility_Normative_Data!$F$3:$F$18, 1)-1, 0, 2))</f>
        <v>34.999999999999972</v>
      </c>
    </row>
    <row r="16" spans="1:20" x14ac:dyDescent="0.3">
      <c r="A16" s="6" t="s">
        <v>29</v>
      </c>
      <c r="B16" s="6" t="s">
        <v>32</v>
      </c>
      <c r="C16" s="12">
        <v>41</v>
      </c>
      <c r="L16" s="8"/>
      <c r="M16" s="8">
        <f>C16+(C16/100*20)</f>
        <v>49.2</v>
      </c>
      <c r="N16" s="8"/>
      <c r="O16" s="12">
        <f ca="1">FORECAST(C16, OFFSET(Mobility_Normative_Data!$I$3, MATCH(C16, Mobility_Normative_Data!$J$3:$J$17, -1)-1, 0, 2), OFFSET(Mobility_Normative_Data!$J$3, MATCH(C16, Mobility_Normative_Data!$J$3:$J$17, -1)-1, 0, 2))</f>
        <v>35</v>
      </c>
    </row>
    <row r="17" spans="1:27" x14ac:dyDescent="0.3">
      <c r="A17" s="6" t="s">
        <v>29</v>
      </c>
      <c r="B17" s="6" t="s">
        <v>33</v>
      </c>
      <c r="C17" s="12">
        <v>36</v>
      </c>
      <c r="L17" s="8"/>
      <c r="M17" s="8">
        <f>C17+(C17/100*10)</f>
        <v>39.6</v>
      </c>
      <c r="N17" s="8"/>
      <c r="O17" s="12">
        <f ca="1">FORECAST(C17, OFFSET(Mobility_Normative_Data!$M$3, MATCH(C17, Mobility_Normative_Data!$N$3:$N$17, -1)-1, 0, 2), OFFSET(Mobility_Normative_Data!$N$3, MATCH(C17, Mobility_Normative_Data!$N$3:$N$17, -1)-1, 0, 2))</f>
        <v>35</v>
      </c>
    </row>
    <row r="18" spans="1:27" x14ac:dyDescent="0.3">
      <c r="A18" s="7" t="s">
        <v>34</v>
      </c>
      <c r="B18" s="7" t="s">
        <v>35</v>
      </c>
      <c r="C18" s="13">
        <v>0</v>
      </c>
      <c r="L18" s="8"/>
      <c r="M18" s="8">
        <f>C18 +(-0.2)</f>
        <v>-0.2</v>
      </c>
      <c r="N18" s="8"/>
      <c r="O18" s="20">
        <f>MAX(18,B27-(C18*25))</f>
        <v>35</v>
      </c>
    </row>
    <row r="19" spans="1:27" x14ac:dyDescent="0.3">
      <c r="A19" s="7" t="s">
        <v>34</v>
      </c>
      <c r="B19" s="7" t="s">
        <v>36</v>
      </c>
      <c r="C19" s="13">
        <v>0</v>
      </c>
      <c r="L19" s="8"/>
      <c r="M19" s="8">
        <f>C19+(-0.2)</f>
        <v>-0.2</v>
      </c>
      <c r="N19" s="8"/>
      <c r="O19" s="20">
        <f>MAX(18,B27-(J1925))</f>
        <v>35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35</v>
      </c>
      <c r="C27">
        <f>B27+10</f>
        <v>45</v>
      </c>
      <c r="D27">
        <f>C27+10</f>
        <v>55</v>
      </c>
      <c r="E27">
        <f>D27+10</f>
        <v>65</v>
      </c>
      <c r="F27">
        <f>E27+10</f>
        <v>75</v>
      </c>
    </row>
    <row r="28" spans="1:27" x14ac:dyDescent="0.3">
      <c r="A28" t="s">
        <v>0</v>
      </c>
      <c r="B28" s="24">
        <f>R2</f>
        <v>35.000000000000007</v>
      </c>
      <c r="C28">
        <f>B28+(B28/100*11.5)</f>
        <v>39.025000000000006</v>
      </c>
      <c r="D28">
        <f>C28+(C28/100*32.2)</f>
        <v>51.59105000000001</v>
      </c>
      <c r="E28">
        <f>D28+(D28/100*32.2)</f>
        <v>68.203368100000006</v>
      </c>
      <c r="F28">
        <f>E28+(E28/100*32.2)</f>
        <v>90.164852628200009</v>
      </c>
    </row>
    <row r="29" spans="1:27" x14ac:dyDescent="0.3">
      <c r="A29" t="s">
        <v>1</v>
      </c>
      <c r="B29">
        <f ca="1">R3</f>
        <v>35</v>
      </c>
      <c r="C29">
        <f ca="1">B29+(B29/100*12.3)</f>
        <v>39.305</v>
      </c>
      <c r="D29">
        <f ca="1">C29+(C29/100*30.8)</f>
        <v>51.410939999999997</v>
      </c>
      <c r="E29">
        <f ca="1">D29+(D29/100*30.8)</f>
        <v>67.245509519999999</v>
      </c>
      <c r="F29">
        <f ca="1">E29+(E29/100*30.8)</f>
        <v>87.957126452159997</v>
      </c>
    </row>
    <row r="30" spans="1:27" x14ac:dyDescent="0.3">
      <c r="A30" t="s">
        <v>2</v>
      </c>
      <c r="B30">
        <f>R4</f>
        <v>33.920406015037592</v>
      </c>
      <c r="C30">
        <f>B30+(B30/100*5.5)</f>
        <v>35.786028345864658</v>
      </c>
      <c r="D30">
        <f>C30+(C30/100*11)</f>
        <v>39.722491463909769</v>
      </c>
      <c r="E30">
        <f>D30+(D30/100*11)</f>
        <v>44.091965524939845</v>
      </c>
      <c r="F30">
        <f>E30+(E30/100*11)</f>
        <v>48.942081732683228</v>
      </c>
    </row>
    <row r="31" spans="1:27" x14ac:dyDescent="0.3">
      <c r="A31" t="s">
        <v>3</v>
      </c>
      <c r="B31">
        <f ca="1">R5</f>
        <v>34.999999999999993</v>
      </c>
      <c r="C31">
        <f ca="1">B31+(B31/100*9.9)</f>
        <v>38.464999999999989</v>
      </c>
      <c r="D31">
        <f ca="1">C31+(C31/100*19.8)</f>
        <v>46.08106999999999</v>
      </c>
      <c r="E31">
        <f ca="1">D31+(D31/100*19.8)</f>
        <v>55.205121859999991</v>
      </c>
      <c r="F31">
        <f ca="1">E31+(E31/100*19.8)</f>
        <v>66.13573598827999</v>
      </c>
      <c r="N31" s="46" t="s">
        <v>104</v>
      </c>
      <c r="O31" s="46"/>
      <c r="P31" s="46"/>
      <c r="Q31" s="46"/>
      <c r="R31" s="46"/>
      <c r="S31" s="46"/>
      <c r="T31" s="46"/>
      <c r="U31" s="46"/>
      <c r="V31" s="46"/>
      <c r="W31" s="46"/>
      <c r="X31" s="46"/>
      <c r="Y31" s="46"/>
      <c r="Z31" s="46"/>
      <c r="AA31" s="46"/>
    </row>
    <row r="32" spans="1:27" ht="86.4" x14ac:dyDescent="0.3">
      <c r="A32" t="s">
        <v>4</v>
      </c>
      <c r="B32">
        <f>R6</f>
        <v>35</v>
      </c>
      <c r="C32">
        <f>B32+(B32/100*20)</f>
        <v>42</v>
      </c>
      <c r="D32">
        <f>C32+(C32/100*60)</f>
        <v>67.2</v>
      </c>
      <c r="E32">
        <f>D32+(D32/100*60)</f>
        <v>107.52000000000001</v>
      </c>
      <c r="F32">
        <f>E32+(E32/100*60)</f>
        <v>172.03200000000004</v>
      </c>
      <c r="N32" s="2" t="s">
        <v>103</v>
      </c>
      <c r="O32" s="2" t="s">
        <v>110</v>
      </c>
      <c r="P32" s="2"/>
      <c r="Q32" s="2" t="s">
        <v>103</v>
      </c>
      <c r="R32" s="2" t="s">
        <v>111</v>
      </c>
      <c r="S32" s="2"/>
      <c r="T32" s="2" t="s">
        <v>103</v>
      </c>
      <c r="U32" s="2" t="s">
        <v>112</v>
      </c>
      <c r="V32" s="2"/>
      <c r="W32" s="2" t="s">
        <v>103</v>
      </c>
      <c r="X32" s="2" t="s">
        <v>113</v>
      </c>
      <c r="Y32" s="2"/>
      <c r="Z32" s="2" t="s">
        <v>103</v>
      </c>
      <c r="AA32" s="2" t="s">
        <v>114</v>
      </c>
    </row>
    <row r="33" spans="1:27" x14ac:dyDescent="0.3">
      <c r="N33" s="2">
        <f>B27</f>
        <v>35</v>
      </c>
      <c r="O33" s="27">
        <f>R2</f>
        <v>35.000000000000007</v>
      </c>
      <c r="P33" s="2"/>
      <c r="Q33" s="2">
        <f>N33</f>
        <v>35</v>
      </c>
      <c r="R33" s="2">
        <f ca="1">R3</f>
        <v>35</v>
      </c>
      <c r="S33" s="2"/>
      <c r="T33" s="2">
        <f>N33</f>
        <v>35</v>
      </c>
      <c r="U33" s="2">
        <f>R4</f>
        <v>33.920406015037592</v>
      </c>
      <c r="V33" s="2"/>
      <c r="W33" s="2">
        <f>N33</f>
        <v>35</v>
      </c>
      <c r="X33" s="2">
        <f ca="1">R5</f>
        <v>34.999999999999993</v>
      </c>
      <c r="Y33" s="2"/>
      <c r="Z33" s="2">
        <f>N33</f>
        <v>35</v>
      </c>
      <c r="AA33">
        <f>R6</f>
        <v>35</v>
      </c>
    </row>
    <row r="34" spans="1:27" x14ac:dyDescent="0.3">
      <c r="N34" s="2">
        <f>N33+1</f>
        <v>36</v>
      </c>
      <c r="O34" s="2">
        <f>O33+(O33*0.0115)</f>
        <v>35.402500000000011</v>
      </c>
      <c r="P34" s="2"/>
      <c r="Q34" s="2">
        <f>Q33+1</f>
        <v>36</v>
      </c>
      <c r="R34" s="2">
        <f ca="1">R33+(R33*0.0123)</f>
        <v>35.430500000000002</v>
      </c>
      <c r="S34" s="2"/>
      <c r="T34" s="2">
        <f>T33+1</f>
        <v>36</v>
      </c>
      <c r="U34" s="2">
        <f t="shared" ref="U34:U43" si="3">U33+(U33*0.0055)</f>
        <v>34.106968248120296</v>
      </c>
      <c r="V34" s="2"/>
      <c r="W34" s="2">
        <f>W33+1</f>
        <v>36</v>
      </c>
      <c r="X34" s="2">
        <f ca="1">X33+(X33*0.0099)</f>
        <v>35.346499999999992</v>
      </c>
      <c r="Y34" s="2"/>
      <c r="Z34" s="2">
        <f>Z33+1</f>
        <v>36</v>
      </c>
      <c r="AA34">
        <f>AA33+(AA33*0.02)</f>
        <v>35.700000000000003</v>
      </c>
    </row>
    <row r="35" spans="1:27" x14ac:dyDescent="0.3">
      <c r="N35" s="2">
        <f t="shared" ref="N35:N43" si="4">N34+1</f>
        <v>37</v>
      </c>
      <c r="O35" s="2">
        <f t="shared" ref="O35:O43" si="5">O34+(O34*0.0115)</f>
        <v>35.809628750000009</v>
      </c>
      <c r="P35" s="2"/>
      <c r="Q35" s="2">
        <f t="shared" ref="Q35:Q43" si="6">Q34+1</f>
        <v>37</v>
      </c>
      <c r="R35" s="2">
        <f t="shared" ref="R35:R43" ca="1" si="7">R34+(R34*0.0123)</f>
        <v>35.866295149999999</v>
      </c>
      <c r="S35" s="2"/>
      <c r="T35" s="2">
        <f t="shared" ref="T35:T43" si="8">T34+1</f>
        <v>37</v>
      </c>
      <c r="U35" s="2">
        <f t="shared" si="3"/>
        <v>34.294556573484961</v>
      </c>
      <c r="V35" s="2"/>
      <c r="W35" s="2">
        <f t="shared" ref="W35:W43" si="9">W34+1</f>
        <v>37</v>
      </c>
      <c r="X35" s="2">
        <f t="shared" ref="X35:X43" ca="1" si="10">X34+(X34*0.0099)</f>
        <v>35.696430349999993</v>
      </c>
      <c r="Y35" s="2"/>
      <c r="Z35" s="2">
        <f t="shared" ref="Z35:Z43" si="11">Z34+1</f>
        <v>37</v>
      </c>
      <c r="AA35">
        <f t="shared" ref="AA35:AA43" si="12">AA34+(AA34*0.02)</f>
        <v>36.414000000000001</v>
      </c>
    </row>
    <row r="36" spans="1:27" x14ac:dyDescent="0.3">
      <c r="A36" t="s">
        <v>8</v>
      </c>
      <c r="N36" s="2">
        <f t="shared" si="4"/>
        <v>38</v>
      </c>
      <c r="O36" s="2">
        <f t="shared" si="5"/>
        <v>36.221439480625008</v>
      </c>
      <c r="P36" s="2"/>
      <c r="Q36" s="2">
        <f t="shared" si="6"/>
        <v>38</v>
      </c>
      <c r="R36" s="2">
        <f t="shared" ca="1" si="7"/>
        <v>36.307450580344998</v>
      </c>
      <c r="S36" s="2"/>
      <c r="T36" s="2">
        <f t="shared" si="8"/>
        <v>38</v>
      </c>
      <c r="U36" s="2">
        <f t="shared" si="3"/>
        <v>34.483176634639129</v>
      </c>
      <c r="V36" s="2"/>
      <c r="W36" s="2">
        <f t="shared" si="9"/>
        <v>38</v>
      </c>
      <c r="X36" s="2">
        <f t="shared" ca="1" si="10"/>
        <v>36.049825010464993</v>
      </c>
      <c r="Y36" s="2"/>
      <c r="Z36" s="2">
        <f t="shared" si="11"/>
        <v>38</v>
      </c>
      <c r="AA36">
        <f t="shared" si="12"/>
        <v>37.14228</v>
      </c>
    </row>
    <row r="37" spans="1:27" x14ac:dyDescent="0.3">
      <c r="A37" s="1">
        <f ca="1">(B28/100*20)+(B29/100*20)+(B30/100*25)+(B31/100*20)+(B32/100*15)</f>
        <v>34.7301015037594</v>
      </c>
      <c r="N37" s="2">
        <f t="shared" si="4"/>
        <v>39</v>
      </c>
      <c r="O37" s="2">
        <f t="shared" si="5"/>
        <v>36.637986034652194</v>
      </c>
      <c r="P37" s="2"/>
      <c r="Q37" s="2">
        <f t="shared" si="6"/>
        <v>39</v>
      </c>
      <c r="R37" s="2">
        <f t="shared" ca="1" si="7"/>
        <v>36.754032222483239</v>
      </c>
      <c r="S37" s="2"/>
      <c r="T37" s="2">
        <f t="shared" si="8"/>
        <v>39</v>
      </c>
      <c r="U37" s="2">
        <f t="shared" si="3"/>
        <v>34.672834106129642</v>
      </c>
      <c r="V37" s="2"/>
      <c r="W37" s="2">
        <f t="shared" si="9"/>
        <v>39</v>
      </c>
      <c r="X37" s="2">
        <f t="shared" ca="1" si="10"/>
        <v>36.406718278068595</v>
      </c>
      <c r="Y37" s="2"/>
      <c r="Z37" s="2">
        <f t="shared" si="11"/>
        <v>39</v>
      </c>
      <c r="AA37">
        <f t="shared" si="12"/>
        <v>37.885125600000002</v>
      </c>
    </row>
    <row r="38" spans="1:27" x14ac:dyDescent="0.3">
      <c r="N38" s="2">
        <f t="shared" si="4"/>
        <v>40</v>
      </c>
      <c r="O38" s="2">
        <f t="shared" si="5"/>
        <v>37.059322874050693</v>
      </c>
      <c r="P38" s="2"/>
      <c r="Q38" s="2">
        <f t="shared" si="6"/>
        <v>40</v>
      </c>
      <c r="R38" s="2">
        <f t="shared" ca="1" si="7"/>
        <v>37.206106818819784</v>
      </c>
      <c r="S38" s="2"/>
      <c r="T38" s="2">
        <f t="shared" si="8"/>
        <v>40</v>
      </c>
      <c r="U38" s="2">
        <f t="shared" si="3"/>
        <v>34.863534693713355</v>
      </c>
      <c r="V38" s="2"/>
      <c r="W38" s="2">
        <f t="shared" si="9"/>
        <v>40</v>
      </c>
      <c r="X38" s="2">
        <f t="shared" ca="1" si="10"/>
        <v>36.767144789021472</v>
      </c>
      <c r="Y38" s="2"/>
      <c r="Z38" s="2">
        <f t="shared" si="11"/>
        <v>40</v>
      </c>
      <c r="AA38">
        <f t="shared" si="12"/>
        <v>38.642828112000004</v>
      </c>
    </row>
    <row r="39" spans="1:27" x14ac:dyDescent="0.3">
      <c r="N39" s="2">
        <f t="shared" si="4"/>
        <v>41</v>
      </c>
      <c r="O39" s="2">
        <f t="shared" si="5"/>
        <v>37.485505087102275</v>
      </c>
      <c r="P39" s="2"/>
      <c r="Q39" s="2">
        <f t="shared" si="6"/>
        <v>41</v>
      </c>
      <c r="R39" s="2">
        <f t="shared" ca="1" si="7"/>
        <v>37.663741932691266</v>
      </c>
      <c r="S39" s="2"/>
      <c r="T39" s="2">
        <f t="shared" si="8"/>
        <v>41</v>
      </c>
      <c r="U39" s="2">
        <f t="shared" si="3"/>
        <v>35.055284134528776</v>
      </c>
      <c r="V39" s="2"/>
      <c r="W39" s="2">
        <f t="shared" si="9"/>
        <v>41</v>
      </c>
      <c r="X39" s="2">
        <f t="shared" ca="1" si="10"/>
        <v>37.131139522432782</v>
      </c>
      <c r="Y39" s="2"/>
      <c r="Z39" s="2">
        <f t="shared" si="11"/>
        <v>41</v>
      </c>
      <c r="AA39">
        <f t="shared" si="12"/>
        <v>39.415684674240005</v>
      </c>
    </row>
    <row r="40" spans="1:27" x14ac:dyDescent="0.3">
      <c r="N40" s="2">
        <f t="shared" si="4"/>
        <v>42</v>
      </c>
      <c r="O40" s="2">
        <f t="shared" si="5"/>
        <v>37.916588395603952</v>
      </c>
      <c r="P40" s="2"/>
      <c r="Q40" s="2">
        <f t="shared" si="6"/>
        <v>42</v>
      </c>
      <c r="R40" s="2">
        <f t="shared" ca="1" si="7"/>
        <v>38.127005958463371</v>
      </c>
      <c r="S40" s="2"/>
      <c r="T40" s="2">
        <f t="shared" si="8"/>
        <v>42</v>
      </c>
      <c r="U40" s="2">
        <f t="shared" si="3"/>
        <v>35.248088197268686</v>
      </c>
      <c r="V40" s="2"/>
      <c r="W40" s="2">
        <f t="shared" si="9"/>
        <v>42</v>
      </c>
      <c r="X40" s="2">
        <f t="shared" ca="1" si="10"/>
        <v>37.49873780370487</v>
      </c>
      <c r="Y40" s="2"/>
      <c r="Z40" s="2">
        <f t="shared" si="11"/>
        <v>42</v>
      </c>
      <c r="AA40">
        <f t="shared" si="12"/>
        <v>40.203998367724807</v>
      </c>
    </row>
    <row r="41" spans="1:27" x14ac:dyDescent="0.3">
      <c r="N41" s="2">
        <f t="shared" si="4"/>
        <v>43</v>
      </c>
      <c r="O41" s="2">
        <f t="shared" si="5"/>
        <v>38.352629162153399</v>
      </c>
      <c r="P41" s="2"/>
      <c r="Q41" s="2">
        <f t="shared" si="6"/>
        <v>43</v>
      </c>
      <c r="R41" s="2">
        <f t="shared" ca="1" si="7"/>
        <v>38.595968131752471</v>
      </c>
      <c r="S41" s="2"/>
      <c r="T41" s="2">
        <f t="shared" si="8"/>
        <v>43</v>
      </c>
      <c r="U41" s="2">
        <f t="shared" si="3"/>
        <v>35.441952682353666</v>
      </c>
      <c r="V41" s="2"/>
      <c r="W41" s="2">
        <f t="shared" si="9"/>
        <v>43</v>
      </c>
      <c r="X41" s="2">
        <f t="shared" ca="1" si="10"/>
        <v>37.869975307961546</v>
      </c>
      <c r="Y41" s="2"/>
      <c r="Z41" s="2">
        <f t="shared" si="11"/>
        <v>43</v>
      </c>
      <c r="AA41">
        <f t="shared" si="12"/>
        <v>41.008078335079304</v>
      </c>
    </row>
    <row r="42" spans="1:27" x14ac:dyDescent="0.3">
      <c r="B42" t="s">
        <v>12</v>
      </c>
      <c r="C42" t="s">
        <v>0</v>
      </c>
      <c r="D42" t="s">
        <v>12</v>
      </c>
      <c r="E42" t="s">
        <v>1</v>
      </c>
      <c r="F42" t="s">
        <v>12</v>
      </c>
      <c r="G42" t="s">
        <v>2</v>
      </c>
      <c r="H42" t="s">
        <v>12</v>
      </c>
      <c r="I42" t="s">
        <v>3</v>
      </c>
      <c r="J42" t="s">
        <v>12</v>
      </c>
      <c r="K42" t="s">
        <v>4</v>
      </c>
      <c r="N42" s="2">
        <f t="shared" si="4"/>
        <v>44</v>
      </c>
      <c r="O42" s="2">
        <f t="shared" si="5"/>
        <v>38.793684397518163</v>
      </c>
      <c r="P42" s="2"/>
      <c r="Q42" s="2">
        <f t="shared" si="6"/>
        <v>44</v>
      </c>
      <c r="R42" s="2">
        <f t="shared" ca="1" si="7"/>
        <v>39.070698539773026</v>
      </c>
      <c r="S42" s="2"/>
      <c r="T42" s="2">
        <f t="shared" si="8"/>
        <v>44</v>
      </c>
      <c r="U42" s="2">
        <f t="shared" si="3"/>
        <v>35.636883422106614</v>
      </c>
      <c r="V42" s="2"/>
      <c r="W42" s="2">
        <f t="shared" si="9"/>
        <v>44</v>
      </c>
      <c r="X42" s="2">
        <f t="shared" ca="1" si="10"/>
        <v>38.244888063510366</v>
      </c>
      <c r="Y42" s="2"/>
      <c r="Z42" s="2">
        <f t="shared" si="11"/>
        <v>44</v>
      </c>
      <c r="AA42">
        <f t="shared" si="12"/>
        <v>41.82823990178089</v>
      </c>
    </row>
    <row r="43" spans="1:27" x14ac:dyDescent="0.3">
      <c r="B43">
        <f>B27</f>
        <v>35</v>
      </c>
      <c r="C43">
        <f>B28</f>
        <v>35.000000000000007</v>
      </c>
      <c r="D43">
        <f>B43</f>
        <v>35</v>
      </c>
      <c r="E43">
        <f ca="1">B29</f>
        <v>35</v>
      </c>
      <c r="F43">
        <f>B27</f>
        <v>35</v>
      </c>
      <c r="G43">
        <f>B30</f>
        <v>33.920406015037592</v>
      </c>
      <c r="H43">
        <f>B27</f>
        <v>35</v>
      </c>
      <c r="I43">
        <f ca="1">B31</f>
        <v>34.999999999999993</v>
      </c>
      <c r="J43">
        <f>B27</f>
        <v>35</v>
      </c>
      <c r="K43">
        <f>B32</f>
        <v>35</v>
      </c>
      <c r="N43" s="2">
        <f t="shared" si="4"/>
        <v>45</v>
      </c>
      <c r="O43" s="2">
        <f t="shared" si="5"/>
        <v>39.239811768089623</v>
      </c>
      <c r="P43" s="2"/>
      <c r="Q43" s="2">
        <f t="shared" si="6"/>
        <v>45</v>
      </c>
      <c r="R43" s="2">
        <f t="shared" ca="1" si="7"/>
        <v>39.551268131812236</v>
      </c>
      <c r="S43" s="2"/>
      <c r="T43" s="2">
        <f t="shared" si="8"/>
        <v>45</v>
      </c>
      <c r="U43" s="2">
        <f t="shared" si="3"/>
        <v>35.8328862809282</v>
      </c>
      <c r="V43" s="2"/>
      <c r="W43" s="2">
        <f t="shared" si="9"/>
        <v>45</v>
      </c>
      <c r="X43" s="2">
        <f t="shared" ca="1" si="10"/>
        <v>38.623512455339117</v>
      </c>
      <c r="Y43" s="2"/>
      <c r="Z43" s="2">
        <f t="shared" si="11"/>
        <v>45</v>
      </c>
      <c r="AA43">
        <f t="shared" si="12"/>
        <v>42.664804699816507</v>
      </c>
    </row>
    <row r="44" spans="1:27" x14ac:dyDescent="0.3">
      <c r="B44">
        <f>C27</f>
        <v>45</v>
      </c>
      <c r="C44">
        <f>C28</f>
        <v>39.025000000000006</v>
      </c>
      <c r="D44">
        <f>B44</f>
        <v>45</v>
      </c>
      <c r="E44">
        <f ca="1">C29</f>
        <v>39.305</v>
      </c>
      <c r="F44">
        <f>C27</f>
        <v>45</v>
      </c>
      <c r="G44">
        <f>C30</f>
        <v>35.786028345864658</v>
      </c>
      <c r="H44">
        <f>C27</f>
        <v>45</v>
      </c>
      <c r="I44">
        <f ca="1">C31</f>
        <v>38.464999999999989</v>
      </c>
      <c r="J44">
        <f>C27</f>
        <v>45</v>
      </c>
      <c r="K44">
        <f>C32</f>
        <v>42</v>
      </c>
    </row>
    <row r="45" spans="1:27" x14ac:dyDescent="0.3">
      <c r="B45">
        <f>D27</f>
        <v>55</v>
      </c>
      <c r="C45">
        <f>D28</f>
        <v>51.59105000000001</v>
      </c>
      <c r="D45">
        <f>D27</f>
        <v>55</v>
      </c>
      <c r="E45">
        <f ca="1">D29</f>
        <v>51.410939999999997</v>
      </c>
      <c r="F45">
        <f>D27</f>
        <v>55</v>
      </c>
      <c r="G45">
        <f>D30</f>
        <v>39.722491463909769</v>
      </c>
      <c r="H45">
        <f>D27</f>
        <v>55</v>
      </c>
      <c r="I45">
        <f ca="1">D31</f>
        <v>46.08106999999999</v>
      </c>
      <c r="J45">
        <f>D27</f>
        <v>55</v>
      </c>
      <c r="K45">
        <f>D32</f>
        <v>67.2</v>
      </c>
    </row>
    <row r="46" spans="1:27" x14ac:dyDescent="0.3">
      <c r="B46">
        <f>E27</f>
        <v>65</v>
      </c>
      <c r="C46">
        <f>E28</f>
        <v>68.203368100000006</v>
      </c>
      <c r="D46">
        <f>E27</f>
        <v>65</v>
      </c>
      <c r="E46">
        <f ca="1">E29</f>
        <v>67.245509519999999</v>
      </c>
      <c r="F46">
        <f>E27</f>
        <v>65</v>
      </c>
      <c r="G46">
        <f>E30</f>
        <v>44.091965524939845</v>
      </c>
      <c r="H46">
        <f>E27</f>
        <v>65</v>
      </c>
      <c r="I46">
        <f ca="1">E31</f>
        <v>55.205121859999991</v>
      </c>
      <c r="J46">
        <f>E27</f>
        <v>65</v>
      </c>
      <c r="K46">
        <f>E32</f>
        <v>107.52000000000001</v>
      </c>
    </row>
    <row r="47" spans="1:27" x14ac:dyDescent="0.3">
      <c r="B47">
        <f>F27</f>
        <v>75</v>
      </c>
      <c r="C47">
        <f>F28</f>
        <v>90.164852628200009</v>
      </c>
      <c r="D47">
        <f>F27</f>
        <v>75</v>
      </c>
      <c r="E47">
        <f ca="1">F29</f>
        <v>87.957126452159997</v>
      </c>
      <c r="F47">
        <f>F27</f>
        <v>75</v>
      </c>
      <c r="G47">
        <f ca="1">F31</f>
        <v>66.13573598827999</v>
      </c>
      <c r="H47">
        <f>F27</f>
        <v>75</v>
      </c>
      <c r="I47">
        <f ca="1">F31</f>
        <v>66.13573598827999</v>
      </c>
      <c r="J47">
        <f>F27</f>
        <v>75</v>
      </c>
      <c r="K47">
        <f>F32</f>
        <v>172.03200000000004</v>
      </c>
    </row>
  </sheetData>
  <mergeCells count="2">
    <mergeCell ref="A23:F23"/>
    <mergeCell ref="N31:AA3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5260-FBB2-4562-B7FC-03560566D90B}">
  <dimension ref="A1:AA43"/>
  <sheetViews>
    <sheetView topLeftCell="D1"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34.700000000000003</v>
      </c>
      <c r="D2">
        <f t="shared" ref="D2:M2" si="0">C2-(C2/100*D1)</f>
        <v>34.353000000000002</v>
      </c>
      <c r="E2">
        <f t="shared" si="0"/>
        <v>33.665939999999999</v>
      </c>
      <c r="F2">
        <f t="shared" si="0"/>
        <v>32.6559618</v>
      </c>
      <c r="G2">
        <f t="shared" si="0"/>
        <v>31.349723328</v>
      </c>
      <c r="H2">
        <f t="shared" si="0"/>
        <v>29.782237161600001</v>
      </c>
      <c r="I2">
        <f t="shared" si="0"/>
        <v>27.995302931904</v>
      </c>
      <c r="J2">
        <f t="shared" si="0"/>
        <v>26.035631726670719</v>
      </c>
      <c r="K2">
        <f t="shared" si="0"/>
        <v>23.95278118853706</v>
      </c>
      <c r="L2">
        <f t="shared" si="0"/>
        <v>21.797030881568723</v>
      </c>
      <c r="M2">
        <f t="shared" si="0"/>
        <v>19.61732779341185</v>
      </c>
      <c r="N2" s="8"/>
      <c r="O2" s="21"/>
      <c r="Q2" s="3" t="s">
        <v>0</v>
      </c>
      <c r="R2" s="16">
        <f>B27+ ((1 -((C2 / 34.7) * 0.7 )-((C3 / 100) * 0.3 )) * 100)</f>
        <v>35.000000000000007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35</v>
      </c>
      <c r="T3" s="23" t="s">
        <v>8</v>
      </c>
    </row>
    <row r="4" spans="1:20" ht="18" customHeight="1" x14ac:dyDescent="0.3">
      <c r="A4" s="4" t="s">
        <v>17</v>
      </c>
      <c r="B4" s="4" t="s">
        <v>18</v>
      </c>
      <c r="C4" s="10">
        <v>31</v>
      </c>
      <c r="D4">
        <f>C4-(C4/100*D1)</f>
        <v>30.69</v>
      </c>
      <c r="E4">
        <f t="shared" ref="E4:M4" si="2">D4-(D4/100*E1)</f>
        <v>30.0762</v>
      </c>
      <c r="F4">
        <f t="shared" si="2"/>
        <v>29.173914</v>
      </c>
      <c r="G4">
        <f t="shared" si="2"/>
        <v>28.006957440000001</v>
      </c>
      <c r="H4">
        <f t="shared" si="2"/>
        <v>26.606609568</v>
      </c>
      <c r="I4">
        <f t="shared" si="2"/>
        <v>25.01021299392</v>
      </c>
      <c r="J4">
        <f t="shared" si="2"/>
        <v>23.259498084345601</v>
      </c>
      <c r="K4">
        <f t="shared" si="2"/>
        <v>21.398738237597954</v>
      </c>
      <c r="L4">
        <f t="shared" si="2"/>
        <v>19.472851796214137</v>
      </c>
      <c r="M4">
        <f t="shared" si="2"/>
        <v>17.525566616592723</v>
      </c>
      <c r="N4" s="8"/>
      <c r="O4" s="18">
        <v>35</v>
      </c>
      <c r="Q4" s="5" t="s">
        <v>2</v>
      </c>
      <c r="R4" s="5">
        <f>B27 - 9*R11</f>
        <v>33.871142857142857</v>
      </c>
      <c r="T4" s="1">
        <f ca="1">(R2/100*20)+(R3/100*20)+(R4/100*25)+(R5/100*20)+(R6/100*15)</f>
        <v>34.717785714285718</v>
      </c>
    </row>
    <row r="5" spans="1:20" x14ac:dyDescent="0.3">
      <c r="A5" s="4" t="s">
        <v>17</v>
      </c>
      <c r="B5" s="4" t="s">
        <v>19</v>
      </c>
      <c r="C5" s="10">
        <v>2.85</v>
      </c>
      <c r="L5" s="8"/>
      <c r="M5" s="8">
        <f>C5-(C5/100*12)</f>
        <v>2.508</v>
      </c>
      <c r="N5" s="8"/>
      <c r="O5" s="18">
        <f ca="1">FORECAST(C5, OFFSET(Strength_Normative_Data!$O$3, MATCH(C5, Strength_Normative_Data!$Q$3:$Q$17, -1)-1, 0, 2), OFFSET(Strength_Normative_Data!$Q$3, MATCH(C5, Strength_Normative_Data!$Q$3:$Q$17, -1)-1, 0, 2))</f>
        <v>34.999999999999986</v>
      </c>
      <c r="Q5" s="6" t="s">
        <v>29</v>
      </c>
      <c r="R5" s="6">
        <f ca="1">((O14/100*30)+(O15/100*25)+(O16/100*30)+(O17/100*15))</f>
        <v>35</v>
      </c>
    </row>
    <row r="6" spans="1:20" x14ac:dyDescent="0.3">
      <c r="A6" s="4" t="s">
        <v>17</v>
      </c>
      <c r="B6" s="4" t="s">
        <v>20</v>
      </c>
      <c r="C6" s="10">
        <v>30</v>
      </c>
      <c r="L6" s="8"/>
      <c r="M6" s="8">
        <f>C6-(C6/100*12)</f>
        <v>26.4</v>
      </c>
      <c r="N6" s="8"/>
      <c r="O6" s="18">
        <f ca="1">FORECAST(C6, OFFSET(Strength_Normative_Data!$J$3, MATCH(C6, Strength_Normative_Data!$L$3:$L$16, -1)-1, 0, 2), OFFSET(Strength_Normative_Data!$L$3, MATCH(C6, Strength_Normative_Data!$L$3:$L$16, -1)-1, 0, 2))</f>
        <v>35</v>
      </c>
      <c r="Q6" s="7" t="s">
        <v>4</v>
      </c>
      <c r="R6" s="7">
        <f>((O18/100*60)+(O19/100*40))</f>
        <v>35</v>
      </c>
    </row>
    <row r="7" spans="1:20" x14ac:dyDescent="0.3">
      <c r="A7" s="5" t="s">
        <v>21</v>
      </c>
      <c r="B7" s="5" t="s">
        <v>22</v>
      </c>
      <c r="C7" s="11">
        <v>32</v>
      </c>
      <c r="L7" s="8"/>
      <c r="M7" s="8">
        <f>C7+(C7/100*6)</f>
        <v>33.92</v>
      </c>
      <c r="N7" s="8"/>
      <c r="O7" s="22"/>
    </row>
    <row r="8" spans="1:20" x14ac:dyDescent="0.3">
      <c r="A8" s="5" t="s">
        <v>21</v>
      </c>
      <c r="B8" s="5" t="s">
        <v>23</v>
      </c>
      <c r="C8" s="11">
        <v>0.51</v>
      </c>
      <c r="L8" s="8"/>
      <c r="M8" s="8">
        <f>C8+(C8/100*4)</f>
        <v>0.53039999999999998</v>
      </c>
      <c r="N8" s="8"/>
      <c r="O8" s="22">
        <f xml:space="preserve">
IF(C8&lt;=0.4,0,
IF(C8&lt;=0.5,20*(C8-0.4)/0.1,
IF(C8&lt;=0.6,20+40*(C8-0.5)/0.1,
60+40*(MIN(C8,0.75)-0.6)/0.15)))</f>
        <v>24.000000000000004</v>
      </c>
    </row>
    <row r="9" spans="1:20" x14ac:dyDescent="0.3">
      <c r="A9" s="5" t="s">
        <v>21</v>
      </c>
      <c r="B9" s="5" t="s">
        <v>24</v>
      </c>
      <c r="C9" s="11">
        <v>5.6</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28.728571428571435</v>
      </c>
      <c r="R11">
        <f xml:space="preserve">
IF(Q11&lt;=10,1.5-0.1*Q11,
IF(Q11&lt;=60,0.5-0.02*(Q11-10),
-0.5-0.03*(Q11-60)))</f>
        <v>0.12542857142857128</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1.5</v>
      </c>
      <c r="L13" s="8"/>
      <c r="M13" s="8">
        <f>C13+(C13/100*18)</f>
        <v>1.77</v>
      </c>
      <c r="N13" s="8"/>
      <c r="O13" s="5">
        <f xml:space="preserve">
IF(C13&lt;1,10*(C13/1),
IF(C13&lt;3,10+40*(C13-1)/2,
50+50*(MIN(C13,10)-3)/7))</f>
        <v>20</v>
      </c>
    </row>
    <row r="14" spans="1:20" x14ac:dyDescent="0.3">
      <c r="A14" s="6" t="s">
        <v>29</v>
      </c>
      <c r="B14" s="6" t="s">
        <v>30</v>
      </c>
      <c r="C14" s="12">
        <v>1.34</v>
      </c>
      <c r="L14" s="8"/>
      <c r="M14" s="8">
        <f>C14+(C14/100*6)</f>
        <v>1.4204000000000001</v>
      </c>
      <c r="N14" s="8"/>
      <c r="O14" s="12">
        <v>35</v>
      </c>
    </row>
    <row r="15" spans="1:20" x14ac:dyDescent="0.3">
      <c r="A15" s="6" t="s">
        <v>29</v>
      </c>
      <c r="B15" s="6" t="s">
        <v>31</v>
      </c>
      <c r="C15" s="12">
        <v>6.2</v>
      </c>
      <c r="L15" s="8"/>
      <c r="M15" s="8">
        <f>C15+(C15/100*10)</f>
        <v>6.82</v>
      </c>
      <c r="N15" s="8"/>
      <c r="O15" s="12">
        <f ca="1">FORECAST(C15, OFFSET(Mobility_Normative_Data!$E$3, MATCH(C15, Mobility_Normative_Data!$G$3:$G$18, 1)-1, 0, 2), OFFSET(Mobility_Normative_Data!$G$3, MATCH(C15, Mobility_Normative_Data!$G$3:$G$18, 1)-1, 0, 2))</f>
        <v>35.000000000000014</v>
      </c>
    </row>
    <row r="16" spans="1:20" x14ac:dyDescent="0.3">
      <c r="A16" s="6" t="s">
        <v>29</v>
      </c>
      <c r="B16" s="6" t="s">
        <v>32</v>
      </c>
      <c r="C16" s="12">
        <v>41</v>
      </c>
      <c r="L16" s="8"/>
      <c r="M16" s="8">
        <f>C16+(C16/100*20)</f>
        <v>49.2</v>
      </c>
      <c r="N16" s="8"/>
      <c r="O16" s="12">
        <f ca="1">FORECAST(C16, OFFSET(Mobility_Normative_Data!$I$3, MATCH(C16, Mobility_Normative_Data!$K$3:$K$17, -1)-1, 0, 2), OFFSET(Mobility_Normative_Data!$K$3, MATCH(C16, Mobility_Normative_Data!$K$3:$K$17, -1)-1, 0, 2))</f>
        <v>35</v>
      </c>
    </row>
    <row r="17" spans="1:27" x14ac:dyDescent="0.3">
      <c r="A17" s="6" t="s">
        <v>29</v>
      </c>
      <c r="B17" s="6" t="s">
        <v>33</v>
      </c>
      <c r="C17" s="12">
        <v>38</v>
      </c>
      <c r="L17" s="8"/>
      <c r="M17" s="8">
        <f>C17+(C17/100*10)</f>
        <v>41.8</v>
      </c>
      <c r="N17" s="8"/>
      <c r="O17" s="12">
        <f ca="1">FORECAST(C17, OFFSET(Mobility_Normative_Data!$M$3, MATCH(C17, Mobility_Normative_Data!$O$3:$O$17, -1)-1, 0, 2), OFFSET(Mobility_Normative_Data!$O$3, MATCH(C17, Mobility_Normative_Data!$O$3:$O$17, -1)-1, 0, 2))</f>
        <v>35</v>
      </c>
    </row>
    <row r="18" spans="1:27" x14ac:dyDescent="0.3">
      <c r="A18" s="7" t="s">
        <v>34</v>
      </c>
      <c r="B18" s="7" t="s">
        <v>35</v>
      </c>
      <c r="C18" s="13">
        <v>0</v>
      </c>
      <c r="L18" s="8"/>
      <c r="M18" s="8">
        <f>C18 +(-0.2)</f>
        <v>-0.2</v>
      </c>
      <c r="N18" s="8"/>
      <c r="O18" s="20">
        <f>MAX(18,B27-(C18*25))</f>
        <v>35</v>
      </c>
    </row>
    <row r="19" spans="1:27" x14ac:dyDescent="0.3">
      <c r="A19" s="7" t="s">
        <v>34</v>
      </c>
      <c r="B19" s="7" t="s">
        <v>36</v>
      </c>
      <c r="C19" s="13">
        <v>0</v>
      </c>
      <c r="L19" s="8"/>
      <c r="M19" s="8">
        <f>C19+(-0.2)</f>
        <v>-0.2</v>
      </c>
      <c r="N19" s="8"/>
      <c r="O19" s="20">
        <f>MAX(18,B27-(J1925))</f>
        <v>35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35</v>
      </c>
      <c r="C27">
        <f>B27+10</f>
        <v>45</v>
      </c>
      <c r="D27">
        <f>C27+10</f>
        <v>55</v>
      </c>
      <c r="E27">
        <f>D27+10</f>
        <v>65</v>
      </c>
      <c r="F27">
        <f>E27+10</f>
        <v>75</v>
      </c>
    </row>
    <row r="28" spans="1:27" x14ac:dyDescent="0.3">
      <c r="A28" t="s">
        <v>0</v>
      </c>
      <c r="B28" s="24">
        <f>R2</f>
        <v>35.000000000000007</v>
      </c>
      <c r="C28">
        <f>B28+(B28/100*11.5)</f>
        <v>39.025000000000006</v>
      </c>
      <c r="D28">
        <f>C28+(C28/100*32.2)</f>
        <v>51.59105000000001</v>
      </c>
      <c r="E28">
        <f>D28+(D28/100*32.2)</f>
        <v>68.203368100000006</v>
      </c>
      <c r="F28">
        <f>E28+(E28/100*32.2)</f>
        <v>90.164852628200009</v>
      </c>
    </row>
    <row r="29" spans="1:27" x14ac:dyDescent="0.3">
      <c r="A29" t="s">
        <v>1</v>
      </c>
      <c r="B29">
        <f ca="1">R3</f>
        <v>35</v>
      </c>
      <c r="C29">
        <f ca="1">B29+(B29/100*12.3)</f>
        <v>39.305</v>
      </c>
      <c r="D29">
        <f ca="1">C29+(C29/100*30.8)</f>
        <v>51.410939999999997</v>
      </c>
      <c r="E29">
        <f ca="1">D29+(D29/100*30.8)</f>
        <v>67.245509519999999</v>
      </c>
      <c r="F29">
        <f ca="1">E29+(E29/100*30.8)</f>
        <v>87.957126452159997</v>
      </c>
    </row>
    <row r="30" spans="1:27" x14ac:dyDescent="0.3">
      <c r="A30" t="s">
        <v>2</v>
      </c>
      <c r="B30">
        <f>R4</f>
        <v>33.871142857142857</v>
      </c>
      <c r="C30">
        <f>B30+(B30/100*5.5)</f>
        <v>35.734055714285716</v>
      </c>
      <c r="D30">
        <f>C30+(C30/100*11)</f>
        <v>39.664801842857145</v>
      </c>
      <c r="E30">
        <f>D30+(D30/100*11)</f>
        <v>44.027930045571431</v>
      </c>
      <c r="F30">
        <f>E30+(E30/100*11)</f>
        <v>48.871002350584291</v>
      </c>
    </row>
    <row r="31" spans="1:27" x14ac:dyDescent="0.3">
      <c r="A31" t="s">
        <v>3</v>
      </c>
      <c r="B31">
        <f ca="1">R5</f>
        <v>35</v>
      </c>
      <c r="C31">
        <f ca="1">B31+(B31/100*9.9)</f>
        <v>38.465000000000003</v>
      </c>
      <c r="D31">
        <f ca="1">C31+(C31/100*19.8)</f>
        <v>46.081070000000004</v>
      </c>
      <c r="E31">
        <f ca="1">D31+(D31/100*19.8)</f>
        <v>55.205121860000006</v>
      </c>
      <c r="F31">
        <f ca="1">E31+(E31/100*19.8)</f>
        <v>66.135735988280004</v>
      </c>
      <c r="N31" s="46" t="s">
        <v>104</v>
      </c>
      <c r="O31" s="46"/>
      <c r="P31" s="46"/>
      <c r="Q31" s="46"/>
      <c r="R31" s="46"/>
      <c r="S31" s="46"/>
      <c r="T31" s="46"/>
      <c r="U31" s="46"/>
      <c r="V31" s="46"/>
      <c r="W31" s="46"/>
      <c r="X31" s="46"/>
      <c r="Y31" s="46"/>
      <c r="Z31" s="46"/>
      <c r="AA31" s="46"/>
    </row>
    <row r="32" spans="1:27" ht="100.8" x14ac:dyDescent="0.3">
      <c r="A32" t="s">
        <v>4</v>
      </c>
      <c r="B32">
        <f>R6</f>
        <v>35</v>
      </c>
      <c r="C32">
        <f>B32+(B32/100*20)</f>
        <v>42</v>
      </c>
      <c r="D32">
        <f>C32+(C32/100*60)</f>
        <v>67.2</v>
      </c>
      <c r="E32">
        <f>D32+(D32/100*60)</f>
        <v>107.52000000000001</v>
      </c>
      <c r="F32">
        <f>E32+(E32/100*60)</f>
        <v>172.03200000000004</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35</v>
      </c>
      <c r="O33" s="27">
        <f>R2</f>
        <v>35.000000000000007</v>
      </c>
      <c r="P33" s="2"/>
      <c r="Q33" s="2">
        <f>N33</f>
        <v>35</v>
      </c>
      <c r="R33" s="2">
        <f ca="1">R3</f>
        <v>35</v>
      </c>
      <c r="S33" s="2"/>
      <c r="T33" s="2">
        <f>N33</f>
        <v>35</v>
      </c>
      <c r="U33" s="2">
        <f>R4</f>
        <v>33.871142857142857</v>
      </c>
      <c r="V33" s="2"/>
      <c r="W33" s="2">
        <f>N33</f>
        <v>35</v>
      </c>
      <c r="X33" s="2">
        <f ca="1">R5</f>
        <v>35</v>
      </c>
      <c r="Y33" s="2"/>
      <c r="Z33" s="2">
        <f>N33</f>
        <v>35</v>
      </c>
      <c r="AA33">
        <f>R6</f>
        <v>35</v>
      </c>
    </row>
    <row r="34" spans="1:27" x14ac:dyDescent="0.3">
      <c r="N34" s="2">
        <f>N33+1</f>
        <v>36</v>
      </c>
      <c r="O34" s="2">
        <f>O33+(O33*0.0115)</f>
        <v>35.402500000000011</v>
      </c>
      <c r="P34" s="2"/>
      <c r="Q34" s="2">
        <f>Q33+1</f>
        <v>36</v>
      </c>
      <c r="R34" s="2">
        <f ca="1">R33+(R33*0.0123)</f>
        <v>35.430500000000002</v>
      </c>
      <c r="S34" s="2"/>
      <c r="T34" s="2">
        <f>T33+1</f>
        <v>36</v>
      </c>
      <c r="U34" s="2">
        <f t="shared" ref="U34:U43" si="3">U33+(U33*0.0055)</f>
        <v>34.05743414285714</v>
      </c>
      <c r="V34" s="2"/>
      <c r="W34" s="2">
        <f>W33+1</f>
        <v>36</v>
      </c>
      <c r="X34" s="2">
        <f ca="1">X33+(X33*0.0099)</f>
        <v>35.346499999999999</v>
      </c>
      <c r="Y34" s="2"/>
      <c r="Z34" s="2">
        <f>Z33+1</f>
        <v>36</v>
      </c>
      <c r="AA34">
        <f>AA33+(AA33*0.02)</f>
        <v>35.700000000000003</v>
      </c>
    </row>
    <row r="35" spans="1:27" x14ac:dyDescent="0.3">
      <c r="N35" s="2">
        <f t="shared" ref="N35:N43" si="4">N34+1</f>
        <v>37</v>
      </c>
      <c r="O35" s="2">
        <f t="shared" ref="O35:O43" si="5">O34+(O34*0.0115)</f>
        <v>35.809628750000009</v>
      </c>
      <c r="P35" s="2"/>
      <c r="Q35" s="2">
        <f t="shared" ref="Q35:Q43" si="6">Q34+1</f>
        <v>37</v>
      </c>
      <c r="R35" s="2">
        <f t="shared" ref="R35:R43" ca="1" si="7">R34+(R34*0.0123)</f>
        <v>35.866295149999999</v>
      </c>
      <c r="S35" s="2"/>
      <c r="T35" s="2">
        <f t="shared" ref="T35:T43" si="8">T34+1</f>
        <v>37</v>
      </c>
      <c r="U35" s="2">
        <f t="shared" si="3"/>
        <v>34.244750030642855</v>
      </c>
      <c r="V35" s="2"/>
      <c r="W35" s="2">
        <f t="shared" ref="W35:W43" si="9">W34+1</f>
        <v>37</v>
      </c>
      <c r="X35" s="2">
        <f t="shared" ref="X35:X43" ca="1" si="10">X34+(X34*0.0099)</f>
        <v>35.69643035</v>
      </c>
      <c r="Y35" s="2"/>
      <c r="Z35" s="2">
        <f t="shared" ref="Z35:Z43" si="11">Z34+1</f>
        <v>37</v>
      </c>
      <c r="AA35">
        <f t="shared" ref="AA35:AA43" si="12">AA34+(AA34*0.02)</f>
        <v>36.414000000000001</v>
      </c>
    </row>
    <row r="36" spans="1:27" x14ac:dyDescent="0.3">
      <c r="N36" s="2">
        <f t="shared" si="4"/>
        <v>38</v>
      </c>
      <c r="O36" s="2">
        <f t="shared" si="5"/>
        <v>36.221439480625008</v>
      </c>
      <c r="P36" s="2"/>
      <c r="Q36" s="2">
        <f t="shared" si="6"/>
        <v>38</v>
      </c>
      <c r="R36" s="2">
        <f t="shared" ca="1" si="7"/>
        <v>36.307450580344998</v>
      </c>
      <c r="S36" s="2"/>
      <c r="T36" s="2">
        <f t="shared" si="8"/>
        <v>38</v>
      </c>
      <c r="U36" s="2">
        <f t="shared" si="3"/>
        <v>34.433096155811391</v>
      </c>
      <c r="V36" s="2"/>
      <c r="W36" s="2">
        <f t="shared" si="9"/>
        <v>38</v>
      </c>
      <c r="X36" s="2">
        <f t="shared" ca="1" si="10"/>
        <v>36.049825010465</v>
      </c>
      <c r="Y36" s="2"/>
      <c r="Z36" s="2">
        <f t="shared" si="11"/>
        <v>38</v>
      </c>
      <c r="AA36">
        <f t="shared" si="12"/>
        <v>37.14228</v>
      </c>
    </row>
    <row r="37" spans="1:27" x14ac:dyDescent="0.3">
      <c r="A37" s="1"/>
      <c r="N37" s="2">
        <f t="shared" si="4"/>
        <v>39</v>
      </c>
      <c r="O37" s="2">
        <f t="shared" si="5"/>
        <v>36.637986034652194</v>
      </c>
      <c r="P37" s="2"/>
      <c r="Q37" s="2">
        <f t="shared" si="6"/>
        <v>39</v>
      </c>
      <c r="R37" s="2">
        <f t="shared" ca="1" si="7"/>
        <v>36.754032222483239</v>
      </c>
      <c r="S37" s="2"/>
      <c r="T37" s="2">
        <f t="shared" si="8"/>
        <v>39</v>
      </c>
      <c r="U37" s="2">
        <f t="shared" si="3"/>
        <v>34.622478184668353</v>
      </c>
      <c r="V37" s="2"/>
      <c r="W37" s="2">
        <f t="shared" si="9"/>
        <v>39</v>
      </c>
      <c r="X37" s="2">
        <f t="shared" ca="1" si="10"/>
        <v>36.406718278068603</v>
      </c>
      <c r="Y37" s="2"/>
      <c r="Z37" s="2">
        <f t="shared" si="11"/>
        <v>39</v>
      </c>
      <c r="AA37">
        <f t="shared" si="12"/>
        <v>37.885125600000002</v>
      </c>
    </row>
    <row r="38" spans="1:27" x14ac:dyDescent="0.3">
      <c r="N38" s="2">
        <f t="shared" si="4"/>
        <v>40</v>
      </c>
      <c r="O38" s="2">
        <f t="shared" si="5"/>
        <v>37.059322874050693</v>
      </c>
      <c r="P38" s="2"/>
      <c r="Q38" s="2">
        <f t="shared" si="6"/>
        <v>40</v>
      </c>
      <c r="R38" s="2">
        <f t="shared" ca="1" si="7"/>
        <v>37.206106818819784</v>
      </c>
      <c r="S38" s="2"/>
      <c r="T38" s="2">
        <f t="shared" si="8"/>
        <v>40</v>
      </c>
      <c r="U38" s="2">
        <f t="shared" si="3"/>
        <v>34.812901814684025</v>
      </c>
      <c r="V38" s="2"/>
      <c r="W38" s="2">
        <f t="shared" si="9"/>
        <v>40</v>
      </c>
      <c r="X38" s="2">
        <f t="shared" ca="1" si="10"/>
        <v>36.767144789021479</v>
      </c>
      <c r="Y38" s="2"/>
      <c r="Z38" s="2">
        <f t="shared" si="11"/>
        <v>40</v>
      </c>
      <c r="AA38">
        <f t="shared" si="12"/>
        <v>38.642828112000004</v>
      </c>
    </row>
    <row r="39" spans="1:27" x14ac:dyDescent="0.3">
      <c r="N39" s="2">
        <f t="shared" si="4"/>
        <v>41</v>
      </c>
      <c r="O39" s="2">
        <f t="shared" si="5"/>
        <v>37.485505087102275</v>
      </c>
      <c r="P39" s="2"/>
      <c r="Q39" s="2">
        <f t="shared" si="6"/>
        <v>41</v>
      </c>
      <c r="R39" s="2">
        <f t="shared" ca="1" si="7"/>
        <v>37.663741932691266</v>
      </c>
      <c r="S39" s="2"/>
      <c r="T39" s="2">
        <f t="shared" si="8"/>
        <v>41</v>
      </c>
      <c r="U39" s="2">
        <f t="shared" si="3"/>
        <v>35.004372774664787</v>
      </c>
      <c r="V39" s="2"/>
      <c r="W39" s="2">
        <f t="shared" si="9"/>
        <v>41</v>
      </c>
      <c r="X39" s="2">
        <f t="shared" ca="1" si="10"/>
        <v>37.13113952243279</v>
      </c>
      <c r="Y39" s="2"/>
      <c r="Z39" s="2">
        <f t="shared" si="11"/>
        <v>41</v>
      </c>
      <c r="AA39">
        <f t="shared" si="12"/>
        <v>39.415684674240005</v>
      </c>
    </row>
    <row r="40" spans="1:27" x14ac:dyDescent="0.3">
      <c r="N40" s="2">
        <f t="shared" si="4"/>
        <v>42</v>
      </c>
      <c r="O40" s="2">
        <f t="shared" si="5"/>
        <v>37.916588395603952</v>
      </c>
      <c r="P40" s="2"/>
      <c r="Q40" s="2">
        <f t="shared" si="6"/>
        <v>42</v>
      </c>
      <c r="R40" s="2">
        <f t="shared" ca="1" si="7"/>
        <v>38.127005958463371</v>
      </c>
      <c r="S40" s="2"/>
      <c r="T40" s="2">
        <f t="shared" si="8"/>
        <v>42</v>
      </c>
      <c r="U40" s="2">
        <f t="shared" si="3"/>
        <v>35.196896824925446</v>
      </c>
      <c r="V40" s="2"/>
      <c r="W40" s="2">
        <f t="shared" si="9"/>
        <v>42</v>
      </c>
      <c r="X40" s="2">
        <f t="shared" ca="1" si="10"/>
        <v>37.498737803704877</v>
      </c>
      <c r="Y40" s="2"/>
      <c r="Z40" s="2">
        <f t="shared" si="11"/>
        <v>42</v>
      </c>
      <c r="AA40">
        <f t="shared" si="12"/>
        <v>40.203998367724807</v>
      </c>
    </row>
    <row r="41" spans="1:27" x14ac:dyDescent="0.3">
      <c r="N41" s="2">
        <f t="shared" si="4"/>
        <v>43</v>
      </c>
      <c r="O41" s="2">
        <f t="shared" si="5"/>
        <v>38.352629162153399</v>
      </c>
      <c r="P41" s="2"/>
      <c r="Q41" s="2">
        <f t="shared" si="6"/>
        <v>43</v>
      </c>
      <c r="R41" s="2">
        <f t="shared" ca="1" si="7"/>
        <v>38.595968131752471</v>
      </c>
      <c r="S41" s="2"/>
      <c r="T41" s="2">
        <f t="shared" si="8"/>
        <v>43</v>
      </c>
      <c r="U41" s="2">
        <f t="shared" si="3"/>
        <v>35.390479757462536</v>
      </c>
      <c r="V41" s="2"/>
      <c r="W41" s="2">
        <f t="shared" si="9"/>
        <v>43</v>
      </c>
      <c r="X41" s="2">
        <f t="shared" ca="1" si="10"/>
        <v>37.869975307961553</v>
      </c>
      <c r="Y41" s="2"/>
      <c r="Z41" s="2">
        <f t="shared" si="11"/>
        <v>43</v>
      </c>
      <c r="AA41">
        <f t="shared" si="12"/>
        <v>41.008078335079304</v>
      </c>
    </row>
    <row r="42" spans="1:27" x14ac:dyDescent="0.3">
      <c r="N42" s="2">
        <f t="shared" si="4"/>
        <v>44</v>
      </c>
      <c r="O42" s="2">
        <f t="shared" si="5"/>
        <v>38.793684397518163</v>
      </c>
      <c r="P42" s="2"/>
      <c r="Q42" s="2">
        <f t="shared" si="6"/>
        <v>44</v>
      </c>
      <c r="R42" s="2">
        <f t="shared" ca="1" si="7"/>
        <v>39.070698539773026</v>
      </c>
      <c r="S42" s="2"/>
      <c r="T42" s="2">
        <f t="shared" si="8"/>
        <v>44</v>
      </c>
      <c r="U42" s="2">
        <f t="shared" si="3"/>
        <v>35.585127396128577</v>
      </c>
      <c r="V42" s="2"/>
      <c r="W42" s="2">
        <f t="shared" si="9"/>
        <v>44</v>
      </c>
      <c r="X42" s="2">
        <f t="shared" ca="1" si="10"/>
        <v>38.244888063510373</v>
      </c>
      <c r="Y42" s="2"/>
      <c r="Z42" s="2">
        <f t="shared" si="11"/>
        <v>44</v>
      </c>
      <c r="AA42">
        <f t="shared" si="12"/>
        <v>41.82823990178089</v>
      </c>
    </row>
    <row r="43" spans="1:27" x14ac:dyDescent="0.3">
      <c r="N43" s="2">
        <f t="shared" si="4"/>
        <v>45</v>
      </c>
      <c r="O43" s="2">
        <f t="shared" si="5"/>
        <v>39.239811768089623</v>
      </c>
      <c r="P43" s="2"/>
      <c r="Q43" s="2">
        <f t="shared" si="6"/>
        <v>45</v>
      </c>
      <c r="R43" s="2">
        <f t="shared" ca="1" si="7"/>
        <v>39.551268131812236</v>
      </c>
      <c r="S43" s="2"/>
      <c r="T43" s="2">
        <f t="shared" si="8"/>
        <v>45</v>
      </c>
      <c r="U43" s="2">
        <f t="shared" si="3"/>
        <v>35.780845596807282</v>
      </c>
      <c r="V43" s="2"/>
      <c r="W43" s="2">
        <f t="shared" si="9"/>
        <v>45</v>
      </c>
      <c r="X43" s="2">
        <f t="shared" ca="1" si="10"/>
        <v>38.623512455339124</v>
      </c>
      <c r="Y43" s="2"/>
      <c r="Z43" s="2">
        <f t="shared" si="11"/>
        <v>45</v>
      </c>
      <c r="AA43">
        <f t="shared" si="12"/>
        <v>42.664804699816507</v>
      </c>
    </row>
  </sheetData>
  <mergeCells count="2">
    <mergeCell ref="A23:F23"/>
    <mergeCell ref="N31:AA3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655A-6B9D-407F-8CC9-418F920D0DA4}">
  <dimension ref="A1:AA47"/>
  <sheetViews>
    <sheetView topLeftCell="F12" zoomScale="85" zoomScaleNormal="8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39.5</v>
      </c>
      <c r="D2">
        <f t="shared" ref="D2:M2" si="0">C2-(C2/100*D1)</f>
        <v>39.104999999999997</v>
      </c>
      <c r="E2">
        <f t="shared" si="0"/>
        <v>38.322899999999997</v>
      </c>
      <c r="F2">
        <f t="shared" si="0"/>
        <v>37.173212999999997</v>
      </c>
      <c r="G2">
        <f t="shared" si="0"/>
        <v>35.686284479999998</v>
      </c>
      <c r="H2">
        <f t="shared" si="0"/>
        <v>33.901970255999998</v>
      </c>
      <c r="I2">
        <f t="shared" si="0"/>
        <v>31.867852040639999</v>
      </c>
      <c r="J2">
        <f t="shared" si="0"/>
        <v>29.6371023977952</v>
      </c>
      <c r="K2">
        <f t="shared" si="0"/>
        <v>27.266134205971582</v>
      </c>
      <c r="L2">
        <f t="shared" si="0"/>
        <v>24.812182127434141</v>
      </c>
      <c r="M2">
        <f t="shared" si="0"/>
        <v>22.330963914690727</v>
      </c>
      <c r="N2" s="8"/>
      <c r="O2" s="21"/>
      <c r="Q2" s="3" t="s">
        <v>0</v>
      </c>
      <c r="R2" s="16">
        <f>B27+ ((1 -((C2 / 39.5) * 0.7 )-((C3 / 100) * 0.3 )) * 100)</f>
        <v>40.000000000000007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40</v>
      </c>
      <c r="T3" s="23" t="s">
        <v>8</v>
      </c>
    </row>
    <row r="4" spans="1:20" ht="18" customHeight="1" x14ac:dyDescent="0.3">
      <c r="A4" s="4" t="s">
        <v>17</v>
      </c>
      <c r="B4" s="4" t="s">
        <v>18</v>
      </c>
      <c r="C4" s="10">
        <v>49</v>
      </c>
      <c r="D4">
        <f>C4-(C4/100*D1)</f>
        <v>48.51</v>
      </c>
      <c r="E4">
        <f t="shared" ref="E4:M4" si="2">D4-(D4/100*E1)</f>
        <v>47.5398</v>
      </c>
      <c r="F4">
        <f t="shared" si="2"/>
        <v>46.113605999999997</v>
      </c>
      <c r="G4">
        <f t="shared" si="2"/>
        <v>44.26906176</v>
      </c>
      <c r="H4">
        <f t="shared" si="2"/>
        <v>42.055608671999998</v>
      </c>
      <c r="I4">
        <f t="shared" si="2"/>
        <v>39.532272151679997</v>
      </c>
      <c r="J4">
        <f t="shared" si="2"/>
        <v>36.765013101062394</v>
      </c>
      <c r="K4">
        <f t="shared" si="2"/>
        <v>33.823812052977402</v>
      </c>
      <c r="L4">
        <f t="shared" si="2"/>
        <v>30.779668968209435</v>
      </c>
      <c r="M4">
        <f t="shared" si="2"/>
        <v>27.701702071388492</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40</v>
      </c>
      <c r="Q4" s="5" t="s">
        <v>2</v>
      </c>
      <c r="R4" s="5">
        <f>B27 - 9*R11</f>
        <v>41.157142857142858</v>
      </c>
      <c r="T4" s="1">
        <f ca="1">(R2/100*20)+(R3/100*20)+(R4/100*25)+(R5/100*20)+(R6/100*15)</f>
        <v>40.289285714285711</v>
      </c>
    </row>
    <row r="5" spans="1:20" x14ac:dyDescent="0.3">
      <c r="A5" s="4" t="s">
        <v>17</v>
      </c>
      <c r="B5" s="4" t="s">
        <v>19</v>
      </c>
      <c r="C5" s="10">
        <v>3.5</v>
      </c>
      <c r="L5" s="8"/>
      <c r="M5" s="8">
        <f>C5-(C5/100*12)</f>
        <v>3.08</v>
      </c>
      <c r="N5" s="8"/>
      <c r="O5" s="18">
        <f ca="1">FORECAST(C5, OFFSET(Strength_Normative_Data!$O$3, MATCH(C5, Strength_Normative_Data!$P$3:$P$17, -1)-1, 0, 2), OFFSET(Strength_Normative_Data!$P$3, MATCH(C5, Strength_Normative_Data!$P$3:$P$17, -1)-1, 0, 2))</f>
        <v>40</v>
      </c>
      <c r="Q5" s="6" t="s">
        <v>29</v>
      </c>
      <c r="R5" s="6">
        <f ca="1">((O14/100*30)+(O15/100*25)+(O16/100*30)+(O17/100*15))</f>
        <v>40</v>
      </c>
    </row>
    <row r="6" spans="1:20" x14ac:dyDescent="0.3">
      <c r="A6" s="4" t="s">
        <v>17</v>
      </c>
      <c r="B6" s="4" t="s">
        <v>20</v>
      </c>
      <c r="C6" s="10">
        <v>44</v>
      </c>
      <c r="L6" s="8"/>
      <c r="M6" s="8">
        <f>C6-(C6/100*12)</f>
        <v>38.72</v>
      </c>
      <c r="N6" s="8"/>
      <c r="O6" s="18">
        <f ca="1">FORECAST(C6, OFFSET(Strength_Normative_Data!$J$3, MATCH(C6, Strength_Normative_Data!$K$3:$K$16, -1)-1, 0, 2), OFFSET(Strength_Normative_Data!$K$3, MATCH(C6, Strength_Normative_Data!$K$3:$K$16, -1)-1, 0, 2))</f>
        <v>40</v>
      </c>
      <c r="Q6" s="7" t="s">
        <v>4</v>
      </c>
      <c r="R6" s="7">
        <f>((O18/100*60)+(O19/100*40))</f>
        <v>40</v>
      </c>
    </row>
    <row r="7" spans="1:20" x14ac:dyDescent="0.3">
      <c r="A7" s="5" t="s">
        <v>21</v>
      </c>
      <c r="B7" s="5" t="s">
        <v>22</v>
      </c>
      <c r="C7" s="11">
        <v>22</v>
      </c>
      <c r="L7" s="8"/>
      <c r="M7" s="8">
        <f>C7+(C7/100*6)</f>
        <v>23.32</v>
      </c>
      <c r="N7" s="8"/>
      <c r="O7" s="22"/>
    </row>
    <row r="8" spans="1:20" x14ac:dyDescent="0.3">
      <c r="A8" s="5" t="s">
        <v>21</v>
      </c>
      <c r="B8" s="5" t="s">
        <v>23</v>
      </c>
      <c r="C8" s="11">
        <v>0.6</v>
      </c>
      <c r="L8" s="8"/>
      <c r="M8" s="8">
        <f>C8+(C8/100*4)</f>
        <v>0.624</v>
      </c>
      <c r="N8" s="8"/>
      <c r="O8" s="22">
        <f xml:space="preserve">
IF(C8&lt;=0.4,0,
IF(C8&lt;=0.5,20*(C8-0.4)/0.1,
IF(C8&lt;=0.6,20+40*(C8-0.5)/0.1,
60+40*(MIN(C8,0.75)-0.6)/0.15)))</f>
        <v>59.999999999999986</v>
      </c>
    </row>
    <row r="9" spans="1:20" x14ac:dyDescent="0.3">
      <c r="A9" s="5" t="s">
        <v>21</v>
      </c>
      <c r="B9" s="5" t="s">
        <v>24</v>
      </c>
      <c r="C9" s="11">
        <v>5.6</v>
      </c>
      <c r="L9" s="8"/>
      <c r="M9" s="8"/>
      <c r="N9" s="8"/>
      <c r="O9" s="22"/>
    </row>
    <row r="10" spans="1:20" x14ac:dyDescent="0.3">
      <c r="A10" s="5" t="s">
        <v>21</v>
      </c>
      <c r="B10" s="5" t="s">
        <v>25</v>
      </c>
      <c r="C10" s="11">
        <v>5.9</v>
      </c>
      <c r="L10" s="8"/>
      <c r="M10" s="8">
        <f>C10+(C10/100*5)</f>
        <v>6.1950000000000003</v>
      </c>
      <c r="N10" s="8"/>
      <c r="O10" s="22">
        <f xml:space="preserve">
IF(C10&lt;5.7,10*(C10/5.7),
IF(C10&lt;6.5,10+40*(C10-5.7)/0.8,
50+50*(MIN(C10,9)-6.5)/2.5))</f>
        <v>20.000000000000007</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41.428571428571431</v>
      </c>
      <c r="R11">
        <f xml:space="preserve">
IF(Q11&lt;=10,1.5-0.1*Q11,
IF(Q11&lt;=60,0.5-0.02*(Q11-10),
-0.5-0.03*(Q11-60)))</f>
        <v>-0.12857142857142867</v>
      </c>
    </row>
    <row r="12" spans="1:20" x14ac:dyDescent="0.3">
      <c r="A12" s="5" t="s">
        <v>21</v>
      </c>
      <c r="B12" s="5" t="s">
        <v>27</v>
      </c>
      <c r="C12" s="11">
        <v>1.3</v>
      </c>
      <c r="L12" s="8"/>
      <c r="M12" s="8">
        <f>C12+(C12/100*6)</f>
        <v>1.3780000000000001</v>
      </c>
      <c r="N12" s="8"/>
      <c r="O12" s="5">
        <f>C12*100</f>
        <v>130</v>
      </c>
      <c r="P12" s="5">
        <f xml:space="preserve">
IF(O12&lt;80,5*(O12/80),
IF(O12&lt;100,10+20*(O12-80)/20,
IF(O12&lt;130,30+25*(O12-100)/30,
IF(O12&lt;160,55+25*(O12-130)/30,
IF(O12&lt;200,80+20*(O12-160)/40,100)))))</f>
        <v>55</v>
      </c>
    </row>
    <row r="13" spans="1:20" x14ac:dyDescent="0.3">
      <c r="A13" s="5" t="s">
        <v>21</v>
      </c>
      <c r="B13" s="5" t="s">
        <v>28</v>
      </c>
      <c r="C13" s="11">
        <v>1</v>
      </c>
      <c r="L13" s="8"/>
      <c r="M13" s="8">
        <f>C13+(C13/100*18)</f>
        <v>1.18</v>
      </c>
      <c r="N13" s="8"/>
      <c r="O13" s="5">
        <f xml:space="preserve">
IF(C13&lt;1,10*(C13/1),
IF(C13&lt;3,10+40*(C13-1)/2,
50+50*(MIN(C13,10)-3)/7))</f>
        <v>10</v>
      </c>
    </row>
    <row r="14" spans="1:20" x14ac:dyDescent="0.3">
      <c r="A14" s="6" t="s">
        <v>29</v>
      </c>
      <c r="B14" s="6" t="s">
        <v>30</v>
      </c>
      <c r="C14" s="12">
        <v>1.43</v>
      </c>
      <c r="L14" s="8"/>
      <c r="M14" s="8">
        <f>C14+(C14/100*6)</f>
        <v>1.5158</v>
      </c>
      <c r="N14" s="8"/>
      <c r="O14" s="12">
        <v>40</v>
      </c>
    </row>
    <row r="15" spans="1:20" x14ac:dyDescent="0.3">
      <c r="A15" s="6" t="s">
        <v>29</v>
      </c>
      <c r="B15" s="6" t="s">
        <v>31</v>
      </c>
      <c r="C15" s="12">
        <v>6</v>
      </c>
      <c r="L15" s="8"/>
      <c r="M15" s="8">
        <f>C15+(C15/100*10)</f>
        <v>6.6</v>
      </c>
      <c r="N15" s="8"/>
      <c r="O15" s="12">
        <f ca="1">FORECAST(C15, OFFSET(Mobility_Normative_Data!$E$3, MATCH(C15, Mobility_Normative_Data!$F$3:$F$18, 1)-1, 0, 2), OFFSET(Mobility_Normative_Data!$F$3, MATCH(C15, Mobility_Normative_Data!$F$3:$F$18, 1)-1, 0, 2))</f>
        <v>40</v>
      </c>
    </row>
    <row r="16" spans="1:20" x14ac:dyDescent="0.3">
      <c r="A16" s="6" t="s">
        <v>29</v>
      </c>
      <c r="B16" s="6" t="s">
        <v>32</v>
      </c>
      <c r="C16" s="12">
        <v>39</v>
      </c>
      <c r="L16" s="8"/>
      <c r="M16" s="8">
        <f>C16+(C16/100*20)</f>
        <v>46.8</v>
      </c>
      <c r="N16" s="8"/>
      <c r="O16" s="12">
        <f ca="1">FORECAST(C16, OFFSET(Mobility_Normative_Data!$I$3, MATCH(C16, Mobility_Normative_Data!$J$3:$J$17, -1)-1, 0, 2), OFFSET(Mobility_Normative_Data!$J$3, MATCH(C16, Mobility_Normative_Data!$J$3:$J$17, -1)-1, 0, 2))</f>
        <v>40</v>
      </c>
    </row>
    <row r="17" spans="1:27" x14ac:dyDescent="0.3">
      <c r="A17" s="6" t="s">
        <v>29</v>
      </c>
      <c r="B17" s="6" t="s">
        <v>33</v>
      </c>
      <c r="C17" s="12">
        <v>34</v>
      </c>
      <c r="L17" s="8"/>
      <c r="M17" s="8">
        <f>C17+(C17/100*10)</f>
        <v>37.4</v>
      </c>
      <c r="N17" s="8"/>
      <c r="O17" s="12">
        <f ca="1">FORECAST(C17, OFFSET(Mobility_Normative_Data!$M$3, MATCH(C17, Mobility_Normative_Data!$N$3:$N$17, -1)-1, 0, 2), OFFSET(Mobility_Normative_Data!$N$3, MATCH(C17, Mobility_Normative_Data!$N$3:$N$17, -1)-1, 0, 2))</f>
        <v>40</v>
      </c>
    </row>
    <row r="18" spans="1:27" x14ac:dyDescent="0.3">
      <c r="A18" s="7" t="s">
        <v>34</v>
      </c>
      <c r="B18" s="7" t="s">
        <v>35</v>
      </c>
      <c r="C18" s="13">
        <v>0</v>
      </c>
      <c r="L18" s="8"/>
      <c r="M18" s="8">
        <f>C18 +(-0.2)</f>
        <v>-0.2</v>
      </c>
      <c r="N18" s="8"/>
      <c r="O18" s="20">
        <f>MAX(18,B27-(C18*25))</f>
        <v>40</v>
      </c>
    </row>
    <row r="19" spans="1:27" x14ac:dyDescent="0.3">
      <c r="A19" s="7" t="s">
        <v>34</v>
      </c>
      <c r="B19" s="7" t="s">
        <v>36</v>
      </c>
      <c r="C19" s="13">
        <v>0</v>
      </c>
      <c r="L19" s="8"/>
      <c r="M19" s="8">
        <f>C19+(-0.2)</f>
        <v>-0.2</v>
      </c>
      <c r="N19" s="8"/>
      <c r="O19" s="20">
        <f>MAX(18,B27-(J1925))</f>
        <v>40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40</v>
      </c>
      <c r="C27">
        <f>B27+10</f>
        <v>50</v>
      </c>
      <c r="D27">
        <f>C27+10</f>
        <v>60</v>
      </c>
      <c r="E27">
        <f>D27+10</f>
        <v>70</v>
      </c>
      <c r="F27">
        <f>E27+10</f>
        <v>80</v>
      </c>
    </row>
    <row r="28" spans="1:27" x14ac:dyDescent="0.3">
      <c r="A28" t="s">
        <v>0</v>
      </c>
      <c r="B28" s="24">
        <f>R2</f>
        <v>40.000000000000007</v>
      </c>
      <c r="C28">
        <f>B28+(B28/100*11.5)</f>
        <v>44.600000000000009</v>
      </c>
      <c r="D28">
        <f>C28+(C28/100*32.2)</f>
        <v>58.961200000000012</v>
      </c>
      <c r="E28">
        <f>D28+(D28/100*32.2)</f>
        <v>77.946706400000011</v>
      </c>
      <c r="F28">
        <f>E28+(E28/100*32.2)</f>
        <v>103.04554586080002</v>
      </c>
    </row>
    <row r="29" spans="1:27" x14ac:dyDescent="0.3">
      <c r="A29" t="s">
        <v>1</v>
      </c>
      <c r="B29">
        <f ca="1">R3</f>
        <v>40</v>
      </c>
      <c r="C29">
        <f ca="1">B29+(B29/100*12.3)</f>
        <v>44.92</v>
      </c>
      <c r="D29">
        <f ca="1">C29+(C29/100*30.8)</f>
        <v>58.755360000000003</v>
      </c>
      <c r="E29">
        <f ca="1">D29+(D29/100*30.8)</f>
        <v>76.852010880000009</v>
      </c>
      <c r="F29">
        <f ca="1">E29+(E29/100*30.8)</f>
        <v>100.52243023104</v>
      </c>
    </row>
    <row r="30" spans="1:27" x14ac:dyDescent="0.3">
      <c r="A30" t="s">
        <v>2</v>
      </c>
      <c r="B30">
        <f>R4</f>
        <v>41.157142857142858</v>
      </c>
      <c r="C30">
        <f>B30+(B30/100*5.5)</f>
        <v>43.420785714285714</v>
      </c>
      <c r="D30">
        <f>C30+(C30/100*11)</f>
        <v>48.197072142857145</v>
      </c>
      <c r="E30">
        <f>D30+(D30/100*11)</f>
        <v>53.498750078571433</v>
      </c>
      <c r="F30">
        <f>E30+(E30/100*11)</f>
        <v>59.383612587214287</v>
      </c>
    </row>
    <row r="31" spans="1:27" x14ac:dyDescent="0.3">
      <c r="A31" t="s">
        <v>3</v>
      </c>
      <c r="B31">
        <f ca="1">R5</f>
        <v>40</v>
      </c>
      <c r="C31">
        <f ca="1">B31+(B31/100*9.9)</f>
        <v>43.96</v>
      </c>
      <c r="D31">
        <f ca="1">C31+(C31/100*19.8)</f>
        <v>52.664079999999998</v>
      </c>
      <c r="E31">
        <f ca="1">D31+(D31/100*19.8)</f>
        <v>63.091567839999996</v>
      </c>
      <c r="F31">
        <f ca="1">E31+(E31/100*19.8)</f>
        <v>75.583698272319992</v>
      </c>
      <c r="N31" s="46" t="s">
        <v>104</v>
      </c>
      <c r="O31" s="46"/>
      <c r="P31" s="46"/>
      <c r="Q31" s="46"/>
      <c r="R31" s="46"/>
      <c r="S31" s="46"/>
      <c r="T31" s="46"/>
      <c r="U31" s="46"/>
      <c r="V31" s="46"/>
      <c r="W31" s="46"/>
      <c r="X31" s="46"/>
      <c r="Y31" s="46"/>
      <c r="Z31" s="46"/>
      <c r="AA31" s="46"/>
    </row>
    <row r="32" spans="1:27" ht="86.4" x14ac:dyDescent="0.3">
      <c r="A32" t="s">
        <v>4</v>
      </c>
      <c r="B32">
        <f>R6</f>
        <v>40</v>
      </c>
      <c r="C32">
        <f>B32+(B32/100*20)</f>
        <v>48</v>
      </c>
      <c r="D32">
        <f>C32+(C32/100*60)</f>
        <v>76.8</v>
      </c>
      <c r="E32">
        <f>D32+(D32/100*60)</f>
        <v>122.88</v>
      </c>
      <c r="F32">
        <f>E32+(E32/100*60)</f>
        <v>196.608</v>
      </c>
      <c r="N32" s="2" t="s">
        <v>103</v>
      </c>
      <c r="O32" s="2" t="s">
        <v>137</v>
      </c>
      <c r="P32" s="2"/>
      <c r="Q32" s="2" t="s">
        <v>103</v>
      </c>
      <c r="R32" s="2" t="s">
        <v>138</v>
      </c>
      <c r="S32" s="2"/>
      <c r="T32" s="2" t="s">
        <v>103</v>
      </c>
      <c r="U32" s="2" t="s">
        <v>139</v>
      </c>
      <c r="V32" s="2"/>
      <c r="W32" s="2" t="s">
        <v>103</v>
      </c>
      <c r="X32" s="2" t="s">
        <v>140</v>
      </c>
      <c r="Y32" s="2"/>
      <c r="Z32" s="2" t="s">
        <v>103</v>
      </c>
      <c r="AA32" s="2" t="s">
        <v>141</v>
      </c>
    </row>
    <row r="33" spans="1:27" x14ac:dyDescent="0.3">
      <c r="N33" s="2">
        <f>B27</f>
        <v>40</v>
      </c>
      <c r="O33" s="27">
        <f>R2</f>
        <v>40.000000000000007</v>
      </c>
      <c r="P33" s="2"/>
      <c r="Q33" s="2">
        <f>N33</f>
        <v>40</v>
      </c>
      <c r="R33" s="2">
        <f ca="1">R3</f>
        <v>40</v>
      </c>
      <c r="S33" s="2"/>
      <c r="T33" s="2">
        <f>N33</f>
        <v>40</v>
      </c>
      <c r="U33" s="2">
        <f>R4</f>
        <v>41.157142857142858</v>
      </c>
      <c r="V33" s="2"/>
      <c r="W33" s="2">
        <f>N33</f>
        <v>40</v>
      </c>
      <c r="X33" s="2">
        <f ca="1">R5</f>
        <v>40</v>
      </c>
      <c r="Y33" s="2"/>
      <c r="Z33" s="2">
        <f>N33</f>
        <v>40</v>
      </c>
      <c r="AA33">
        <f>R6</f>
        <v>40</v>
      </c>
    </row>
    <row r="34" spans="1:27" x14ac:dyDescent="0.3">
      <c r="N34" s="2">
        <f>N33+1</f>
        <v>41</v>
      </c>
      <c r="O34" s="2">
        <f>O33+(O33*0.0115)</f>
        <v>40.460000000000008</v>
      </c>
      <c r="P34" s="2"/>
      <c r="Q34" s="2">
        <f>Q33+1</f>
        <v>41</v>
      </c>
      <c r="R34" s="2">
        <f ca="1">R33+(R33*0.0123)</f>
        <v>40.491999999999997</v>
      </c>
      <c r="S34" s="2"/>
      <c r="T34" s="2">
        <f>T33+1</f>
        <v>41</v>
      </c>
      <c r="U34" s="2">
        <f t="shared" ref="U34:U43" si="3">U33+(U33*0.0055)</f>
        <v>41.383507142857141</v>
      </c>
      <c r="V34" s="2"/>
      <c r="W34" s="2">
        <f>W33+1</f>
        <v>41</v>
      </c>
      <c r="X34" s="2">
        <f ca="1">X33+(X33*0.0099)</f>
        <v>40.396000000000001</v>
      </c>
      <c r="Y34" s="2"/>
      <c r="Z34" s="2">
        <f>Z33+1</f>
        <v>41</v>
      </c>
      <c r="AA34">
        <f>AA33+(AA33*0.02)</f>
        <v>40.799999999999997</v>
      </c>
    </row>
    <row r="35" spans="1:27" x14ac:dyDescent="0.3">
      <c r="N35" s="2">
        <f t="shared" ref="N35:N43" si="4">N34+1</f>
        <v>42</v>
      </c>
      <c r="O35" s="2">
        <f t="shared" ref="O35:O43" si="5">O34+(O34*0.0115)</f>
        <v>40.925290000000011</v>
      </c>
      <c r="P35" s="2"/>
      <c r="Q35" s="2">
        <f t="shared" ref="Q35:Q43" si="6">Q34+1</f>
        <v>42</v>
      </c>
      <c r="R35" s="2">
        <f t="shared" ref="R35:R43" ca="1" si="7">R34+(R34*0.0123)</f>
        <v>40.990051599999994</v>
      </c>
      <c r="S35" s="2"/>
      <c r="T35" s="2">
        <f t="shared" ref="T35:T43" si="8">T34+1</f>
        <v>42</v>
      </c>
      <c r="U35" s="2">
        <f t="shared" si="3"/>
        <v>41.611116432142857</v>
      </c>
      <c r="V35" s="2"/>
      <c r="W35" s="2">
        <f t="shared" ref="W35:W43" si="9">W34+1</f>
        <v>42</v>
      </c>
      <c r="X35" s="2">
        <f t="shared" ref="X35:X43" ca="1" si="10">X34+(X34*0.0099)</f>
        <v>40.7959204</v>
      </c>
      <c r="Y35" s="2"/>
      <c r="Z35" s="2">
        <f t="shared" ref="Z35:Z43" si="11">Z34+1</f>
        <v>42</v>
      </c>
      <c r="AA35">
        <f t="shared" ref="AA35:AA43" si="12">AA34+(AA34*0.02)</f>
        <v>41.616</v>
      </c>
    </row>
    <row r="36" spans="1:27" x14ac:dyDescent="0.3">
      <c r="A36" t="s">
        <v>8</v>
      </c>
      <c r="N36" s="2">
        <f t="shared" si="4"/>
        <v>43</v>
      </c>
      <c r="O36" s="2">
        <f t="shared" si="5"/>
        <v>41.395930835000009</v>
      </c>
      <c r="P36" s="2"/>
      <c r="Q36" s="2">
        <f t="shared" si="6"/>
        <v>43</v>
      </c>
      <c r="R36" s="2">
        <f t="shared" ca="1" si="7"/>
        <v>41.494229234679992</v>
      </c>
      <c r="S36" s="2"/>
      <c r="T36" s="2">
        <f t="shared" si="8"/>
        <v>43</v>
      </c>
      <c r="U36" s="2">
        <f t="shared" si="3"/>
        <v>41.839977572519643</v>
      </c>
      <c r="V36" s="2"/>
      <c r="W36" s="2">
        <f t="shared" si="9"/>
        <v>43</v>
      </c>
      <c r="X36" s="2">
        <f t="shared" ca="1" si="10"/>
        <v>41.199800011960001</v>
      </c>
      <c r="Y36" s="2"/>
      <c r="Z36" s="2">
        <f t="shared" si="11"/>
        <v>43</v>
      </c>
      <c r="AA36">
        <f t="shared" si="12"/>
        <v>42.448320000000002</v>
      </c>
    </row>
    <row r="37" spans="1:27" x14ac:dyDescent="0.3">
      <c r="A37" s="1">
        <f ca="1">(B28/100*20)+(B29/100*20)+(B30/100*25)+(B31/100*20)+(B32/100*15)</f>
        <v>40.289285714285711</v>
      </c>
      <c r="N37" s="2">
        <f t="shared" si="4"/>
        <v>44</v>
      </c>
      <c r="O37" s="2">
        <f t="shared" si="5"/>
        <v>41.871984039602509</v>
      </c>
      <c r="P37" s="2"/>
      <c r="Q37" s="2">
        <f t="shared" si="6"/>
        <v>44</v>
      </c>
      <c r="R37" s="2">
        <f t="shared" ca="1" si="7"/>
        <v>42.004608254266557</v>
      </c>
      <c r="S37" s="2"/>
      <c r="T37" s="2">
        <f t="shared" si="8"/>
        <v>44</v>
      </c>
      <c r="U37" s="2">
        <f t="shared" si="3"/>
        <v>42.0700974491685</v>
      </c>
      <c r="V37" s="2"/>
      <c r="W37" s="2">
        <f t="shared" si="9"/>
        <v>44</v>
      </c>
      <c r="X37" s="2">
        <f t="shared" ca="1" si="10"/>
        <v>41.607678032078404</v>
      </c>
      <c r="Y37" s="2"/>
      <c r="Z37" s="2">
        <f t="shared" si="11"/>
        <v>44</v>
      </c>
      <c r="AA37">
        <f t="shared" si="12"/>
        <v>43.297286400000004</v>
      </c>
    </row>
    <row r="38" spans="1:27" x14ac:dyDescent="0.3">
      <c r="N38" s="2">
        <f t="shared" si="4"/>
        <v>45</v>
      </c>
      <c r="O38" s="2">
        <f t="shared" si="5"/>
        <v>42.353511856057935</v>
      </c>
      <c r="P38" s="2"/>
      <c r="Q38" s="2">
        <f t="shared" si="6"/>
        <v>45</v>
      </c>
      <c r="R38" s="2">
        <f t="shared" ca="1" si="7"/>
        <v>42.521264935794036</v>
      </c>
      <c r="S38" s="2"/>
      <c r="T38" s="2">
        <f t="shared" si="8"/>
        <v>45</v>
      </c>
      <c r="U38" s="2">
        <f t="shared" si="3"/>
        <v>42.301482985138925</v>
      </c>
      <c r="V38" s="2"/>
      <c r="W38" s="2">
        <f t="shared" si="9"/>
        <v>45</v>
      </c>
      <c r="X38" s="2">
        <f t="shared" ca="1" si="10"/>
        <v>42.019594044595983</v>
      </c>
      <c r="Y38" s="2"/>
      <c r="Z38" s="2">
        <f t="shared" si="11"/>
        <v>45</v>
      </c>
      <c r="AA38">
        <f t="shared" si="12"/>
        <v>44.163232128000004</v>
      </c>
    </row>
    <row r="39" spans="1:27" x14ac:dyDescent="0.3">
      <c r="N39" s="2">
        <f t="shared" si="4"/>
        <v>46</v>
      </c>
      <c r="O39" s="2">
        <f t="shared" si="5"/>
        <v>42.840577242402603</v>
      </c>
      <c r="P39" s="2"/>
      <c r="Q39" s="2">
        <f t="shared" si="6"/>
        <v>46</v>
      </c>
      <c r="R39" s="2">
        <f t="shared" ca="1" si="7"/>
        <v>43.044276494504302</v>
      </c>
      <c r="S39" s="2"/>
      <c r="T39" s="2">
        <f t="shared" si="8"/>
        <v>46</v>
      </c>
      <c r="U39" s="2">
        <f t="shared" si="3"/>
        <v>42.534141141557193</v>
      </c>
      <c r="V39" s="2"/>
      <c r="W39" s="2">
        <f t="shared" si="9"/>
        <v>46</v>
      </c>
      <c r="X39" s="2">
        <f t="shared" ca="1" si="10"/>
        <v>42.435588025637486</v>
      </c>
      <c r="Y39" s="2"/>
      <c r="Z39" s="2">
        <f t="shared" si="11"/>
        <v>46</v>
      </c>
      <c r="AA39">
        <f t="shared" si="12"/>
        <v>45.046496770560005</v>
      </c>
    </row>
    <row r="40" spans="1:27" x14ac:dyDescent="0.3">
      <c r="N40" s="2">
        <f t="shared" si="4"/>
        <v>47</v>
      </c>
      <c r="O40" s="2">
        <f t="shared" si="5"/>
        <v>43.333243880690233</v>
      </c>
      <c r="P40" s="2"/>
      <c r="Q40" s="2">
        <f t="shared" si="6"/>
        <v>47</v>
      </c>
      <c r="R40" s="2">
        <f t="shared" ca="1" si="7"/>
        <v>43.573721095386702</v>
      </c>
      <c r="S40" s="2"/>
      <c r="T40" s="2">
        <f t="shared" si="8"/>
        <v>47</v>
      </c>
      <c r="U40" s="2">
        <f t="shared" si="3"/>
        <v>42.768078917835759</v>
      </c>
      <c r="V40" s="2"/>
      <c r="W40" s="2">
        <f t="shared" si="9"/>
        <v>47</v>
      </c>
      <c r="X40" s="2">
        <f t="shared" ca="1" si="10"/>
        <v>42.8557003470913</v>
      </c>
      <c r="Y40" s="2"/>
      <c r="Z40" s="2">
        <f t="shared" si="11"/>
        <v>47</v>
      </c>
      <c r="AA40">
        <f t="shared" si="12"/>
        <v>45.947426705971203</v>
      </c>
    </row>
    <row r="41" spans="1:27" x14ac:dyDescent="0.3">
      <c r="N41" s="2">
        <f t="shared" si="4"/>
        <v>48</v>
      </c>
      <c r="O41" s="2">
        <f t="shared" si="5"/>
        <v>43.83157618531817</v>
      </c>
      <c r="P41" s="2"/>
      <c r="Q41" s="2">
        <f t="shared" si="6"/>
        <v>48</v>
      </c>
      <c r="R41" s="2">
        <f t="shared" ca="1" si="7"/>
        <v>44.109677864859961</v>
      </c>
      <c r="S41" s="2"/>
      <c r="T41" s="2">
        <f t="shared" si="8"/>
        <v>48</v>
      </c>
      <c r="U41" s="2">
        <f t="shared" si="3"/>
        <v>43.003303351883858</v>
      </c>
      <c r="V41" s="2"/>
      <c r="W41" s="2">
        <f t="shared" si="9"/>
        <v>48</v>
      </c>
      <c r="X41" s="2">
        <f t="shared" ca="1" si="10"/>
        <v>43.279971780527504</v>
      </c>
      <c r="Y41" s="2"/>
      <c r="Z41" s="2">
        <f t="shared" si="11"/>
        <v>48</v>
      </c>
      <c r="AA41">
        <f t="shared" si="12"/>
        <v>46.866375240090626</v>
      </c>
    </row>
    <row r="42" spans="1:27" x14ac:dyDescent="0.3">
      <c r="B42" t="s">
        <v>12</v>
      </c>
      <c r="C42" t="s">
        <v>0</v>
      </c>
      <c r="D42" t="s">
        <v>12</v>
      </c>
      <c r="E42" t="s">
        <v>1</v>
      </c>
      <c r="F42" t="s">
        <v>12</v>
      </c>
      <c r="G42" t="s">
        <v>2</v>
      </c>
      <c r="H42" t="s">
        <v>12</v>
      </c>
      <c r="I42" t="s">
        <v>3</v>
      </c>
      <c r="J42" t="s">
        <v>12</v>
      </c>
      <c r="K42" t="s">
        <v>4</v>
      </c>
      <c r="N42" s="2">
        <f t="shared" si="4"/>
        <v>49</v>
      </c>
      <c r="O42" s="2">
        <f t="shared" si="5"/>
        <v>44.335639311449327</v>
      </c>
      <c r="P42" s="2"/>
      <c r="Q42" s="2">
        <f t="shared" si="6"/>
        <v>49</v>
      </c>
      <c r="R42" s="2">
        <f t="shared" ca="1" si="7"/>
        <v>44.652226902597739</v>
      </c>
      <c r="S42" s="2"/>
      <c r="T42" s="2">
        <f t="shared" si="8"/>
        <v>49</v>
      </c>
      <c r="U42" s="2">
        <f t="shared" si="3"/>
        <v>43.239821520319218</v>
      </c>
      <c r="V42" s="2"/>
      <c r="W42" s="2">
        <f t="shared" si="9"/>
        <v>49</v>
      </c>
      <c r="X42" s="2">
        <f t="shared" ca="1" si="10"/>
        <v>43.708443501154726</v>
      </c>
      <c r="Y42" s="2"/>
      <c r="Z42" s="2">
        <f t="shared" si="11"/>
        <v>49</v>
      </c>
      <c r="AA42">
        <f t="shared" si="12"/>
        <v>47.803702744892441</v>
      </c>
    </row>
    <row r="43" spans="1:27" x14ac:dyDescent="0.3">
      <c r="B43">
        <f>B27</f>
        <v>40</v>
      </c>
      <c r="C43">
        <f>B28</f>
        <v>40.000000000000007</v>
      </c>
      <c r="D43">
        <f>B43</f>
        <v>40</v>
      </c>
      <c r="E43">
        <f ca="1">B29</f>
        <v>40</v>
      </c>
      <c r="F43">
        <f>B27</f>
        <v>40</v>
      </c>
      <c r="G43">
        <f>B30</f>
        <v>41.157142857142858</v>
      </c>
      <c r="H43">
        <f>B27</f>
        <v>40</v>
      </c>
      <c r="I43">
        <f ca="1">B31</f>
        <v>40</v>
      </c>
      <c r="J43">
        <f>B27</f>
        <v>40</v>
      </c>
      <c r="K43">
        <f>B32</f>
        <v>40</v>
      </c>
      <c r="N43" s="2">
        <f t="shared" si="4"/>
        <v>50</v>
      </c>
      <c r="O43" s="2">
        <f t="shared" si="5"/>
        <v>44.845499163530995</v>
      </c>
      <c r="P43" s="2"/>
      <c r="Q43" s="2">
        <f t="shared" si="6"/>
        <v>50</v>
      </c>
      <c r="R43" s="2">
        <f t="shared" ca="1" si="7"/>
        <v>45.201449293499692</v>
      </c>
      <c r="S43" s="2"/>
      <c r="T43" s="2">
        <f t="shared" si="8"/>
        <v>50</v>
      </c>
      <c r="U43" s="2">
        <f t="shared" si="3"/>
        <v>43.477640538680973</v>
      </c>
      <c r="V43" s="2"/>
      <c r="W43" s="2">
        <f t="shared" si="9"/>
        <v>50</v>
      </c>
      <c r="X43" s="2">
        <f t="shared" ca="1" si="10"/>
        <v>44.141157091816154</v>
      </c>
      <c r="Y43" s="2"/>
      <c r="Z43" s="2">
        <f t="shared" si="11"/>
        <v>50</v>
      </c>
      <c r="AA43">
        <f t="shared" si="12"/>
        <v>48.759776799790288</v>
      </c>
    </row>
    <row r="44" spans="1:27" x14ac:dyDescent="0.3">
      <c r="B44">
        <f>C27</f>
        <v>50</v>
      </c>
      <c r="C44">
        <f>C28</f>
        <v>44.600000000000009</v>
      </c>
      <c r="D44">
        <f>B44</f>
        <v>50</v>
      </c>
      <c r="E44">
        <f ca="1">C29</f>
        <v>44.92</v>
      </c>
      <c r="F44">
        <f>C27</f>
        <v>50</v>
      </c>
      <c r="G44">
        <f>C30</f>
        <v>43.420785714285714</v>
      </c>
      <c r="H44">
        <f>C27</f>
        <v>50</v>
      </c>
      <c r="I44">
        <f ca="1">C31</f>
        <v>43.96</v>
      </c>
      <c r="J44">
        <f>C27</f>
        <v>50</v>
      </c>
      <c r="K44">
        <f>C32</f>
        <v>48</v>
      </c>
    </row>
    <row r="45" spans="1:27" x14ac:dyDescent="0.3">
      <c r="B45">
        <f>D27</f>
        <v>60</v>
      </c>
      <c r="C45">
        <f>D28</f>
        <v>58.961200000000012</v>
      </c>
      <c r="D45">
        <f>D27</f>
        <v>60</v>
      </c>
      <c r="E45">
        <f ca="1">D29</f>
        <v>58.755360000000003</v>
      </c>
      <c r="F45">
        <f>D27</f>
        <v>60</v>
      </c>
      <c r="G45">
        <f>D30</f>
        <v>48.197072142857145</v>
      </c>
      <c r="H45">
        <f>D27</f>
        <v>60</v>
      </c>
      <c r="I45">
        <f ca="1">D31</f>
        <v>52.664079999999998</v>
      </c>
      <c r="J45">
        <f>D27</f>
        <v>60</v>
      </c>
      <c r="K45">
        <f>D32</f>
        <v>76.8</v>
      </c>
    </row>
    <row r="46" spans="1:27" x14ac:dyDescent="0.3">
      <c r="B46">
        <f>E27</f>
        <v>70</v>
      </c>
      <c r="C46">
        <f>E28</f>
        <v>77.946706400000011</v>
      </c>
      <c r="D46">
        <f>E27</f>
        <v>70</v>
      </c>
      <c r="E46">
        <f ca="1">E29</f>
        <v>76.852010880000009</v>
      </c>
      <c r="F46">
        <f>E27</f>
        <v>70</v>
      </c>
      <c r="G46">
        <f>E30</f>
        <v>53.498750078571433</v>
      </c>
      <c r="H46">
        <f>E27</f>
        <v>70</v>
      </c>
      <c r="I46">
        <f ca="1">E31</f>
        <v>63.091567839999996</v>
      </c>
      <c r="J46">
        <f>E27</f>
        <v>70</v>
      </c>
      <c r="K46">
        <f>E32</f>
        <v>122.88</v>
      </c>
    </row>
    <row r="47" spans="1:27" x14ac:dyDescent="0.3">
      <c r="B47">
        <f>F27</f>
        <v>80</v>
      </c>
      <c r="C47">
        <f>F28</f>
        <v>103.04554586080002</v>
      </c>
      <c r="D47">
        <f>F27</f>
        <v>80</v>
      </c>
      <c r="E47">
        <f ca="1">F29</f>
        <v>100.52243023104</v>
      </c>
      <c r="F47">
        <f>F27</f>
        <v>80</v>
      </c>
      <c r="G47">
        <f ca="1">F31</f>
        <v>75.583698272319992</v>
      </c>
      <c r="H47">
        <f>F27</f>
        <v>80</v>
      </c>
      <c r="I47">
        <f ca="1">F31</f>
        <v>75.583698272319992</v>
      </c>
      <c r="J47">
        <f>F27</f>
        <v>80</v>
      </c>
      <c r="K47">
        <f>F32</f>
        <v>196.608</v>
      </c>
    </row>
  </sheetData>
  <mergeCells count="2">
    <mergeCell ref="A23:F23"/>
    <mergeCell ref="N31:AA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5C10-BC10-4063-95F5-48E91DA36220}">
  <dimension ref="A1:AA47"/>
  <sheetViews>
    <sheetView topLeftCell="D1"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30.6</v>
      </c>
      <c r="D2">
        <f t="shared" ref="D2:M2" si="0">C2-(C2/100*D1)</f>
        <v>30.294</v>
      </c>
      <c r="E2">
        <f t="shared" si="0"/>
        <v>29.688120000000001</v>
      </c>
      <c r="F2">
        <f t="shared" si="0"/>
        <v>28.797476400000001</v>
      </c>
      <c r="G2">
        <f t="shared" si="0"/>
        <v>27.645577343999999</v>
      </c>
      <c r="H2">
        <f t="shared" si="0"/>
        <v>26.263298476799999</v>
      </c>
      <c r="I2">
        <f t="shared" si="0"/>
        <v>24.687500568192</v>
      </c>
      <c r="J2">
        <f t="shared" si="0"/>
        <v>22.959375528418562</v>
      </c>
      <c r="K2">
        <f t="shared" si="0"/>
        <v>21.122625486145076</v>
      </c>
      <c r="L2">
        <f t="shared" si="0"/>
        <v>19.22158919239202</v>
      </c>
      <c r="M2">
        <f t="shared" si="0"/>
        <v>17.299430273152819</v>
      </c>
      <c r="N2" s="8"/>
      <c r="O2" s="21"/>
      <c r="Q2" s="3" t="s">
        <v>0</v>
      </c>
      <c r="R2" s="16">
        <f>B27+ ((1 -((C2 / 30.6) * 0.7 )-((C3 / 100) * 0.3 )) * 100)</f>
        <v>40.000000000000007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40</v>
      </c>
      <c r="T3" s="23" t="s">
        <v>8</v>
      </c>
    </row>
    <row r="4" spans="1:20" ht="18" customHeight="1" x14ac:dyDescent="0.3">
      <c r="A4" s="4" t="s">
        <v>17</v>
      </c>
      <c r="B4" s="4" t="s">
        <v>18</v>
      </c>
      <c r="C4" s="10">
        <v>30</v>
      </c>
      <c r="D4">
        <f>C4-(C4/100*D1)</f>
        <v>29.7</v>
      </c>
      <c r="E4">
        <f t="shared" ref="E4:M4" si="2">D4-(D4/100*E1)</f>
        <v>29.105999999999998</v>
      </c>
      <c r="F4">
        <f t="shared" si="2"/>
        <v>28.232819999999997</v>
      </c>
      <c r="G4">
        <f t="shared" si="2"/>
        <v>27.103507199999996</v>
      </c>
      <c r="H4">
        <f t="shared" si="2"/>
        <v>25.748331839999995</v>
      </c>
      <c r="I4">
        <f t="shared" si="2"/>
        <v>24.203431929599997</v>
      </c>
      <c r="J4">
        <f t="shared" si="2"/>
        <v>22.509191694527999</v>
      </c>
      <c r="K4">
        <f t="shared" si="2"/>
        <v>20.708456358965758</v>
      </c>
      <c r="L4">
        <f t="shared" si="2"/>
        <v>18.84469528665884</v>
      </c>
      <c r="M4">
        <f t="shared" si="2"/>
        <v>16.960225757992955</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40</v>
      </c>
      <c r="Q4" s="5" t="s">
        <v>2</v>
      </c>
      <c r="R4" s="5">
        <f>B27 - 9*R11</f>
        <v>38.754142857142853</v>
      </c>
      <c r="T4" s="1">
        <f ca="1">(R2/100*20)+(R3/100*20)+(R4/100*25)+(R5/100*20)+(R6/100*15)</f>
        <v>39.688535714285713</v>
      </c>
    </row>
    <row r="5" spans="1:20" x14ac:dyDescent="0.3">
      <c r="A5" s="4" t="s">
        <v>17</v>
      </c>
      <c r="B5" s="4" t="s">
        <v>19</v>
      </c>
      <c r="C5" s="10">
        <v>2.7</v>
      </c>
      <c r="L5" s="8"/>
      <c r="M5" s="8">
        <f>C5-(C5/100*12)</f>
        <v>2.3760000000000003</v>
      </c>
      <c r="N5" s="8"/>
      <c r="O5" s="18">
        <f ca="1">FORECAST(C5, OFFSET(Strength_Normative_Data!$O$3, MATCH(C5, Strength_Normative_Data!$Q$3:$Q$17, -1)-1, 0, 2), OFFSET(Strength_Normative_Data!$Q$3, MATCH(C5, Strength_Normative_Data!$Q$3:$Q$17, -1)-1, 0, 2))</f>
        <v>40</v>
      </c>
      <c r="Q5" s="6" t="s">
        <v>29</v>
      </c>
      <c r="R5" s="6">
        <f ca="1">((O14/100*30)+(O15/100*25)+(O16/100*30)+(O17/100*15))</f>
        <v>40</v>
      </c>
    </row>
    <row r="6" spans="1:20" x14ac:dyDescent="0.3">
      <c r="A6" s="4" t="s">
        <v>17</v>
      </c>
      <c r="B6" s="4" t="s">
        <v>20</v>
      </c>
      <c r="C6" s="10">
        <v>28</v>
      </c>
      <c r="L6" s="8"/>
      <c r="M6" s="8">
        <f>C6-(C6/100*12)</f>
        <v>24.64</v>
      </c>
      <c r="N6" s="8"/>
      <c r="O6" s="18">
        <f ca="1">FORECAST(C6, OFFSET(Strength_Normative_Data!$J$3, MATCH(C6, Strength_Normative_Data!$L$3:$L$16, -1)-1, 0, 2), OFFSET(Strength_Normative_Data!$L$3, MATCH(C6, Strength_Normative_Data!$L$3:$L$16, -1)-1, 0, 2))</f>
        <v>40</v>
      </c>
      <c r="Q6" s="7" t="s">
        <v>4</v>
      </c>
      <c r="R6" s="7">
        <f>((O18/100*60)+(O19/100*40))</f>
        <v>40</v>
      </c>
    </row>
    <row r="7" spans="1:20" x14ac:dyDescent="0.3">
      <c r="A7" s="5" t="s">
        <v>21</v>
      </c>
      <c r="B7" s="5" t="s">
        <v>22</v>
      </c>
      <c r="C7" s="11">
        <v>34</v>
      </c>
      <c r="L7" s="8"/>
      <c r="M7" s="8">
        <f>C7+(C7/100*6)</f>
        <v>36.04</v>
      </c>
      <c r="N7" s="8"/>
      <c r="O7" s="22"/>
    </row>
    <row r="8" spans="1:20" x14ac:dyDescent="0.3">
      <c r="A8" s="5" t="s">
        <v>21</v>
      </c>
      <c r="B8" s="5" t="s">
        <v>23</v>
      </c>
      <c r="C8" s="11">
        <v>0.5</v>
      </c>
      <c r="L8" s="8"/>
      <c r="M8" s="8">
        <f>C8+(C8/100*4)</f>
        <v>0.52</v>
      </c>
      <c r="N8" s="8"/>
      <c r="O8" s="22">
        <f xml:space="preserve">
IF(C8&lt;=0.4,0,
IF(C8&lt;=0.5,20*(C8-0.4)/0.1,
IF(C8&lt;=0.6,20+40*(C8-0.5)/0.1,
60+40*(MIN(C8,0.75)-0.6)/0.15)))</f>
        <v>19.999999999999993</v>
      </c>
    </row>
    <row r="9" spans="1:20" x14ac:dyDescent="0.3">
      <c r="A9" s="5" t="s">
        <v>21</v>
      </c>
      <c r="B9" s="5" t="s">
        <v>24</v>
      </c>
      <c r="C9" s="11">
        <v>5.6</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28.078571428571422</v>
      </c>
      <c r="R11">
        <f xml:space="preserve">
IF(Q11&lt;=10,1.5-0.1*Q11,
IF(Q11&lt;=60,0.5-0.02*(Q11-10),
-0.5-0.03*(Q11-60)))</f>
        <v>0.13842857142857157</v>
      </c>
    </row>
    <row r="12" spans="1:20" x14ac:dyDescent="0.3">
      <c r="A12" s="5" t="s">
        <v>21</v>
      </c>
      <c r="B12" s="5" t="s">
        <v>27</v>
      </c>
      <c r="C12" s="11">
        <v>1.05</v>
      </c>
      <c r="L12" s="8"/>
      <c r="M12" s="8">
        <f>C12+(C12/100*6)</f>
        <v>1.113</v>
      </c>
      <c r="N12" s="8"/>
      <c r="O12" s="5">
        <f>C12*100</f>
        <v>105</v>
      </c>
      <c r="P12" s="5">
        <f xml:space="preserve">
IF(O12&lt;80,5*(O12/80),
IF(O12&lt;100,10+20*(O12-80)/20,
IF(O12&lt;130,30+25*(O12-100)/30,
IF(O12&lt;160,55+25*(O12-130)/30,
IF(O12&lt;200,80+20*(O12-160)/40,100)))))</f>
        <v>34.166666666666664</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1.39</v>
      </c>
      <c r="L14" s="8"/>
      <c r="M14" s="8">
        <f>C14+(C14/100*6)</f>
        <v>1.4733999999999998</v>
      </c>
      <c r="N14" s="8"/>
      <c r="O14" s="12">
        <v>40</v>
      </c>
    </row>
    <row r="15" spans="1:20" x14ac:dyDescent="0.3">
      <c r="A15" s="6" t="s">
        <v>29</v>
      </c>
      <c r="B15" s="6" t="s">
        <v>31</v>
      </c>
      <c r="C15" s="12">
        <v>6.5</v>
      </c>
      <c r="L15" s="8"/>
      <c r="M15" s="8">
        <f>C15+(C15/100*10)</f>
        <v>7.15</v>
      </c>
      <c r="N15" s="8"/>
      <c r="O15" s="12">
        <f ca="1">FORECAST(C15, OFFSET(Mobility_Normative_Data!$E$3, MATCH(C15, Mobility_Normative_Data!$G$3:$G$18, 1)-1, 0, 2), OFFSET(Mobility_Normative_Data!$G$3, MATCH(C15, Mobility_Normative_Data!$G$3:$G$18, 1)-1, 0, 2))</f>
        <v>40</v>
      </c>
    </row>
    <row r="16" spans="1:20" x14ac:dyDescent="0.3">
      <c r="A16" s="6" t="s">
        <v>29</v>
      </c>
      <c r="B16" s="6" t="s">
        <v>32</v>
      </c>
      <c r="C16" s="12">
        <v>39</v>
      </c>
      <c r="L16" s="8"/>
      <c r="M16" s="8">
        <f>C16+(C16/100*20)</f>
        <v>46.8</v>
      </c>
      <c r="N16" s="8"/>
      <c r="O16" s="12">
        <f ca="1">FORECAST(C16, OFFSET(Mobility_Normative_Data!$I$3, MATCH(C16, Mobility_Normative_Data!$K$3:$K$17, -1)-1, 0, 2), OFFSET(Mobility_Normative_Data!$K$3, MATCH(C16, Mobility_Normative_Data!$K$3:$K$17, -1)-1, 0, 2))</f>
        <v>40</v>
      </c>
    </row>
    <row r="17" spans="1:27" x14ac:dyDescent="0.3">
      <c r="A17" s="6" t="s">
        <v>29</v>
      </c>
      <c r="B17" s="6" t="s">
        <v>33</v>
      </c>
      <c r="C17" s="12">
        <v>37</v>
      </c>
      <c r="L17" s="8"/>
      <c r="M17" s="8">
        <f>C17+(C17/100*10)</f>
        <v>40.700000000000003</v>
      </c>
      <c r="N17" s="8"/>
      <c r="O17" s="12">
        <f ca="1">FORECAST(C17, OFFSET(Mobility_Normative_Data!$M$3, MATCH(C17, Mobility_Normative_Data!$O$3:$O$17, -1)-1, 0, 2), OFFSET(Mobility_Normative_Data!$O$3, MATCH(C17, Mobility_Normative_Data!$O$3:$O$17, -1)-1, 0, 2))</f>
        <v>40</v>
      </c>
    </row>
    <row r="18" spans="1:27" x14ac:dyDescent="0.3">
      <c r="A18" s="7" t="s">
        <v>34</v>
      </c>
      <c r="B18" s="7" t="s">
        <v>35</v>
      </c>
      <c r="C18" s="13">
        <v>0</v>
      </c>
      <c r="L18" s="8"/>
      <c r="M18" s="8">
        <f>C18 +(-0.2)</f>
        <v>-0.2</v>
      </c>
      <c r="N18" s="8"/>
      <c r="O18" s="20">
        <f>MAX(18,B27-(C18*25))</f>
        <v>40</v>
      </c>
    </row>
    <row r="19" spans="1:27" x14ac:dyDescent="0.3">
      <c r="A19" s="7" t="s">
        <v>34</v>
      </c>
      <c r="B19" s="7" t="s">
        <v>36</v>
      </c>
      <c r="C19" s="13">
        <v>0</v>
      </c>
      <c r="L19" s="8"/>
      <c r="M19" s="8">
        <f>C19+(-0.2)</f>
        <v>-0.2</v>
      </c>
      <c r="N19" s="8"/>
      <c r="O19" s="20">
        <f>MAX(18,B27-(J1925))</f>
        <v>40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40</v>
      </c>
      <c r="C27">
        <f>B27+10</f>
        <v>50</v>
      </c>
      <c r="D27">
        <f>C27+10</f>
        <v>60</v>
      </c>
      <c r="E27">
        <f>D27+10</f>
        <v>70</v>
      </c>
      <c r="F27">
        <f>E27+10</f>
        <v>80</v>
      </c>
    </row>
    <row r="28" spans="1:27" x14ac:dyDescent="0.3">
      <c r="A28" t="s">
        <v>0</v>
      </c>
      <c r="B28" s="24">
        <f>R2</f>
        <v>40.000000000000007</v>
      </c>
      <c r="C28">
        <f>B28+(B28/100*11.5)</f>
        <v>44.600000000000009</v>
      </c>
      <c r="D28">
        <f>C28+(C28/100*32.2)</f>
        <v>58.961200000000012</v>
      </c>
      <c r="E28">
        <f>D28+(D28/100*32.2)</f>
        <v>77.946706400000011</v>
      </c>
      <c r="F28">
        <f>E28+(E28/100*32.2)</f>
        <v>103.04554586080002</v>
      </c>
    </row>
    <row r="29" spans="1:27" x14ac:dyDescent="0.3">
      <c r="A29" t="s">
        <v>1</v>
      </c>
      <c r="B29">
        <f ca="1">R3</f>
        <v>40</v>
      </c>
      <c r="C29">
        <f ca="1">B29+(B29/100*12.3)</f>
        <v>44.92</v>
      </c>
      <c r="D29">
        <f ca="1">C29+(C29/100*30.8)</f>
        <v>58.755360000000003</v>
      </c>
      <c r="E29">
        <f ca="1">D29+(D29/100*30.8)</f>
        <v>76.852010880000009</v>
      </c>
      <c r="F29">
        <f ca="1">E29+(E29/100*30.8)</f>
        <v>100.52243023104</v>
      </c>
    </row>
    <row r="30" spans="1:27" x14ac:dyDescent="0.3">
      <c r="A30" t="s">
        <v>2</v>
      </c>
      <c r="B30">
        <f>R4</f>
        <v>38.754142857142853</v>
      </c>
      <c r="C30">
        <f>B30+(B30/100*5.5)</f>
        <v>40.885620714285707</v>
      </c>
      <c r="D30">
        <f>C30+(C30/100*11)</f>
        <v>45.383038992857138</v>
      </c>
      <c r="E30">
        <f>D30+(D30/100*11)</f>
        <v>50.375173282071422</v>
      </c>
      <c r="F30">
        <f>E30+(E30/100*11)</f>
        <v>55.916442343099277</v>
      </c>
    </row>
    <row r="31" spans="1:27" x14ac:dyDescent="0.3">
      <c r="A31" t="s">
        <v>3</v>
      </c>
      <c r="B31">
        <f ca="1">R5</f>
        <v>40</v>
      </c>
      <c r="C31">
        <f ca="1">B31+(B31/100*9.9)</f>
        <v>43.96</v>
      </c>
      <c r="D31">
        <f ca="1">C31+(C31/100*19.8)</f>
        <v>52.664079999999998</v>
      </c>
      <c r="E31">
        <f ca="1">D31+(D31/100*19.8)</f>
        <v>63.091567839999996</v>
      </c>
      <c r="F31">
        <f ca="1">E31+(E31/100*19.8)</f>
        <v>75.583698272319992</v>
      </c>
      <c r="N31" s="46" t="s">
        <v>104</v>
      </c>
      <c r="O31" s="46"/>
      <c r="P31" s="46"/>
      <c r="Q31" s="46"/>
      <c r="R31" s="46"/>
      <c r="S31" s="46"/>
      <c r="T31" s="46"/>
      <c r="U31" s="46"/>
      <c r="V31" s="46"/>
      <c r="W31" s="46"/>
      <c r="X31" s="46"/>
      <c r="Y31" s="46"/>
      <c r="Z31" s="46"/>
      <c r="AA31" s="46"/>
    </row>
    <row r="32" spans="1:27" ht="100.8" x14ac:dyDescent="0.3">
      <c r="A32" t="s">
        <v>4</v>
      </c>
      <c r="B32">
        <f>R6</f>
        <v>40</v>
      </c>
      <c r="C32">
        <f>B32+(B32/100*20)</f>
        <v>48</v>
      </c>
      <c r="D32">
        <f>C32+(C32/100*60)</f>
        <v>76.8</v>
      </c>
      <c r="E32">
        <f>D32+(D32/100*60)</f>
        <v>122.88</v>
      </c>
      <c r="F32">
        <f>E32+(E32/100*60)</f>
        <v>196.608</v>
      </c>
      <c r="N32" s="2" t="s">
        <v>103</v>
      </c>
      <c r="O32" s="2" t="s">
        <v>153</v>
      </c>
      <c r="P32" s="2"/>
      <c r="Q32" s="2" t="s">
        <v>103</v>
      </c>
      <c r="R32" s="2" t="s">
        <v>154</v>
      </c>
      <c r="S32" s="2"/>
      <c r="T32" s="2" t="s">
        <v>103</v>
      </c>
      <c r="U32" s="2" t="s">
        <v>155</v>
      </c>
      <c r="V32" s="2"/>
      <c r="W32" s="2" t="s">
        <v>103</v>
      </c>
      <c r="X32" s="2" t="s">
        <v>156</v>
      </c>
      <c r="Y32" s="2"/>
      <c r="Z32" s="2" t="s">
        <v>103</v>
      </c>
      <c r="AA32" s="2" t="s">
        <v>157</v>
      </c>
    </row>
    <row r="33" spans="1:27" x14ac:dyDescent="0.3">
      <c r="N33" s="2">
        <f>B27</f>
        <v>40</v>
      </c>
      <c r="O33" s="27">
        <f>R2</f>
        <v>40.000000000000007</v>
      </c>
      <c r="P33" s="2"/>
      <c r="Q33" s="2">
        <f>N33</f>
        <v>40</v>
      </c>
      <c r="R33" s="2">
        <f ca="1">R3</f>
        <v>40</v>
      </c>
      <c r="S33" s="2"/>
      <c r="T33" s="2">
        <f>N33</f>
        <v>40</v>
      </c>
      <c r="U33" s="2">
        <f>R4</f>
        <v>38.754142857142853</v>
      </c>
      <c r="V33" s="2"/>
      <c r="W33" s="2">
        <f>N33</f>
        <v>40</v>
      </c>
      <c r="X33" s="2">
        <f ca="1">R5</f>
        <v>40</v>
      </c>
      <c r="Y33" s="2"/>
      <c r="Z33" s="2">
        <f>N33</f>
        <v>40</v>
      </c>
      <c r="AA33">
        <f>R6</f>
        <v>40</v>
      </c>
    </row>
    <row r="34" spans="1:27" x14ac:dyDescent="0.3">
      <c r="N34" s="2">
        <f>N33+1</f>
        <v>41</v>
      </c>
      <c r="O34" s="2">
        <f>O33+(O33*0.0115)</f>
        <v>40.460000000000008</v>
      </c>
      <c r="P34" s="2"/>
      <c r="Q34" s="2">
        <f>Q33+1</f>
        <v>41</v>
      </c>
      <c r="R34" s="2">
        <f ca="1">R33+(R33*0.0123)</f>
        <v>40.491999999999997</v>
      </c>
      <c r="S34" s="2"/>
      <c r="T34" s="2">
        <f>T33+1</f>
        <v>41</v>
      </c>
      <c r="U34" s="2">
        <f t="shared" ref="U34:U43" si="3">U33+(U33*0.0055)</f>
        <v>38.967290642857137</v>
      </c>
      <c r="V34" s="2"/>
      <c r="W34" s="2">
        <f>W33+1</f>
        <v>41</v>
      </c>
      <c r="X34" s="2">
        <f ca="1">X33+(X33*0.0099)</f>
        <v>40.396000000000001</v>
      </c>
      <c r="Y34" s="2"/>
      <c r="Z34" s="2">
        <f>Z33+1</f>
        <v>41</v>
      </c>
      <c r="AA34">
        <f>AA33+(AA33*0.02)</f>
        <v>40.799999999999997</v>
      </c>
    </row>
    <row r="35" spans="1:27" x14ac:dyDescent="0.3">
      <c r="N35" s="2">
        <f t="shared" ref="N35:N43" si="4">N34+1</f>
        <v>42</v>
      </c>
      <c r="O35" s="2">
        <f t="shared" ref="O35:O43" si="5">O34+(O34*0.0115)</f>
        <v>40.925290000000011</v>
      </c>
      <c r="P35" s="2"/>
      <c r="Q35" s="2">
        <f t="shared" ref="Q35:Q43" si="6">Q34+1</f>
        <v>42</v>
      </c>
      <c r="R35" s="2">
        <f t="shared" ref="R35:R43" ca="1" si="7">R34+(R34*0.0123)</f>
        <v>40.990051599999994</v>
      </c>
      <c r="S35" s="2"/>
      <c r="T35" s="2">
        <f t="shared" ref="T35:T43" si="8">T34+1</f>
        <v>42</v>
      </c>
      <c r="U35" s="2">
        <f t="shared" si="3"/>
        <v>39.181610741392852</v>
      </c>
      <c r="V35" s="2"/>
      <c r="W35" s="2">
        <f t="shared" ref="W35:W43" si="9">W34+1</f>
        <v>42</v>
      </c>
      <c r="X35" s="2">
        <f t="shared" ref="X35:X43" ca="1" si="10">X34+(X34*0.0099)</f>
        <v>40.7959204</v>
      </c>
      <c r="Y35" s="2"/>
      <c r="Z35" s="2">
        <f t="shared" ref="Z35:Z43" si="11">Z34+1</f>
        <v>42</v>
      </c>
      <c r="AA35">
        <f t="shared" ref="AA35:AA43" si="12">AA34+(AA34*0.02)</f>
        <v>41.616</v>
      </c>
    </row>
    <row r="36" spans="1:27" x14ac:dyDescent="0.3">
      <c r="A36" t="s">
        <v>8</v>
      </c>
      <c r="N36" s="2">
        <f t="shared" si="4"/>
        <v>43</v>
      </c>
      <c r="O36" s="2">
        <f t="shared" si="5"/>
        <v>41.395930835000009</v>
      </c>
      <c r="P36" s="2"/>
      <c r="Q36" s="2">
        <f t="shared" si="6"/>
        <v>43</v>
      </c>
      <c r="R36" s="2">
        <f t="shared" ca="1" si="7"/>
        <v>41.494229234679992</v>
      </c>
      <c r="S36" s="2"/>
      <c r="T36" s="2">
        <f t="shared" si="8"/>
        <v>43</v>
      </c>
      <c r="U36" s="2">
        <f t="shared" si="3"/>
        <v>39.397109600470515</v>
      </c>
      <c r="V36" s="2"/>
      <c r="W36" s="2">
        <f t="shared" si="9"/>
        <v>43</v>
      </c>
      <c r="X36" s="2">
        <f t="shared" ca="1" si="10"/>
        <v>41.199800011960001</v>
      </c>
      <c r="Y36" s="2"/>
      <c r="Z36" s="2">
        <f t="shared" si="11"/>
        <v>43</v>
      </c>
      <c r="AA36">
        <f t="shared" si="12"/>
        <v>42.448320000000002</v>
      </c>
    </row>
    <row r="37" spans="1:27" x14ac:dyDescent="0.3">
      <c r="A37" s="1">
        <f ca="1">(B28/100*20)+(B29/100*20)+(B30/100*25)+(B31/100*20)+(B32/100*15)</f>
        <v>39.688535714285713</v>
      </c>
      <c r="N37" s="2">
        <f t="shared" si="4"/>
        <v>44</v>
      </c>
      <c r="O37" s="2">
        <f t="shared" si="5"/>
        <v>41.871984039602509</v>
      </c>
      <c r="P37" s="2"/>
      <c r="Q37" s="2">
        <f t="shared" si="6"/>
        <v>44</v>
      </c>
      <c r="R37" s="2">
        <f t="shared" ca="1" si="7"/>
        <v>42.004608254266557</v>
      </c>
      <c r="S37" s="2"/>
      <c r="T37" s="2">
        <f t="shared" si="8"/>
        <v>44</v>
      </c>
      <c r="U37" s="2">
        <f t="shared" si="3"/>
        <v>39.613793703273103</v>
      </c>
      <c r="V37" s="2"/>
      <c r="W37" s="2">
        <f t="shared" si="9"/>
        <v>44</v>
      </c>
      <c r="X37" s="2">
        <f t="shared" ca="1" si="10"/>
        <v>41.607678032078404</v>
      </c>
      <c r="Y37" s="2"/>
      <c r="Z37" s="2">
        <f t="shared" si="11"/>
        <v>44</v>
      </c>
      <c r="AA37">
        <f t="shared" si="12"/>
        <v>43.297286400000004</v>
      </c>
    </row>
    <row r="38" spans="1:27" x14ac:dyDescent="0.3">
      <c r="N38" s="2">
        <f t="shared" si="4"/>
        <v>45</v>
      </c>
      <c r="O38" s="2">
        <f t="shared" si="5"/>
        <v>42.353511856057935</v>
      </c>
      <c r="P38" s="2"/>
      <c r="Q38" s="2">
        <f t="shared" si="6"/>
        <v>45</v>
      </c>
      <c r="R38" s="2">
        <f t="shared" ca="1" si="7"/>
        <v>42.521264935794036</v>
      </c>
      <c r="S38" s="2"/>
      <c r="T38" s="2">
        <f t="shared" si="8"/>
        <v>45</v>
      </c>
      <c r="U38" s="2">
        <f t="shared" si="3"/>
        <v>39.831669568641104</v>
      </c>
      <c r="V38" s="2"/>
      <c r="W38" s="2">
        <f t="shared" si="9"/>
        <v>45</v>
      </c>
      <c r="X38" s="2">
        <f t="shared" ca="1" si="10"/>
        <v>42.019594044595983</v>
      </c>
      <c r="Y38" s="2"/>
      <c r="Z38" s="2">
        <f t="shared" si="11"/>
        <v>45</v>
      </c>
      <c r="AA38">
        <f t="shared" si="12"/>
        <v>44.163232128000004</v>
      </c>
    </row>
    <row r="39" spans="1:27" x14ac:dyDescent="0.3">
      <c r="N39" s="2">
        <f t="shared" si="4"/>
        <v>46</v>
      </c>
      <c r="O39" s="2">
        <f t="shared" si="5"/>
        <v>42.840577242402603</v>
      </c>
      <c r="P39" s="2"/>
      <c r="Q39" s="2">
        <f t="shared" si="6"/>
        <v>46</v>
      </c>
      <c r="R39" s="2">
        <f t="shared" ca="1" si="7"/>
        <v>43.044276494504302</v>
      </c>
      <c r="S39" s="2"/>
      <c r="T39" s="2">
        <f t="shared" si="8"/>
        <v>46</v>
      </c>
      <c r="U39" s="2">
        <f t="shared" si="3"/>
        <v>40.050743751268627</v>
      </c>
      <c r="V39" s="2"/>
      <c r="W39" s="2">
        <f t="shared" si="9"/>
        <v>46</v>
      </c>
      <c r="X39" s="2">
        <f t="shared" ca="1" si="10"/>
        <v>42.435588025637486</v>
      </c>
      <c r="Y39" s="2"/>
      <c r="Z39" s="2">
        <f t="shared" si="11"/>
        <v>46</v>
      </c>
      <c r="AA39">
        <f t="shared" si="12"/>
        <v>45.046496770560005</v>
      </c>
    </row>
    <row r="40" spans="1:27" x14ac:dyDescent="0.3">
      <c r="N40" s="2">
        <f t="shared" si="4"/>
        <v>47</v>
      </c>
      <c r="O40" s="2">
        <f t="shared" si="5"/>
        <v>43.333243880690233</v>
      </c>
      <c r="P40" s="2"/>
      <c r="Q40" s="2">
        <f t="shared" si="6"/>
        <v>47</v>
      </c>
      <c r="R40" s="2">
        <f t="shared" ca="1" si="7"/>
        <v>43.573721095386702</v>
      </c>
      <c r="S40" s="2"/>
      <c r="T40" s="2">
        <f t="shared" si="8"/>
        <v>47</v>
      </c>
      <c r="U40" s="2">
        <f t="shared" si="3"/>
        <v>40.271022841900603</v>
      </c>
      <c r="V40" s="2"/>
      <c r="W40" s="2">
        <f t="shared" si="9"/>
        <v>47</v>
      </c>
      <c r="X40" s="2">
        <f t="shared" ca="1" si="10"/>
        <v>42.8557003470913</v>
      </c>
      <c r="Y40" s="2"/>
      <c r="Z40" s="2">
        <f t="shared" si="11"/>
        <v>47</v>
      </c>
      <c r="AA40">
        <f t="shared" si="12"/>
        <v>45.947426705971203</v>
      </c>
    </row>
    <row r="41" spans="1:27" x14ac:dyDescent="0.3">
      <c r="N41" s="2">
        <f t="shared" si="4"/>
        <v>48</v>
      </c>
      <c r="O41" s="2">
        <f t="shared" si="5"/>
        <v>43.83157618531817</v>
      </c>
      <c r="P41" s="2"/>
      <c r="Q41" s="2">
        <f t="shared" si="6"/>
        <v>48</v>
      </c>
      <c r="R41" s="2">
        <f t="shared" ca="1" si="7"/>
        <v>44.109677864859961</v>
      </c>
      <c r="S41" s="2"/>
      <c r="T41" s="2">
        <f t="shared" si="8"/>
        <v>48</v>
      </c>
      <c r="U41" s="2">
        <f t="shared" si="3"/>
        <v>40.492513467531055</v>
      </c>
      <c r="V41" s="2"/>
      <c r="W41" s="2">
        <f t="shared" si="9"/>
        <v>48</v>
      </c>
      <c r="X41" s="2">
        <f t="shared" ca="1" si="10"/>
        <v>43.279971780527504</v>
      </c>
      <c r="Y41" s="2"/>
      <c r="Z41" s="2">
        <f t="shared" si="11"/>
        <v>48</v>
      </c>
      <c r="AA41">
        <f t="shared" si="12"/>
        <v>46.866375240090626</v>
      </c>
    </row>
    <row r="42" spans="1:27" x14ac:dyDescent="0.3">
      <c r="B42" t="s">
        <v>12</v>
      </c>
      <c r="C42" t="s">
        <v>0</v>
      </c>
      <c r="D42" t="s">
        <v>12</v>
      </c>
      <c r="E42" t="s">
        <v>1</v>
      </c>
      <c r="F42" t="s">
        <v>12</v>
      </c>
      <c r="G42" t="s">
        <v>2</v>
      </c>
      <c r="H42" t="s">
        <v>12</v>
      </c>
      <c r="I42" t="s">
        <v>3</v>
      </c>
      <c r="J42" t="s">
        <v>12</v>
      </c>
      <c r="K42" t="s">
        <v>4</v>
      </c>
      <c r="N42" s="2">
        <f t="shared" si="4"/>
        <v>49</v>
      </c>
      <c r="O42" s="2">
        <f t="shared" si="5"/>
        <v>44.335639311449327</v>
      </c>
      <c r="P42" s="2"/>
      <c r="Q42" s="2">
        <f t="shared" si="6"/>
        <v>49</v>
      </c>
      <c r="R42" s="2">
        <f t="shared" ca="1" si="7"/>
        <v>44.652226902597739</v>
      </c>
      <c r="S42" s="2"/>
      <c r="T42" s="2">
        <f t="shared" si="8"/>
        <v>49</v>
      </c>
      <c r="U42" s="2">
        <f t="shared" si="3"/>
        <v>40.715222291602473</v>
      </c>
      <c r="V42" s="2"/>
      <c r="W42" s="2">
        <f t="shared" si="9"/>
        <v>49</v>
      </c>
      <c r="X42" s="2">
        <f t="shared" ca="1" si="10"/>
        <v>43.708443501154726</v>
      </c>
      <c r="Y42" s="2"/>
      <c r="Z42" s="2">
        <f t="shared" si="11"/>
        <v>49</v>
      </c>
      <c r="AA42">
        <f t="shared" si="12"/>
        <v>47.803702744892441</v>
      </c>
    </row>
    <row r="43" spans="1:27" x14ac:dyDescent="0.3">
      <c r="B43">
        <f>B27</f>
        <v>40</v>
      </c>
      <c r="C43">
        <f>B28</f>
        <v>40.000000000000007</v>
      </c>
      <c r="D43">
        <f>B43</f>
        <v>40</v>
      </c>
      <c r="E43">
        <f ca="1">B29</f>
        <v>40</v>
      </c>
      <c r="F43">
        <f>B27</f>
        <v>40</v>
      </c>
      <c r="G43">
        <f>B30</f>
        <v>38.754142857142853</v>
      </c>
      <c r="H43">
        <f>B27</f>
        <v>40</v>
      </c>
      <c r="I43">
        <f ca="1">B31</f>
        <v>40</v>
      </c>
      <c r="J43">
        <f>B27</f>
        <v>40</v>
      </c>
      <c r="K43">
        <f>B32</f>
        <v>40</v>
      </c>
      <c r="N43" s="2">
        <f t="shared" si="4"/>
        <v>50</v>
      </c>
      <c r="O43" s="2">
        <f t="shared" si="5"/>
        <v>44.845499163530995</v>
      </c>
      <c r="P43" s="2"/>
      <c r="Q43" s="2">
        <f t="shared" si="6"/>
        <v>50</v>
      </c>
      <c r="R43" s="2">
        <f t="shared" ca="1" si="7"/>
        <v>45.201449293499692</v>
      </c>
      <c r="S43" s="2"/>
      <c r="T43" s="2">
        <f t="shared" si="8"/>
        <v>50</v>
      </c>
      <c r="U43" s="2">
        <f t="shared" si="3"/>
        <v>40.939156014206283</v>
      </c>
      <c r="V43" s="2"/>
      <c r="W43" s="2">
        <f t="shared" si="9"/>
        <v>50</v>
      </c>
      <c r="X43" s="2">
        <f t="shared" ca="1" si="10"/>
        <v>44.141157091816154</v>
      </c>
      <c r="Y43" s="2"/>
      <c r="Z43" s="2">
        <f t="shared" si="11"/>
        <v>50</v>
      </c>
      <c r="AA43">
        <f t="shared" si="12"/>
        <v>48.759776799790288</v>
      </c>
    </row>
    <row r="44" spans="1:27" x14ac:dyDescent="0.3">
      <c r="B44">
        <f>C27</f>
        <v>50</v>
      </c>
      <c r="C44">
        <f>C28</f>
        <v>44.600000000000009</v>
      </c>
      <c r="D44">
        <f>B44</f>
        <v>50</v>
      </c>
      <c r="E44">
        <f ca="1">C29</f>
        <v>44.92</v>
      </c>
      <c r="F44">
        <f>C27</f>
        <v>50</v>
      </c>
      <c r="G44">
        <f>C30</f>
        <v>40.885620714285707</v>
      </c>
      <c r="H44">
        <f>C27</f>
        <v>50</v>
      </c>
      <c r="I44">
        <f ca="1">C31</f>
        <v>43.96</v>
      </c>
      <c r="J44">
        <f>C27</f>
        <v>50</v>
      </c>
      <c r="K44">
        <f>C32</f>
        <v>48</v>
      </c>
    </row>
    <row r="45" spans="1:27" x14ac:dyDescent="0.3">
      <c r="B45">
        <f>D27</f>
        <v>60</v>
      </c>
      <c r="C45">
        <f>D28</f>
        <v>58.961200000000012</v>
      </c>
      <c r="D45">
        <f>D27</f>
        <v>60</v>
      </c>
      <c r="E45">
        <f ca="1">D29</f>
        <v>58.755360000000003</v>
      </c>
      <c r="F45">
        <f>D27</f>
        <v>60</v>
      </c>
      <c r="G45">
        <f>D30</f>
        <v>45.383038992857138</v>
      </c>
      <c r="H45">
        <f>D27</f>
        <v>60</v>
      </c>
      <c r="I45">
        <f ca="1">D31</f>
        <v>52.664079999999998</v>
      </c>
      <c r="J45">
        <f>D27</f>
        <v>60</v>
      </c>
      <c r="K45">
        <f>D32</f>
        <v>76.8</v>
      </c>
    </row>
    <row r="46" spans="1:27" x14ac:dyDescent="0.3">
      <c r="B46">
        <f>E27</f>
        <v>70</v>
      </c>
      <c r="C46">
        <f>E28</f>
        <v>77.946706400000011</v>
      </c>
      <c r="D46">
        <f>E27</f>
        <v>70</v>
      </c>
      <c r="E46">
        <f ca="1">E29</f>
        <v>76.852010880000009</v>
      </c>
      <c r="F46">
        <f>E27</f>
        <v>70</v>
      </c>
      <c r="G46">
        <f>E30</f>
        <v>50.375173282071422</v>
      </c>
      <c r="H46">
        <f>E27</f>
        <v>70</v>
      </c>
      <c r="I46">
        <f ca="1">E31</f>
        <v>63.091567839999996</v>
      </c>
      <c r="J46">
        <f>E27</f>
        <v>70</v>
      </c>
      <c r="K46">
        <f>E32</f>
        <v>122.88</v>
      </c>
    </row>
    <row r="47" spans="1:27" x14ac:dyDescent="0.3">
      <c r="B47">
        <f>F27</f>
        <v>80</v>
      </c>
      <c r="C47">
        <f>F28</f>
        <v>103.04554586080002</v>
      </c>
      <c r="D47">
        <f>F27</f>
        <v>80</v>
      </c>
      <c r="E47">
        <f ca="1">F29</f>
        <v>100.52243023104</v>
      </c>
      <c r="F47">
        <f>F27</f>
        <v>80</v>
      </c>
      <c r="G47">
        <f ca="1">F31</f>
        <v>75.583698272319992</v>
      </c>
      <c r="H47">
        <f>F27</f>
        <v>80</v>
      </c>
      <c r="I47">
        <f ca="1">F31</f>
        <v>75.583698272319992</v>
      </c>
      <c r="J47">
        <f>F27</f>
        <v>80</v>
      </c>
      <c r="K47">
        <f>F32</f>
        <v>196.608</v>
      </c>
    </row>
  </sheetData>
  <mergeCells count="2">
    <mergeCell ref="A23:F23"/>
    <mergeCell ref="N31:AA3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019-602E-498D-BE09-31ABDE0CD76C}">
  <dimension ref="A1:AA47"/>
  <sheetViews>
    <sheetView zoomScale="70" zoomScaleNormal="70"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39.5</v>
      </c>
      <c r="D2">
        <f t="shared" ref="D2:M2" si="0">C2-(C2/100*D1)</f>
        <v>39.104999999999997</v>
      </c>
      <c r="E2">
        <f t="shared" si="0"/>
        <v>38.322899999999997</v>
      </c>
      <c r="F2">
        <f t="shared" si="0"/>
        <v>37.173212999999997</v>
      </c>
      <c r="G2">
        <f t="shared" si="0"/>
        <v>35.686284479999998</v>
      </c>
      <c r="H2">
        <f t="shared" si="0"/>
        <v>33.901970255999998</v>
      </c>
      <c r="I2">
        <f t="shared" si="0"/>
        <v>31.867852040639999</v>
      </c>
      <c r="J2">
        <f t="shared" si="0"/>
        <v>29.6371023977952</v>
      </c>
      <c r="K2">
        <f t="shared" si="0"/>
        <v>27.266134205971582</v>
      </c>
      <c r="L2">
        <f t="shared" si="0"/>
        <v>24.812182127434141</v>
      </c>
      <c r="M2">
        <f t="shared" si="0"/>
        <v>22.330963914690727</v>
      </c>
      <c r="N2" s="8"/>
      <c r="O2" s="21"/>
      <c r="Q2" s="3" t="s">
        <v>0</v>
      </c>
      <c r="R2" s="16">
        <f>B27+ ((1 -((C2 / 39.5) * 0.7 )-((C3 / 100) * 0.3 )) * 100)</f>
        <v>45.000000000000007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45</v>
      </c>
      <c r="T3" s="23" t="s">
        <v>8</v>
      </c>
    </row>
    <row r="4" spans="1:20" ht="18" customHeight="1" x14ac:dyDescent="0.3">
      <c r="A4" s="4" t="s">
        <v>17</v>
      </c>
      <c r="B4" s="4" t="s">
        <v>18</v>
      </c>
      <c r="C4" s="10">
        <v>47</v>
      </c>
      <c r="D4">
        <f>C4-(C4/100*D1)</f>
        <v>46.53</v>
      </c>
      <c r="E4">
        <f t="shared" ref="E4:M4" si="2">D4-(D4/100*E1)</f>
        <v>45.599400000000003</v>
      </c>
      <c r="F4">
        <f t="shared" si="2"/>
        <v>44.231418000000005</v>
      </c>
      <c r="G4">
        <f t="shared" si="2"/>
        <v>42.462161280000004</v>
      </c>
      <c r="H4">
        <f t="shared" si="2"/>
        <v>40.339053216000003</v>
      </c>
      <c r="I4">
        <f t="shared" si="2"/>
        <v>37.918710023040006</v>
      </c>
      <c r="J4">
        <f t="shared" si="2"/>
        <v>35.264400321427203</v>
      </c>
      <c r="K4">
        <f t="shared" si="2"/>
        <v>32.443248295713026</v>
      </c>
      <c r="L4">
        <f t="shared" si="2"/>
        <v>29.523355949098853</v>
      </c>
      <c r="M4">
        <f t="shared" si="2"/>
        <v>26.571020354188967</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45</v>
      </c>
      <c r="Q4" s="5" t="s">
        <v>2</v>
      </c>
      <c r="R4" s="5">
        <f>B27 - 9*R11</f>
        <v>46.337142857142858</v>
      </c>
      <c r="T4" s="1">
        <f ca="1">(R2/100*20)+(R3/100*20)+(R4/100*25)+(R5/100*20)+(R6/100*15)</f>
        <v>45.334285714285713</v>
      </c>
    </row>
    <row r="5" spans="1:20" x14ac:dyDescent="0.3">
      <c r="A5" s="4" t="s">
        <v>17</v>
      </c>
      <c r="B5" s="4" t="s">
        <v>19</v>
      </c>
      <c r="C5" s="10">
        <v>3.3</v>
      </c>
      <c r="L5" s="8"/>
      <c r="M5" s="8">
        <f>C5-(C5/100*12)</f>
        <v>2.9039999999999999</v>
      </c>
      <c r="N5" s="8"/>
      <c r="O5" s="18">
        <f ca="1">FORECAST(C5, OFFSET(Strength_Normative_Data!$O$3, MATCH(C5, Strength_Normative_Data!$P$3:$P$17, -1)-1, 0, 2), OFFSET(Strength_Normative_Data!$P$3, MATCH(C5, Strength_Normative_Data!$P$3:$P$17, -1)-1, 0, 2))</f>
        <v>45.000000000000014</v>
      </c>
      <c r="Q5" s="6" t="s">
        <v>29</v>
      </c>
      <c r="R5" s="6">
        <f ca="1">((O14/100*30)+(O15/100*25)+(O16/100*30)+(O17/100*15))</f>
        <v>45</v>
      </c>
    </row>
    <row r="6" spans="1:20" x14ac:dyDescent="0.3">
      <c r="A6" s="4" t="s">
        <v>17</v>
      </c>
      <c r="B6" s="4" t="s">
        <v>20</v>
      </c>
      <c r="C6" s="10">
        <v>41.5</v>
      </c>
      <c r="L6" s="8"/>
      <c r="M6" s="8">
        <f>C6-(C6/100*12)</f>
        <v>36.520000000000003</v>
      </c>
      <c r="N6" s="8"/>
      <c r="O6" s="18">
        <f ca="1">FORECAST(C6, OFFSET(Strength_Normative_Data!$J$3, MATCH(C6, Strength_Normative_Data!$K$3:$K$16, -1)-1, 0, 2), OFFSET(Strength_Normative_Data!$K$3, MATCH(C6, Strength_Normative_Data!$K$3:$K$16, -1)-1, 0, 2))</f>
        <v>45</v>
      </c>
      <c r="Q6" s="7" t="s">
        <v>4</v>
      </c>
      <c r="R6" s="7">
        <f>((O18/100*60)+(O19/100*40))</f>
        <v>45</v>
      </c>
    </row>
    <row r="7" spans="1:20" x14ac:dyDescent="0.3">
      <c r="A7" s="5" t="s">
        <v>21</v>
      </c>
      <c r="B7" s="5" t="s">
        <v>22</v>
      </c>
      <c r="C7" s="11">
        <v>23</v>
      </c>
      <c r="L7" s="8"/>
      <c r="M7" s="8">
        <f>C7+(C7/100*6)</f>
        <v>24.38</v>
      </c>
      <c r="N7" s="8"/>
      <c r="O7" s="22"/>
    </row>
    <row r="8" spans="1:20" x14ac:dyDescent="0.3">
      <c r="A8" s="5" t="s">
        <v>21</v>
      </c>
      <c r="B8" s="5" t="s">
        <v>23</v>
      </c>
      <c r="C8" s="11">
        <v>0.6</v>
      </c>
      <c r="L8" s="8"/>
      <c r="M8" s="8">
        <f>C8+(C8/100*4)</f>
        <v>0.624</v>
      </c>
      <c r="N8" s="8"/>
      <c r="O8" s="22">
        <f xml:space="preserve">
IF(C8&lt;=0.4,0,
IF(C8&lt;=0.5,20*(C8-0.4)/0.1,
IF(C8&lt;=0.6,20+40*(C8-0.5)/0.1,
60+40*(MIN(C8,0.75)-0.6)/0.15)))</f>
        <v>59.999999999999986</v>
      </c>
    </row>
    <row r="9" spans="1:20" x14ac:dyDescent="0.3">
      <c r="A9" s="5" t="s">
        <v>21</v>
      </c>
      <c r="B9" s="5" t="s">
        <v>24</v>
      </c>
      <c r="C9" s="11">
        <v>5.6</v>
      </c>
      <c r="L9" s="8"/>
      <c r="M9" s="8"/>
      <c r="N9" s="8"/>
      <c r="O9" s="22"/>
    </row>
    <row r="10" spans="1:20" x14ac:dyDescent="0.3">
      <c r="A10" s="5" t="s">
        <v>21</v>
      </c>
      <c r="B10" s="5" t="s">
        <v>25</v>
      </c>
      <c r="C10" s="11">
        <v>5.9</v>
      </c>
      <c r="L10" s="8"/>
      <c r="M10" s="8">
        <f>C10+(C10/100*5)</f>
        <v>6.1950000000000003</v>
      </c>
      <c r="N10" s="8"/>
      <c r="O10" s="22">
        <f xml:space="preserve">
IF(C10&lt;5.7,10*(C10/5.7),
IF(C10&lt;6.5,10+40*(C10-5.7)/0.8,
50+50*(MIN(C10,9)-6.5)/2.5))</f>
        <v>20.000000000000007</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42.428571428571431</v>
      </c>
      <c r="R11">
        <f xml:space="preserve">
IF(Q11&lt;=10,1.5-0.1*Q11,
IF(Q11&lt;=60,0.5-0.02*(Q11-10),
-0.5-0.03*(Q11-60)))</f>
        <v>-0.14857142857142858</v>
      </c>
    </row>
    <row r="12" spans="1:20" x14ac:dyDescent="0.3">
      <c r="A12" s="5" t="s">
        <v>21</v>
      </c>
      <c r="B12" s="5" t="s">
        <v>27</v>
      </c>
      <c r="C12" s="11">
        <v>1.3</v>
      </c>
      <c r="L12" s="8"/>
      <c r="M12" s="8">
        <f>C12+(C12/100*6)</f>
        <v>1.3780000000000001</v>
      </c>
      <c r="N12" s="8"/>
      <c r="O12" s="5">
        <f>C12*100</f>
        <v>130</v>
      </c>
      <c r="P12" s="5">
        <f xml:space="preserve">
IF(O12&lt;80,5*(O12/80),
IF(O12&lt;100,10+20*(O12-80)/20,
IF(O12&lt;130,30+25*(O12-100)/30,
IF(O12&lt;160,55+25*(O12-130)/30,
IF(O12&lt;200,80+20*(O12-160)/40,100)))))</f>
        <v>55</v>
      </c>
    </row>
    <row r="13" spans="1:20" x14ac:dyDescent="0.3">
      <c r="A13" s="5" t="s">
        <v>21</v>
      </c>
      <c r="B13" s="5" t="s">
        <v>28</v>
      </c>
      <c r="C13" s="11">
        <v>1.5</v>
      </c>
      <c r="L13" s="8"/>
      <c r="M13" s="8">
        <f>C13+(C13/100*18)</f>
        <v>1.77</v>
      </c>
      <c r="N13" s="8"/>
      <c r="O13" s="5">
        <f xml:space="preserve">
IF(C13&lt;1,10*(C13/1),
IF(C13&lt;3,10+40*(C13-1)/2,
50+50*(MIN(C13,10)-3)/7))</f>
        <v>20</v>
      </c>
    </row>
    <row r="14" spans="1:20" x14ac:dyDescent="0.3">
      <c r="A14" s="6" t="s">
        <v>29</v>
      </c>
      <c r="B14" s="6" t="s">
        <v>30</v>
      </c>
      <c r="C14" s="12">
        <v>1.43</v>
      </c>
      <c r="L14" s="8"/>
      <c r="M14" s="8">
        <f>C14+(C14/100*6)</f>
        <v>1.5158</v>
      </c>
      <c r="N14" s="8"/>
      <c r="O14" s="12">
        <v>45</v>
      </c>
    </row>
    <row r="15" spans="1:20" x14ac:dyDescent="0.3">
      <c r="A15" s="6" t="s">
        <v>29</v>
      </c>
      <c r="B15" s="6" t="s">
        <v>31</v>
      </c>
      <c r="C15" s="12">
        <v>6.5</v>
      </c>
      <c r="L15" s="8"/>
      <c r="M15" s="8">
        <f>C15+(C15/100*10)</f>
        <v>7.15</v>
      </c>
      <c r="N15" s="8"/>
      <c r="O15" s="12">
        <f ca="1">FORECAST(C15, OFFSET(Mobility_Normative_Data!$E$3, MATCH(C15, Mobility_Normative_Data!$F$3:$F$18, 1)-1, 0, 2), OFFSET(Mobility_Normative_Data!$F$3, MATCH(C15, Mobility_Normative_Data!$F$3:$F$18, 1)-1, 0, 2))</f>
        <v>45</v>
      </c>
    </row>
    <row r="16" spans="1:20" x14ac:dyDescent="0.3">
      <c r="A16" s="6" t="s">
        <v>29</v>
      </c>
      <c r="B16" s="6" t="s">
        <v>32</v>
      </c>
      <c r="C16" s="12">
        <v>37</v>
      </c>
      <c r="L16" s="8"/>
      <c r="M16" s="8">
        <f>C16+(C16/100*20)</f>
        <v>44.4</v>
      </c>
      <c r="N16" s="8"/>
      <c r="O16" s="12">
        <f ca="1">FORECAST(C16, OFFSET(Mobility_Normative_Data!$I$3, MATCH(C16, Mobility_Normative_Data!$J$3:$J$17, -1)-1, 0, 2), OFFSET(Mobility_Normative_Data!$J$3, MATCH(C16, Mobility_Normative_Data!$J$3:$J$17, -1)-1, 0, 2))</f>
        <v>45</v>
      </c>
    </row>
    <row r="17" spans="1:27" x14ac:dyDescent="0.3">
      <c r="A17" s="6" t="s">
        <v>29</v>
      </c>
      <c r="B17" s="6" t="s">
        <v>33</v>
      </c>
      <c r="C17" s="12">
        <v>32.5</v>
      </c>
      <c r="L17" s="8"/>
      <c r="M17" s="8">
        <f>C17+(C17/100*10)</f>
        <v>35.75</v>
      </c>
      <c r="N17" s="8"/>
      <c r="O17" s="12">
        <f ca="1">FORECAST(C17, OFFSET(Mobility_Normative_Data!$M$3, MATCH(C17, Mobility_Normative_Data!$N$3:$N$17, -1)-1, 0, 2), OFFSET(Mobility_Normative_Data!$N$3, MATCH(C17, Mobility_Normative_Data!$N$3:$N$17, -1)-1, 0, 2))</f>
        <v>45</v>
      </c>
    </row>
    <row r="18" spans="1:27" x14ac:dyDescent="0.3">
      <c r="A18" s="7" t="s">
        <v>34</v>
      </c>
      <c r="B18" s="7" t="s">
        <v>35</v>
      </c>
      <c r="C18" s="13">
        <v>0</v>
      </c>
      <c r="L18" s="8"/>
      <c r="M18" s="8">
        <f>C18 +(-0.2)</f>
        <v>-0.2</v>
      </c>
      <c r="N18" s="8"/>
      <c r="O18" s="20">
        <f>MAX(18,B27-(C18*25))</f>
        <v>45</v>
      </c>
    </row>
    <row r="19" spans="1:27" x14ac:dyDescent="0.3">
      <c r="A19" s="7" t="s">
        <v>34</v>
      </c>
      <c r="B19" s="7" t="s">
        <v>36</v>
      </c>
      <c r="C19" s="13">
        <v>0</v>
      </c>
      <c r="L19" s="8"/>
      <c r="M19" s="8">
        <f>C19+(-0.2)</f>
        <v>-0.2</v>
      </c>
      <c r="N19" s="8"/>
      <c r="O19" s="20">
        <f>MAX(18,B27-(J1925))</f>
        <v>45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45</v>
      </c>
      <c r="C27">
        <f>B27+10</f>
        <v>55</v>
      </c>
      <c r="D27">
        <f>C27+10</f>
        <v>65</v>
      </c>
      <c r="E27">
        <f>D27+10</f>
        <v>75</v>
      </c>
      <c r="F27">
        <f>E27+10</f>
        <v>85</v>
      </c>
    </row>
    <row r="28" spans="1:27" x14ac:dyDescent="0.3">
      <c r="A28" t="s">
        <v>0</v>
      </c>
      <c r="B28" s="24">
        <f>R2</f>
        <v>45.000000000000007</v>
      </c>
      <c r="C28">
        <f>B28+(B28/100*11.5)</f>
        <v>50.175000000000011</v>
      </c>
      <c r="D28">
        <f>C28+(C28/100*32.2)</f>
        <v>66.331350000000015</v>
      </c>
      <c r="E28">
        <f>D28+(D28/100*32.2)</f>
        <v>87.690044700000016</v>
      </c>
      <c r="F28">
        <f>E28+(E28/100*32.2)</f>
        <v>115.92623909340003</v>
      </c>
    </row>
    <row r="29" spans="1:27" x14ac:dyDescent="0.3">
      <c r="A29" t="s">
        <v>1</v>
      </c>
      <c r="B29">
        <f ca="1">R3</f>
        <v>45</v>
      </c>
      <c r="C29">
        <f ca="1">B29+(B29/100*12.3)</f>
        <v>50.534999999999997</v>
      </c>
      <c r="D29">
        <f ca="1">C29+(C29/100*30.8)</f>
        <v>66.099779999999996</v>
      </c>
      <c r="E29">
        <f ca="1">D29+(D29/100*30.8)</f>
        <v>86.45851223999999</v>
      </c>
      <c r="F29">
        <f ca="1">E29+(E29/100*30.8)</f>
        <v>113.08773400991998</v>
      </c>
    </row>
    <row r="30" spans="1:27" x14ac:dyDescent="0.3">
      <c r="A30" t="s">
        <v>2</v>
      </c>
      <c r="B30">
        <f>R4</f>
        <v>46.337142857142858</v>
      </c>
      <c r="C30">
        <f>B30+(B30/100*5.5)</f>
        <v>48.885685714285714</v>
      </c>
      <c r="D30">
        <f>C30+(C30/100*11)</f>
        <v>54.263111142857142</v>
      </c>
      <c r="E30">
        <f>D30+(D30/100*11)</f>
        <v>60.232053368571428</v>
      </c>
      <c r="F30">
        <f>E30+(E30/100*11)</f>
        <v>66.857579239114287</v>
      </c>
    </row>
    <row r="31" spans="1:27" x14ac:dyDescent="0.3">
      <c r="A31" t="s">
        <v>3</v>
      </c>
      <c r="B31">
        <f ca="1">R5</f>
        <v>45</v>
      </c>
      <c r="C31">
        <f ca="1">B31+(B31/100*9.9)</f>
        <v>49.454999999999998</v>
      </c>
      <c r="D31">
        <f ca="1">C31+(C31/100*19.8)</f>
        <v>59.24709</v>
      </c>
      <c r="E31">
        <f ca="1">D31+(D31/100*19.8)</f>
        <v>70.978013820000001</v>
      </c>
      <c r="F31">
        <f ca="1">E31+(E31/100*19.8)</f>
        <v>85.031660556359995</v>
      </c>
      <c r="N31" s="46" t="s">
        <v>104</v>
      </c>
      <c r="O31" s="46"/>
      <c r="P31" s="46"/>
      <c r="Q31" s="46"/>
      <c r="R31" s="46"/>
      <c r="S31" s="46"/>
      <c r="T31" s="46"/>
      <c r="U31" s="46"/>
      <c r="V31" s="46"/>
      <c r="W31" s="46"/>
      <c r="X31" s="46"/>
      <c r="Y31" s="46"/>
      <c r="Z31" s="46"/>
      <c r="AA31" s="46"/>
    </row>
    <row r="32" spans="1:27" ht="86.4" x14ac:dyDescent="0.3">
      <c r="A32" t="s">
        <v>4</v>
      </c>
      <c r="B32">
        <f>R6</f>
        <v>45</v>
      </c>
      <c r="C32">
        <f>B32+(B32/100*20)</f>
        <v>54</v>
      </c>
      <c r="D32">
        <f>C32+(C32/100*60)</f>
        <v>86.4</v>
      </c>
      <c r="E32">
        <f>D32+(D32/100*60)</f>
        <v>138.24</v>
      </c>
      <c r="F32">
        <f>E32+(E32/100*60)</f>
        <v>221.18400000000003</v>
      </c>
      <c r="N32" s="2" t="s">
        <v>103</v>
      </c>
      <c r="O32" s="2" t="s">
        <v>137</v>
      </c>
      <c r="P32" s="2"/>
      <c r="Q32" s="2" t="s">
        <v>103</v>
      </c>
      <c r="R32" s="2" t="s">
        <v>138</v>
      </c>
      <c r="S32" s="2"/>
      <c r="T32" s="2" t="s">
        <v>103</v>
      </c>
      <c r="U32" s="2" t="s">
        <v>139</v>
      </c>
      <c r="V32" s="2"/>
      <c r="W32" s="2" t="s">
        <v>103</v>
      </c>
      <c r="X32" s="2" t="s">
        <v>140</v>
      </c>
      <c r="Y32" s="2"/>
      <c r="Z32" s="2" t="s">
        <v>103</v>
      </c>
      <c r="AA32" s="2" t="s">
        <v>141</v>
      </c>
    </row>
    <row r="33" spans="1:27" x14ac:dyDescent="0.3">
      <c r="N33" s="2">
        <f>B27</f>
        <v>45</v>
      </c>
      <c r="O33" s="27">
        <f>R2</f>
        <v>45.000000000000007</v>
      </c>
      <c r="P33" s="2"/>
      <c r="Q33" s="2">
        <f>N33</f>
        <v>45</v>
      </c>
      <c r="R33" s="2">
        <f ca="1">R3</f>
        <v>45</v>
      </c>
      <c r="S33" s="2"/>
      <c r="T33" s="2">
        <f>N33</f>
        <v>45</v>
      </c>
      <c r="U33" s="2">
        <f>R4</f>
        <v>46.337142857142858</v>
      </c>
      <c r="V33" s="2"/>
      <c r="W33" s="2">
        <f>N33</f>
        <v>45</v>
      </c>
      <c r="X33" s="2">
        <f ca="1">R5</f>
        <v>45</v>
      </c>
      <c r="Y33" s="2"/>
      <c r="Z33" s="2">
        <f>N33</f>
        <v>45</v>
      </c>
      <c r="AA33">
        <f>R6</f>
        <v>45</v>
      </c>
    </row>
    <row r="34" spans="1:27" x14ac:dyDescent="0.3">
      <c r="N34" s="2">
        <f>N33+1</f>
        <v>46</v>
      </c>
      <c r="O34" s="2">
        <f>O33+(O33*0.0115)</f>
        <v>45.517500000000005</v>
      </c>
      <c r="P34" s="2"/>
      <c r="Q34" s="2">
        <f>Q33+1</f>
        <v>46</v>
      </c>
      <c r="R34" s="2">
        <f ca="1">R33+(R33*0.0123)</f>
        <v>45.5535</v>
      </c>
      <c r="S34" s="2"/>
      <c r="T34" s="2">
        <f>T33+1</f>
        <v>46</v>
      </c>
      <c r="U34" s="2">
        <f t="shared" ref="U34:U43" si="3">U33+(U33*0.0055)</f>
        <v>46.591997142857146</v>
      </c>
      <c r="V34" s="2"/>
      <c r="W34" s="2">
        <f>W33+1</f>
        <v>46</v>
      </c>
      <c r="X34" s="2">
        <f ca="1">X33+(X33*0.0099)</f>
        <v>45.445500000000003</v>
      </c>
      <c r="Y34" s="2"/>
      <c r="Z34" s="2">
        <f>Z33+1</f>
        <v>46</v>
      </c>
      <c r="AA34">
        <f>AA33+(AA33*0.02)</f>
        <v>45.9</v>
      </c>
    </row>
    <row r="35" spans="1:27" x14ac:dyDescent="0.3">
      <c r="N35" s="2">
        <f t="shared" ref="N35:N43" si="4">N34+1</f>
        <v>47</v>
      </c>
      <c r="O35" s="2">
        <f t="shared" ref="O35:O43" si="5">O34+(O34*0.0115)</f>
        <v>46.040951250000006</v>
      </c>
      <c r="P35" s="2"/>
      <c r="Q35" s="2">
        <f t="shared" ref="Q35:Q43" si="6">Q34+1</f>
        <v>47</v>
      </c>
      <c r="R35" s="2">
        <f t="shared" ref="R35:R43" ca="1" si="7">R34+(R34*0.0123)</f>
        <v>46.113808050000003</v>
      </c>
      <c r="S35" s="2"/>
      <c r="T35" s="2">
        <f t="shared" ref="T35:T43" si="8">T34+1</f>
        <v>47</v>
      </c>
      <c r="U35" s="2">
        <f t="shared" si="3"/>
        <v>46.848253127142861</v>
      </c>
      <c r="V35" s="2"/>
      <c r="W35" s="2">
        <f t="shared" ref="W35:W43" si="9">W34+1</f>
        <v>47</v>
      </c>
      <c r="X35" s="2">
        <f t="shared" ref="X35:X43" ca="1" si="10">X34+(X34*0.0099)</f>
        <v>45.89541045</v>
      </c>
      <c r="Y35" s="2"/>
      <c r="Z35" s="2">
        <f t="shared" ref="Z35:Z43" si="11">Z34+1</f>
        <v>47</v>
      </c>
      <c r="AA35">
        <f t="shared" ref="AA35:AA43" si="12">AA34+(AA34*0.02)</f>
        <v>46.817999999999998</v>
      </c>
    </row>
    <row r="36" spans="1:27" x14ac:dyDescent="0.3">
      <c r="A36" t="s">
        <v>8</v>
      </c>
      <c r="N36" s="2">
        <f t="shared" si="4"/>
        <v>48</v>
      </c>
      <c r="O36" s="2">
        <f t="shared" si="5"/>
        <v>46.570422189375009</v>
      </c>
      <c r="P36" s="2"/>
      <c r="Q36" s="2">
        <f t="shared" si="6"/>
        <v>48</v>
      </c>
      <c r="R36" s="2">
        <f t="shared" ca="1" si="7"/>
        <v>46.681007889015</v>
      </c>
      <c r="S36" s="2"/>
      <c r="T36" s="2">
        <f t="shared" si="8"/>
        <v>48</v>
      </c>
      <c r="U36" s="2">
        <f t="shared" si="3"/>
        <v>47.105918519342147</v>
      </c>
      <c r="V36" s="2"/>
      <c r="W36" s="2">
        <f t="shared" si="9"/>
        <v>48</v>
      </c>
      <c r="X36" s="2">
        <f t="shared" ca="1" si="10"/>
        <v>46.349775013455002</v>
      </c>
      <c r="Y36" s="2"/>
      <c r="Z36" s="2">
        <f t="shared" si="11"/>
        <v>48</v>
      </c>
      <c r="AA36">
        <f t="shared" si="12"/>
        <v>47.754359999999998</v>
      </c>
    </row>
    <row r="37" spans="1:27" x14ac:dyDescent="0.3">
      <c r="A37" s="1">
        <f ca="1">(B28/100*20)+(B29/100*20)+(B30/100*25)+(B31/100*20)+(B32/100*15)</f>
        <v>45.334285714285713</v>
      </c>
      <c r="N37" s="2">
        <f t="shared" si="4"/>
        <v>49</v>
      </c>
      <c r="O37" s="2">
        <f t="shared" si="5"/>
        <v>47.105982044552825</v>
      </c>
      <c r="P37" s="2"/>
      <c r="Q37" s="2">
        <f t="shared" si="6"/>
        <v>49</v>
      </c>
      <c r="R37" s="2">
        <f t="shared" ca="1" si="7"/>
        <v>47.255184286049882</v>
      </c>
      <c r="S37" s="2"/>
      <c r="T37" s="2">
        <f t="shared" si="8"/>
        <v>49</v>
      </c>
      <c r="U37" s="2">
        <f t="shared" si="3"/>
        <v>47.365001071198527</v>
      </c>
      <c r="V37" s="2"/>
      <c r="W37" s="2">
        <f t="shared" si="9"/>
        <v>49</v>
      </c>
      <c r="X37" s="2">
        <f t="shared" ca="1" si="10"/>
        <v>46.808637786088205</v>
      </c>
      <c r="Y37" s="2"/>
      <c r="Z37" s="2">
        <f t="shared" si="11"/>
        <v>49</v>
      </c>
      <c r="AA37">
        <f t="shared" si="12"/>
        <v>48.7094472</v>
      </c>
    </row>
    <row r="38" spans="1:27" x14ac:dyDescent="0.3">
      <c r="N38" s="2">
        <f t="shared" si="4"/>
        <v>50</v>
      </c>
      <c r="O38" s="2">
        <f t="shared" si="5"/>
        <v>47.647700838065184</v>
      </c>
      <c r="P38" s="2"/>
      <c r="Q38" s="2">
        <f t="shared" si="6"/>
        <v>50</v>
      </c>
      <c r="R38" s="2">
        <f t="shared" ca="1" si="7"/>
        <v>47.836423052768296</v>
      </c>
      <c r="S38" s="2"/>
      <c r="T38" s="2">
        <f t="shared" si="8"/>
        <v>50</v>
      </c>
      <c r="U38" s="2">
        <f t="shared" si="3"/>
        <v>47.625508577090116</v>
      </c>
      <c r="V38" s="2"/>
      <c r="W38" s="2">
        <f t="shared" si="9"/>
        <v>50</v>
      </c>
      <c r="X38" s="2">
        <f t="shared" ca="1" si="10"/>
        <v>47.272043300170481</v>
      </c>
      <c r="Y38" s="2"/>
      <c r="Z38" s="2">
        <f t="shared" si="11"/>
        <v>50</v>
      </c>
      <c r="AA38">
        <f t="shared" si="12"/>
        <v>49.683636143999998</v>
      </c>
    </row>
    <row r="39" spans="1:27" x14ac:dyDescent="0.3">
      <c r="N39" s="2">
        <f t="shared" si="4"/>
        <v>51</v>
      </c>
      <c r="O39" s="2">
        <f t="shared" si="5"/>
        <v>48.195649397702937</v>
      </c>
      <c r="P39" s="2"/>
      <c r="Q39" s="2">
        <f t="shared" si="6"/>
        <v>51</v>
      </c>
      <c r="R39" s="2">
        <f t="shared" ca="1" si="7"/>
        <v>48.424811056317346</v>
      </c>
      <c r="S39" s="2"/>
      <c r="T39" s="2">
        <f t="shared" si="8"/>
        <v>51</v>
      </c>
      <c r="U39" s="2">
        <f t="shared" si="3"/>
        <v>47.887448874264109</v>
      </c>
      <c r="V39" s="2"/>
      <c r="W39" s="2">
        <f t="shared" si="9"/>
        <v>51</v>
      </c>
      <c r="X39" s="2">
        <f t="shared" ca="1" si="10"/>
        <v>47.740036528842168</v>
      </c>
      <c r="Y39" s="2"/>
      <c r="Z39" s="2">
        <f t="shared" si="11"/>
        <v>51</v>
      </c>
      <c r="AA39">
        <f t="shared" si="12"/>
        <v>50.677308866879997</v>
      </c>
    </row>
    <row r="40" spans="1:27" x14ac:dyDescent="0.3">
      <c r="N40" s="2">
        <f t="shared" si="4"/>
        <v>52</v>
      </c>
      <c r="O40" s="2">
        <f t="shared" si="5"/>
        <v>48.749899365776521</v>
      </c>
      <c r="P40" s="2"/>
      <c r="Q40" s="2">
        <f t="shared" si="6"/>
        <v>52</v>
      </c>
      <c r="R40" s="2">
        <f t="shared" ca="1" si="7"/>
        <v>49.020436232310047</v>
      </c>
      <c r="S40" s="2"/>
      <c r="T40" s="2">
        <f t="shared" si="8"/>
        <v>52</v>
      </c>
      <c r="U40" s="2">
        <f t="shared" si="3"/>
        <v>48.150829843072565</v>
      </c>
      <c r="V40" s="2"/>
      <c r="W40" s="2">
        <f t="shared" si="9"/>
        <v>52</v>
      </c>
      <c r="X40" s="2">
        <f t="shared" ca="1" si="10"/>
        <v>48.212662890477702</v>
      </c>
      <c r="Y40" s="2"/>
      <c r="Z40" s="2">
        <f t="shared" si="11"/>
        <v>52</v>
      </c>
      <c r="AA40">
        <f t="shared" si="12"/>
        <v>51.690855044217599</v>
      </c>
    </row>
    <row r="41" spans="1:27" x14ac:dyDescent="0.3">
      <c r="N41" s="2">
        <f t="shared" si="4"/>
        <v>53</v>
      </c>
      <c r="O41" s="2">
        <f t="shared" si="5"/>
        <v>49.310523208482948</v>
      </c>
      <c r="P41" s="2"/>
      <c r="Q41" s="2">
        <f t="shared" si="6"/>
        <v>53</v>
      </c>
      <c r="R41" s="2">
        <f t="shared" ca="1" si="7"/>
        <v>49.623387597967458</v>
      </c>
      <c r="S41" s="2"/>
      <c r="T41" s="2">
        <f t="shared" si="8"/>
        <v>53</v>
      </c>
      <c r="U41" s="2">
        <f t="shared" si="3"/>
        <v>48.415659407209461</v>
      </c>
      <c r="V41" s="2"/>
      <c r="W41" s="2">
        <f t="shared" si="9"/>
        <v>53</v>
      </c>
      <c r="X41" s="2">
        <f t="shared" ca="1" si="10"/>
        <v>48.689968253093433</v>
      </c>
      <c r="Y41" s="2"/>
      <c r="Z41" s="2">
        <f t="shared" si="11"/>
        <v>53</v>
      </c>
      <c r="AA41">
        <f t="shared" si="12"/>
        <v>52.724672145101948</v>
      </c>
    </row>
    <row r="42" spans="1:27" x14ac:dyDescent="0.3">
      <c r="B42" t="s">
        <v>12</v>
      </c>
      <c r="C42" t="s">
        <v>0</v>
      </c>
      <c r="D42" t="s">
        <v>12</v>
      </c>
      <c r="E42" t="s">
        <v>1</v>
      </c>
      <c r="F42" t="s">
        <v>12</v>
      </c>
      <c r="G42" t="s">
        <v>2</v>
      </c>
      <c r="H42" t="s">
        <v>12</v>
      </c>
      <c r="I42" t="s">
        <v>3</v>
      </c>
      <c r="J42" t="s">
        <v>12</v>
      </c>
      <c r="K42" t="s">
        <v>4</v>
      </c>
      <c r="N42" s="2">
        <f t="shared" si="4"/>
        <v>54</v>
      </c>
      <c r="O42" s="2">
        <f t="shared" si="5"/>
        <v>49.877594225380506</v>
      </c>
      <c r="P42" s="2"/>
      <c r="Q42" s="2">
        <f t="shared" si="6"/>
        <v>54</v>
      </c>
      <c r="R42" s="2">
        <f t="shared" ca="1" si="7"/>
        <v>50.23375526542246</v>
      </c>
      <c r="S42" s="2"/>
      <c r="T42" s="2">
        <f t="shared" si="8"/>
        <v>54</v>
      </c>
      <c r="U42" s="2">
        <f t="shared" si="3"/>
        <v>48.681945533949111</v>
      </c>
      <c r="V42" s="2"/>
      <c r="W42" s="2">
        <f t="shared" si="9"/>
        <v>54</v>
      </c>
      <c r="X42" s="2">
        <f t="shared" ca="1" si="10"/>
        <v>49.171998938799057</v>
      </c>
      <c r="Y42" s="2"/>
      <c r="Z42" s="2">
        <f t="shared" si="11"/>
        <v>54</v>
      </c>
      <c r="AA42">
        <f t="shared" si="12"/>
        <v>53.779165588003984</v>
      </c>
    </row>
    <row r="43" spans="1:27" x14ac:dyDescent="0.3">
      <c r="B43">
        <f>B27</f>
        <v>45</v>
      </c>
      <c r="C43">
        <f>B28</f>
        <v>45.000000000000007</v>
      </c>
      <c r="D43">
        <f>B43</f>
        <v>45</v>
      </c>
      <c r="E43">
        <f ca="1">B29</f>
        <v>45</v>
      </c>
      <c r="F43">
        <f>B27</f>
        <v>45</v>
      </c>
      <c r="G43">
        <f>B30</f>
        <v>46.337142857142858</v>
      </c>
      <c r="H43">
        <f>B27</f>
        <v>45</v>
      </c>
      <c r="I43">
        <f ca="1">B31</f>
        <v>45</v>
      </c>
      <c r="J43">
        <f>B27</f>
        <v>45</v>
      </c>
      <c r="K43">
        <f>B32</f>
        <v>45</v>
      </c>
      <c r="N43" s="2">
        <f t="shared" si="4"/>
        <v>55</v>
      </c>
      <c r="O43" s="2">
        <f t="shared" si="5"/>
        <v>50.451186558972381</v>
      </c>
      <c r="P43" s="2"/>
      <c r="Q43" s="2">
        <f t="shared" si="6"/>
        <v>55</v>
      </c>
      <c r="R43" s="2">
        <f t="shared" ca="1" si="7"/>
        <v>50.851630455187156</v>
      </c>
      <c r="S43" s="2"/>
      <c r="T43" s="2">
        <f t="shared" si="8"/>
        <v>55</v>
      </c>
      <c r="U43" s="2">
        <f t="shared" si="3"/>
        <v>48.949696234385833</v>
      </c>
      <c r="V43" s="2"/>
      <c r="W43" s="2">
        <f t="shared" si="9"/>
        <v>55</v>
      </c>
      <c r="X43" s="2">
        <f t="shared" ca="1" si="10"/>
        <v>49.65880172829317</v>
      </c>
      <c r="Y43" s="2"/>
      <c r="Z43" s="2">
        <f t="shared" si="11"/>
        <v>55</v>
      </c>
      <c r="AA43">
        <f t="shared" si="12"/>
        <v>54.854748899764061</v>
      </c>
    </row>
    <row r="44" spans="1:27" x14ac:dyDescent="0.3">
      <c r="B44">
        <f>C27</f>
        <v>55</v>
      </c>
      <c r="C44">
        <f>C28</f>
        <v>50.175000000000011</v>
      </c>
      <c r="D44">
        <f>B44</f>
        <v>55</v>
      </c>
      <c r="E44">
        <f ca="1">C29</f>
        <v>50.534999999999997</v>
      </c>
      <c r="F44">
        <f>C27</f>
        <v>55</v>
      </c>
      <c r="G44">
        <f>C30</f>
        <v>48.885685714285714</v>
      </c>
      <c r="H44">
        <f>C27</f>
        <v>55</v>
      </c>
      <c r="I44">
        <f ca="1">C31</f>
        <v>49.454999999999998</v>
      </c>
      <c r="J44">
        <f>C27</f>
        <v>55</v>
      </c>
      <c r="K44">
        <f>C32</f>
        <v>54</v>
      </c>
    </row>
    <row r="45" spans="1:27" x14ac:dyDescent="0.3">
      <c r="B45">
        <f>D27</f>
        <v>65</v>
      </c>
      <c r="C45">
        <f>D28</f>
        <v>66.331350000000015</v>
      </c>
      <c r="D45">
        <f>D27</f>
        <v>65</v>
      </c>
      <c r="E45">
        <f ca="1">D29</f>
        <v>66.099779999999996</v>
      </c>
      <c r="F45">
        <f>D27</f>
        <v>65</v>
      </c>
      <c r="G45">
        <f>D30</f>
        <v>54.263111142857142</v>
      </c>
      <c r="H45">
        <f>D27</f>
        <v>65</v>
      </c>
      <c r="I45">
        <f ca="1">D31</f>
        <v>59.24709</v>
      </c>
      <c r="J45">
        <f>D27</f>
        <v>65</v>
      </c>
      <c r="K45">
        <f>D32</f>
        <v>86.4</v>
      </c>
    </row>
    <row r="46" spans="1:27" x14ac:dyDescent="0.3">
      <c r="B46">
        <f>E27</f>
        <v>75</v>
      </c>
      <c r="C46">
        <f>E28</f>
        <v>87.690044700000016</v>
      </c>
      <c r="D46">
        <f>E27</f>
        <v>75</v>
      </c>
      <c r="E46">
        <f ca="1">E29</f>
        <v>86.45851223999999</v>
      </c>
      <c r="F46">
        <f>E27</f>
        <v>75</v>
      </c>
      <c r="G46">
        <f>E30</f>
        <v>60.232053368571428</v>
      </c>
      <c r="H46">
        <f>E27</f>
        <v>75</v>
      </c>
      <c r="I46">
        <f ca="1">E31</f>
        <v>70.978013820000001</v>
      </c>
      <c r="J46">
        <f>E27</f>
        <v>75</v>
      </c>
      <c r="K46">
        <f>E32</f>
        <v>138.24</v>
      </c>
    </row>
    <row r="47" spans="1:27" x14ac:dyDescent="0.3">
      <c r="B47">
        <f>F27</f>
        <v>85</v>
      </c>
      <c r="C47">
        <f>F28</f>
        <v>115.92623909340003</v>
      </c>
      <c r="D47">
        <f>F27</f>
        <v>85</v>
      </c>
      <c r="E47">
        <f ca="1">F29</f>
        <v>113.08773400991998</v>
      </c>
      <c r="F47">
        <f>F27</f>
        <v>85</v>
      </c>
      <c r="G47">
        <f ca="1">F31</f>
        <v>85.031660556359995</v>
      </c>
      <c r="H47">
        <f>F27</f>
        <v>85</v>
      </c>
      <c r="I47">
        <f ca="1">F31</f>
        <v>85.031660556359995</v>
      </c>
      <c r="J47">
        <f>F27</f>
        <v>85</v>
      </c>
      <c r="K47">
        <f>F32</f>
        <v>221.18400000000003</v>
      </c>
    </row>
  </sheetData>
  <mergeCells count="2">
    <mergeCell ref="A23:F23"/>
    <mergeCell ref="N31:AA3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5878-B956-4544-8358-79AF5611FADB}">
  <dimension ref="A1:AA47"/>
  <sheetViews>
    <sheetView topLeftCell="D18" zoomScale="75" zoomScaleNormal="75" workbookViewId="0">
      <selection activeCell="O34" sqref="O34"/>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30.6</v>
      </c>
      <c r="D2">
        <f t="shared" ref="D2:M2" si="0">C2-(C2/100*D1)</f>
        <v>30.294</v>
      </c>
      <c r="E2">
        <f t="shared" si="0"/>
        <v>29.688120000000001</v>
      </c>
      <c r="F2">
        <f t="shared" si="0"/>
        <v>28.797476400000001</v>
      </c>
      <c r="G2">
        <f t="shared" si="0"/>
        <v>27.645577343999999</v>
      </c>
      <c r="H2">
        <f t="shared" si="0"/>
        <v>26.263298476799999</v>
      </c>
      <c r="I2">
        <f t="shared" si="0"/>
        <v>24.687500568192</v>
      </c>
      <c r="J2">
        <f t="shared" si="0"/>
        <v>22.959375528418562</v>
      </c>
      <c r="K2">
        <f t="shared" si="0"/>
        <v>21.122625486145076</v>
      </c>
      <c r="L2">
        <f t="shared" si="0"/>
        <v>19.22158919239202</v>
      </c>
      <c r="M2">
        <f t="shared" si="0"/>
        <v>17.299430273152819</v>
      </c>
      <c r="N2" s="8"/>
      <c r="O2" s="21"/>
      <c r="Q2" s="3" t="s">
        <v>0</v>
      </c>
      <c r="R2" s="16">
        <f>B27+ ((1 -((C2 / 30.6) * 0.7 )-((C3 / 100) * 0.3 )) * 100)</f>
        <v>45.000000000000007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45</v>
      </c>
      <c r="T3" s="23" t="s">
        <v>8</v>
      </c>
    </row>
    <row r="4" spans="1:20" ht="18" customHeight="1" x14ac:dyDescent="0.3">
      <c r="A4" s="4" t="s">
        <v>17</v>
      </c>
      <c r="B4" s="4" t="s">
        <v>18</v>
      </c>
      <c r="C4" s="10">
        <v>29</v>
      </c>
      <c r="D4">
        <f>C4-(C4/100*D1)</f>
        <v>28.71</v>
      </c>
      <c r="E4">
        <f t="shared" ref="E4:M4" si="2">D4-(D4/100*E1)</f>
        <v>28.1358</v>
      </c>
      <c r="F4">
        <f t="shared" si="2"/>
        <v>27.291726000000001</v>
      </c>
      <c r="G4">
        <f t="shared" si="2"/>
        <v>26.200056960000001</v>
      </c>
      <c r="H4">
        <f t="shared" si="2"/>
        <v>24.890054112000001</v>
      </c>
      <c r="I4">
        <f t="shared" si="2"/>
        <v>23.396650865280002</v>
      </c>
      <c r="J4">
        <f t="shared" si="2"/>
        <v>21.7588853047104</v>
      </c>
      <c r="K4">
        <f t="shared" si="2"/>
        <v>20.018174480333567</v>
      </c>
      <c r="L4">
        <f t="shared" si="2"/>
        <v>18.216538777103544</v>
      </c>
      <c r="M4">
        <f t="shared" si="2"/>
        <v>16.39488489939319</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45</v>
      </c>
      <c r="Q4" s="5" t="s">
        <v>2</v>
      </c>
      <c r="R4" s="5">
        <f>B27 - 9*R11</f>
        <v>43.754142857142853</v>
      </c>
      <c r="T4" s="1" t="e">
        <f ca="1">(R2/100*20)+(R3/100*20)+(R4/100*25)+(R5/100*20)+(R6/100*15)</f>
        <v>#N/A</v>
      </c>
    </row>
    <row r="5" spans="1:20" x14ac:dyDescent="0.3">
      <c r="A5" s="4" t="s">
        <v>17</v>
      </c>
      <c r="B5" s="4" t="s">
        <v>19</v>
      </c>
      <c r="C5" s="10">
        <v>2.5499999999999998</v>
      </c>
      <c r="L5" s="8"/>
      <c r="M5" s="8">
        <f>C5-(C5/100*12)</f>
        <v>2.2439999999999998</v>
      </c>
      <c r="N5" s="8"/>
      <c r="O5" s="18">
        <f ca="1">FORECAST(C5, OFFSET(Strength_Normative_Data!$O$3, MATCH(C5, Strength_Normative_Data!$Q$3:$Q$17, -1)-1, 0, 2), OFFSET(Strength_Normative_Data!$Q$3, MATCH(C5, Strength_Normative_Data!$Q$3:$Q$17, -1)-1, 0, 2))</f>
        <v>45</v>
      </c>
      <c r="Q5" s="6" t="s">
        <v>29</v>
      </c>
      <c r="R5" s="6" t="e">
        <f ca="1">((O14/100*30)+(O15/100*25)+(O16/100*30)+(O17/100*15))</f>
        <v>#N/A</v>
      </c>
    </row>
    <row r="6" spans="1:20" x14ac:dyDescent="0.3">
      <c r="A6" s="4" t="s">
        <v>17</v>
      </c>
      <c r="B6" s="4" t="s">
        <v>20</v>
      </c>
      <c r="C6" s="10">
        <v>26</v>
      </c>
      <c r="L6" s="8"/>
      <c r="M6" s="8">
        <f>C6-(C6/100*12)</f>
        <v>22.88</v>
      </c>
      <c r="N6" s="8"/>
      <c r="O6" s="18">
        <f ca="1">FORECAST(C6, OFFSET(Strength_Normative_Data!$J$3, MATCH(C6, Strength_Normative_Data!$L$3:$L$16, -1)-1, 0, 2), OFFSET(Strength_Normative_Data!$L$3, MATCH(C6, Strength_Normative_Data!$L$3:$L$16, -1)-1, 0, 2))</f>
        <v>45</v>
      </c>
      <c r="Q6" s="7" t="s">
        <v>4</v>
      </c>
      <c r="R6" s="7">
        <f>((O18/100*60)+(O19/100*40))</f>
        <v>45</v>
      </c>
    </row>
    <row r="7" spans="1:20" x14ac:dyDescent="0.3">
      <c r="A7" s="5" t="s">
        <v>21</v>
      </c>
      <c r="B7" s="5" t="s">
        <v>22</v>
      </c>
      <c r="C7" s="11">
        <v>34</v>
      </c>
      <c r="L7" s="8"/>
      <c r="M7" s="8">
        <f>C7+(C7/100*6)</f>
        <v>36.04</v>
      </c>
      <c r="N7" s="8"/>
      <c r="O7" s="22"/>
    </row>
    <row r="8" spans="1:20" x14ac:dyDescent="0.3">
      <c r="A8" s="5" t="s">
        <v>21</v>
      </c>
      <c r="B8" s="5" t="s">
        <v>23</v>
      </c>
      <c r="C8" s="11">
        <v>0.5</v>
      </c>
      <c r="L8" s="8"/>
      <c r="M8" s="8">
        <f>C8+(C8/100*4)</f>
        <v>0.52</v>
      </c>
      <c r="N8" s="8"/>
      <c r="O8" s="22">
        <f xml:space="preserve">
IF(C8&lt;=0.4,0,
IF(C8&lt;=0.5,20*(C8-0.4)/0.1,
IF(C8&lt;=0.6,20+40*(C8-0.5)/0.1,
60+40*(MIN(C8,0.75)-0.6)/0.15)))</f>
        <v>19.999999999999993</v>
      </c>
    </row>
    <row r="9" spans="1:20" x14ac:dyDescent="0.3">
      <c r="A9" s="5" t="s">
        <v>21</v>
      </c>
      <c r="B9" s="5" t="s">
        <v>24</v>
      </c>
      <c r="C9" s="11">
        <v>5.6</v>
      </c>
      <c r="L9" s="8"/>
      <c r="M9" s="8"/>
      <c r="N9" s="8"/>
      <c r="O9" s="22"/>
    </row>
    <row r="10" spans="1:20" x14ac:dyDescent="0.3">
      <c r="A10" s="5" t="s">
        <v>21</v>
      </c>
      <c r="B10" s="5" t="s">
        <v>25</v>
      </c>
      <c r="C10" s="11">
        <v>5.7</v>
      </c>
      <c r="L10" s="8"/>
      <c r="M10" s="8">
        <f>C10+(C10/100*5)</f>
        <v>5.9850000000000003</v>
      </c>
      <c r="N10" s="8"/>
      <c r="O10" s="22">
        <f xml:space="preserve">
IF(C10&lt;5.7,10*(C10/5.7),
IF(C10&lt;6.5,10+40*(C10-5.7)/0.8,
50+50*(MIN(C10,9)-6.5)/2.5))</f>
        <v>10</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28.078571428571422</v>
      </c>
      <c r="R11">
        <f xml:space="preserve">
IF(Q11&lt;=10,1.5-0.1*Q11,
IF(Q11&lt;=60,0.5-0.02*(Q11-10),
-0.5-0.03*(Q11-60)))</f>
        <v>0.13842857142857157</v>
      </c>
    </row>
    <row r="12" spans="1:20" x14ac:dyDescent="0.3">
      <c r="A12" s="5" t="s">
        <v>21</v>
      </c>
      <c r="B12" s="5" t="s">
        <v>27</v>
      </c>
      <c r="C12" s="11">
        <v>1.05</v>
      </c>
      <c r="L12" s="8"/>
      <c r="M12" s="8">
        <f>C12+(C12/100*6)</f>
        <v>1.113</v>
      </c>
      <c r="N12" s="8"/>
      <c r="O12" s="5">
        <f>C12*100</f>
        <v>105</v>
      </c>
      <c r="P12" s="5">
        <f xml:space="preserve">
IF(O12&lt;80,5*(O12/80),
IF(O12&lt;100,10+20*(O12-80)/20,
IF(O12&lt;130,30+25*(O12-100)/30,
IF(O12&lt;160,55+25*(O12-130)/30,
IF(O12&lt;200,80+20*(O12-160)/40,100)))))</f>
        <v>34.166666666666664</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1.39</v>
      </c>
      <c r="L14" s="8"/>
      <c r="M14" s="8">
        <f>C14+(C14/100*6)</f>
        <v>1.4733999999999998</v>
      </c>
      <c r="N14" s="8"/>
      <c r="O14" s="12" t="e">
        <f ca="1">IFERROR(FORECAST(C14, OFFSET(Mobility_Normative_Data!$A$3, MATCH(C14, Mobility_Normative_Data!$C$3:$C$17, -1)-1, 0, 2), OFFSET(Mobility_Normative_Data!$C$3, MATCH(C14, Mobility_Normative_Data!$C$3:$C$17, -1)-1, 0, 2)), INDEX(Mobility_Normative_Data!$A$3:$A$17, MATCH(C14, Mobility_Normative_Data!$C$3:$C$17, -1)))</f>
        <v>#N/A</v>
      </c>
    </row>
    <row r="15" spans="1:20" x14ac:dyDescent="0.3">
      <c r="A15" s="6" t="s">
        <v>29</v>
      </c>
      <c r="B15" s="6" t="s">
        <v>31</v>
      </c>
      <c r="C15" s="12">
        <v>7</v>
      </c>
      <c r="L15" s="8"/>
      <c r="M15" s="8">
        <f>C15+(C15/100*10)</f>
        <v>7.7</v>
      </c>
      <c r="N15" s="8"/>
      <c r="O15" s="12">
        <f ca="1">FORECAST(C15, OFFSET(Mobility_Normative_Data!$E$3, MATCH(C15, Mobility_Normative_Data!$G$3:$G$18, 1)-1, 0, 2), OFFSET(Mobility_Normative_Data!$G$3, MATCH(C15, Mobility_Normative_Data!$G$3:$G$18, 1)-1, 0, 2))</f>
        <v>45</v>
      </c>
    </row>
    <row r="16" spans="1:20" x14ac:dyDescent="0.3">
      <c r="A16" s="6" t="s">
        <v>29</v>
      </c>
      <c r="B16" s="6" t="s">
        <v>32</v>
      </c>
      <c r="C16" s="12">
        <v>37</v>
      </c>
      <c r="L16" s="8"/>
      <c r="M16" s="8">
        <f>C16+(C16/100*20)</f>
        <v>44.4</v>
      </c>
      <c r="N16" s="8"/>
      <c r="O16" s="12">
        <f ca="1">FORECAST(C16, OFFSET(Mobility_Normative_Data!$I$3, MATCH(C16, Mobility_Normative_Data!$K$3:$K$17, -1)-1, 0, 2), OFFSET(Mobility_Normative_Data!$K$3, MATCH(C16, Mobility_Normative_Data!$K$3:$K$17, -1)-1, 0, 2))</f>
        <v>45</v>
      </c>
    </row>
    <row r="17" spans="1:27" x14ac:dyDescent="0.3">
      <c r="A17" s="6" t="s">
        <v>29</v>
      </c>
      <c r="B17" s="6" t="s">
        <v>33</v>
      </c>
      <c r="C17" s="12">
        <v>35.5</v>
      </c>
      <c r="L17" s="8"/>
      <c r="M17" s="8">
        <f>C17+(C17/100*10)</f>
        <v>39.049999999999997</v>
      </c>
      <c r="N17" s="8"/>
      <c r="O17" s="12">
        <f ca="1">FORECAST(C17, OFFSET(Mobility_Normative_Data!$M$3, MATCH(C17, Mobility_Normative_Data!$O$3:$O$17, -1)-1, 0, 2), OFFSET(Mobility_Normative_Data!$O$3, MATCH(C17, Mobility_Normative_Data!$O$3:$O$17, -1)-1, 0, 2))</f>
        <v>45</v>
      </c>
    </row>
    <row r="18" spans="1:27" x14ac:dyDescent="0.3">
      <c r="A18" s="7" t="s">
        <v>34</v>
      </c>
      <c r="B18" s="7" t="s">
        <v>35</v>
      </c>
      <c r="C18" s="13">
        <v>0</v>
      </c>
      <c r="L18" s="8"/>
      <c r="M18" s="8">
        <f>C18 +(-0.2)</f>
        <v>-0.2</v>
      </c>
      <c r="N18" s="8"/>
      <c r="O18" s="20">
        <f>MAX(18,B27-(C18*25))</f>
        <v>45</v>
      </c>
    </row>
    <row r="19" spans="1:27" x14ac:dyDescent="0.3">
      <c r="A19" s="7" t="s">
        <v>34</v>
      </c>
      <c r="B19" s="7" t="s">
        <v>36</v>
      </c>
      <c r="C19" s="13">
        <v>0</v>
      </c>
      <c r="L19" s="8"/>
      <c r="M19" s="8">
        <f>C19+(-0.2)</f>
        <v>-0.2</v>
      </c>
      <c r="N19" s="8"/>
      <c r="O19" s="20">
        <f>MAX(18,B27-(J1925))</f>
        <v>45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45</v>
      </c>
      <c r="C27">
        <f>B27+10</f>
        <v>55</v>
      </c>
      <c r="D27">
        <f>C27+10</f>
        <v>65</v>
      </c>
      <c r="E27">
        <f>D27+10</f>
        <v>75</v>
      </c>
      <c r="F27">
        <f>E27+10</f>
        <v>85</v>
      </c>
    </row>
    <row r="28" spans="1:27" x14ac:dyDescent="0.3">
      <c r="A28" t="s">
        <v>0</v>
      </c>
      <c r="B28" s="24">
        <f>R2</f>
        <v>45.000000000000007</v>
      </c>
      <c r="C28">
        <f>B28+(B28/100*11.5)</f>
        <v>50.175000000000011</v>
      </c>
      <c r="D28">
        <f>C28+(C28/100*32.2)</f>
        <v>66.331350000000015</v>
      </c>
      <c r="E28">
        <f>D28+(D28/100*32.2)</f>
        <v>87.690044700000016</v>
      </c>
      <c r="F28">
        <f>E28+(E28/100*32.2)</f>
        <v>115.92623909340003</v>
      </c>
    </row>
    <row r="29" spans="1:27" x14ac:dyDescent="0.3">
      <c r="A29" t="s">
        <v>1</v>
      </c>
      <c r="B29">
        <f ca="1">R3</f>
        <v>45</v>
      </c>
      <c r="C29">
        <f ca="1">B29+(B29/100*12.3)</f>
        <v>50.534999999999997</v>
      </c>
      <c r="D29">
        <f ca="1">C29+(C29/100*30.8)</f>
        <v>66.099779999999996</v>
      </c>
      <c r="E29">
        <f ca="1">D29+(D29/100*30.8)</f>
        <v>86.45851223999999</v>
      </c>
      <c r="F29">
        <f ca="1">E29+(E29/100*30.8)</f>
        <v>113.08773400991998</v>
      </c>
    </row>
    <row r="30" spans="1:27" x14ac:dyDescent="0.3">
      <c r="A30" t="s">
        <v>2</v>
      </c>
      <c r="B30">
        <f>R4</f>
        <v>43.754142857142853</v>
      </c>
      <c r="C30">
        <f>B30+(B30/100*5.5)</f>
        <v>46.160620714285713</v>
      </c>
      <c r="D30">
        <f>C30+(C30/100*11)</f>
        <v>51.238288992857143</v>
      </c>
      <c r="E30">
        <f>D30+(D30/100*11)</f>
        <v>56.874500782071429</v>
      </c>
      <c r="F30">
        <f>E30+(E30/100*11)</f>
        <v>63.130695868099288</v>
      </c>
    </row>
    <row r="31" spans="1:27" x14ac:dyDescent="0.3">
      <c r="A31" t="s">
        <v>3</v>
      </c>
      <c r="B31" t="e">
        <f ca="1">R5</f>
        <v>#N/A</v>
      </c>
      <c r="C31" t="e">
        <f ca="1">B31+(B31/100*9.9)</f>
        <v>#N/A</v>
      </c>
      <c r="D31" t="e">
        <f ca="1">C31+(C31/100*19.8)</f>
        <v>#N/A</v>
      </c>
      <c r="E31" t="e">
        <f ca="1">D31+(D31/100*19.8)</f>
        <v>#N/A</v>
      </c>
      <c r="F31" t="e">
        <f ca="1">E31+(E31/100*19.8)</f>
        <v>#N/A</v>
      </c>
      <c r="N31" s="46" t="s">
        <v>104</v>
      </c>
      <c r="O31" s="46"/>
      <c r="P31" s="46"/>
      <c r="Q31" s="46"/>
      <c r="R31" s="46"/>
      <c r="S31" s="46"/>
      <c r="T31" s="46"/>
      <c r="U31" s="46"/>
      <c r="V31" s="46"/>
      <c r="W31" s="46"/>
      <c r="X31" s="46"/>
      <c r="Y31" s="46"/>
      <c r="Z31" s="46"/>
      <c r="AA31" s="46"/>
    </row>
    <row r="32" spans="1:27" ht="100.8" x14ac:dyDescent="0.3">
      <c r="A32" t="s">
        <v>4</v>
      </c>
      <c r="B32">
        <f>R6</f>
        <v>45</v>
      </c>
      <c r="C32">
        <f>B32+(B32/100*20)</f>
        <v>54</v>
      </c>
      <c r="D32">
        <f>C32+(C32/100*60)</f>
        <v>86.4</v>
      </c>
      <c r="E32">
        <f>D32+(D32/100*60)</f>
        <v>138.24</v>
      </c>
      <c r="F32">
        <f>E32+(E32/100*60)</f>
        <v>221.18400000000003</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45</v>
      </c>
      <c r="O33" s="27">
        <f>R2</f>
        <v>45.000000000000007</v>
      </c>
      <c r="P33" s="2"/>
      <c r="Q33" s="2">
        <f>N33</f>
        <v>45</v>
      </c>
      <c r="R33" s="2">
        <f ca="1">R3</f>
        <v>45</v>
      </c>
      <c r="S33" s="2"/>
      <c r="T33" s="2">
        <f>N33</f>
        <v>45</v>
      </c>
      <c r="U33" s="2">
        <f>R4</f>
        <v>43.754142857142853</v>
      </c>
      <c r="V33" s="2"/>
      <c r="W33" s="2">
        <f>N33</f>
        <v>45</v>
      </c>
      <c r="X33" s="2" t="e">
        <f ca="1">R5</f>
        <v>#N/A</v>
      </c>
      <c r="Y33" s="2"/>
      <c r="Z33" s="2">
        <f>N33</f>
        <v>45</v>
      </c>
      <c r="AA33">
        <f>R6</f>
        <v>45</v>
      </c>
    </row>
    <row r="34" spans="1:27" x14ac:dyDescent="0.3">
      <c r="N34" s="2">
        <f>N33+1</f>
        <v>46</v>
      </c>
      <c r="O34" s="2">
        <f>O33+(O33*0.0115)</f>
        <v>45.517500000000005</v>
      </c>
      <c r="P34" s="2"/>
      <c r="Q34" s="2">
        <f>Q33+1</f>
        <v>46</v>
      </c>
      <c r="R34" s="2">
        <f ca="1">R33+(R33*0.0123)</f>
        <v>45.5535</v>
      </c>
      <c r="S34" s="2"/>
      <c r="T34" s="2">
        <f>T33+1</f>
        <v>46</v>
      </c>
      <c r="U34" s="2">
        <f t="shared" ref="U34:U43" si="3">U33+(U33*0.0055)</f>
        <v>43.99479064285714</v>
      </c>
      <c r="V34" s="2"/>
      <c r="W34" s="2">
        <f>W33+1</f>
        <v>46</v>
      </c>
      <c r="X34" s="2" t="e">
        <f ca="1">X33+(X33*0.0099)</f>
        <v>#N/A</v>
      </c>
      <c r="Y34" s="2"/>
      <c r="Z34" s="2">
        <f>Z33+1</f>
        <v>46</v>
      </c>
      <c r="AA34">
        <f>AA33+(AA33*0.02)</f>
        <v>45.9</v>
      </c>
    </row>
    <row r="35" spans="1:27" x14ac:dyDescent="0.3">
      <c r="N35" s="2">
        <f t="shared" ref="N35:N43" si="4">N34+1</f>
        <v>47</v>
      </c>
      <c r="O35" s="2">
        <f t="shared" ref="O35:O43" si="5">O34+(O34*0.0115)</f>
        <v>46.040951250000006</v>
      </c>
      <c r="P35" s="2"/>
      <c r="Q35" s="2">
        <f t="shared" ref="Q35:Q43" si="6">Q34+1</f>
        <v>47</v>
      </c>
      <c r="R35" s="2">
        <f t="shared" ref="R35:R43" ca="1" si="7">R34+(R34*0.0123)</f>
        <v>46.113808050000003</v>
      </c>
      <c r="S35" s="2"/>
      <c r="T35" s="2">
        <f t="shared" ref="T35:T43" si="8">T34+1</f>
        <v>47</v>
      </c>
      <c r="U35" s="2">
        <f t="shared" si="3"/>
        <v>44.236761991392854</v>
      </c>
      <c r="V35" s="2"/>
      <c r="W35" s="2">
        <f t="shared" ref="W35:W43" si="9">W34+1</f>
        <v>47</v>
      </c>
      <c r="X35" s="2" t="e">
        <f t="shared" ref="X35:X43" ca="1" si="10">X34+(X34*0.0099)</f>
        <v>#N/A</v>
      </c>
      <c r="Y35" s="2"/>
      <c r="Z35" s="2">
        <f t="shared" ref="Z35:Z43" si="11">Z34+1</f>
        <v>47</v>
      </c>
      <c r="AA35">
        <f t="shared" ref="AA35:AA43" si="12">AA34+(AA34*0.02)</f>
        <v>46.817999999999998</v>
      </c>
    </row>
    <row r="36" spans="1:27" x14ac:dyDescent="0.3">
      <c r="A36" t="s">
        <v>8</v>
      </c>
      <c r="N36" s="2">
        <f t="shared" si="4"/>
        <v>48</v>
      </c>
      <c r="O36" s="2">
        <f t="shared" si="5"/>
        <v>46.570422189375009</v>
      </c>
      <c r="P36" s="2"/>
      <c r="Q36" s="2">
        <f t="shared" si="6"/>
        <v>48</v>
      </c>
      <c r="R36" s="2">
        <f t="shared" ca="1" si="7"/>
        <v>46.681007889015</v>
      </c>
      <c r="S36" s="2"/>
      <c r="T36" s="2">
        <f t="shared" si="8"/>
        <v>48</v>
      </c>
      <c r="U36" s="2">
        <f t="shared" si="3"/>
        <v>44.480064182345515</v>
      </c>
      <c r="V36" s="2"/>
      <c r="W36" s="2">
        <f t="shared" si="9"/>
        <v>48</v>
      </c>
      <c r="X36" s="2" t="e">
        <f t="shared" ca="1" si="10"/>
        <v>#N/A</v>
      </c>
      <c r="Y36" s="2"/>
      <c r="Z36" s="2">
        <f t="shared" si="11"/>
        <v>48</v>
      </c>
      <c r="AA36">
        <f t="shared" si="12"/>
        <v>47.754359999999998</v>
      </c>
    </row>
    <row r="37" spans="1:27" x14ac:dyDescent="0.3">
      <c r="A37" s="1" t="e">
        <f ca="1">(B28/100*20)+(B29/100*20)+(B30/100*25)+(B31/100*20)+(B32/100*15)</f>
        <v>#N/A</v>
      </c>
      <c r="N37" s="2">
        <f t="shared" si="4"/>
        <v>49</v>
      </c>
      <c r="O37" s="2">
        <f t="shared" si="5"/>
        <v>47.105982044552825</v>
      </c>
      <c r="P37" s="2"/>
      <c r="Q37" s="2">
        <f t="shared" si="6"/>
        <v>49</v>
      </c>
      <c r="R37" s="2">
        <f t="shared" ca="1" si="7"/>
        <v>47.255184286049882</v>
      </c>
      <c r="S37" s="2"/>
      <c r="T37" s="2">
        <f t="shared" si="8"/>
        <v>49</v>
      </c>
      <c r="U37" s="2">
        <f t="shared" si="3"/>
        <v>44.724704535348415</v>
      </c>
      <c r="V37" s="2"/>
      <c r="W37" s="2">
        <f t="shared" si="9"/>
        <v>49</v>
      </c>
      <c r="X37" s="2" t="e">
        <f t="shared" ca="1" si="10"/>
        <v>#N/A</v>
      </c>
      <c r="Y37" s="2"/>
      <c r="Z37" s="2">
        <f t="shared" si="11"/>
        <v>49</v>
      </c>
      <c r="AA37">
        <f t="shared" si="12"/>
        <v>48.7094472</v>
      </c>
    </row>
    <row r="38" spans="1:27" x14ac:dyDescent="0.3">
      <c r="N38" s="2">
        <f t="shared" si="4"/>
        <v>50</v>
      </c>
      <c r="O38" s="2">
        <f t="shared" si="5"/>
        <v>47.647700838065184</v>
      </c>
      <c r="P38" s="2"/>
      <c r="Q38" s="2">
        <f t="shared" si="6"/>
        <v>50</v>
      </c>
      <c r="R38" s="2">
        <f t="shared" ca="1" si="7"/>
        <v>47.836423052768296</v>
      </c>
      <c r="S38" s="2"/>
      <c r="T38" s="2">
        <f t="shared" si="8"/>
        <v>50</v>
      </c>
      <c r="U38" s="2">
        <f t="shared" si="3"/>
        <v>44.970690410292832</v>
      </c>
      <c r="V38" s="2"/>
      <c r="W38" s="2">
        <f t="shared" si="9"/>
        <v>50</v>
      </c>
      <c r="X38" s="2" t="e">
        <f t="shared" ca="1" si="10"/>
        <v>#N/A</v>
      </c>
      <c r="Y38" s="2"/>
      <c r="Z38" s="2">
        <f t="shared" si="11"/>
        <v>50</v>
      </c>
      <c r="AA38">
        <f t="shared" si="12"/>
        <v>49.683636143999998</v>
      </c>
    </row>
    <row r="39" spans="1:27" x14ac:dyDescent="0.3">
      <c r="N39" s="2">
        <f t="shared" si="4"/>
        <v>51</v>
      </c>
      <c r="O39" s="2">
        <f t="shared" si="5"/>
        <v>48.195649397702937</v>
      </c>
      <c r="P39" s="2"/>
      <c r="Q39" s="2">
        <f t="shared" si="6"/>
        <v>51</v>
      </c>
      <c r="R39" s="2">
        <f t="shared" ca="1" si="7"/>
        <v>48.424811056317346</v>
      </c>
      <c r="S39" s="2"/>
      <c r="T39" s="2">
        <f t="shared" si="8"/>
        <v>51</v>
      </c>
      <c r="U39" s="2">
        <f t="shared" si="3"/>
        <v>45.218029207549442</v>
      </c>
      <c r="V39" s="2"/>
      <c r="W39" s="2">
        <f t="shared" si="9"/>
        <v>51</v>
      </c>
      <c r="X39" s="2" t="e">
        <f t="shared" ca="1" si="10"/>
        <v>#N/A</v>
      </c>
      <c r="Y39" s="2"/>
      <c r="Z39" s="2">
        <f t="shared" si="11"/>
        <v>51</v>
      </c>
      <c r="AA39">
        <f t="shared" si="12"/>
        <v>50.677308866879997</v>
      </c>
    </row>
    <row r="40" spans="1:27" x14ac:dyDescent="0.3">
      <c r="N40" s="2">
        <f t="shared" si="4"/>
        <v>52</v>
      </c>
      <c r="O40" s="2">
        <f t="shared" si="5"/>
        <v>48.749899365776521</v>
      </c>
      <c r="P40" s="2"/>
      <c r="Q40" s="2">
        <f t="shared" si="6"/>
        <v>52</v>
      </c>
      <c r="R40" s="2">
        <f t="shared" ca="1" si="7"/>
        <v>49.020436232310047</v>
      </c>
      <c r="S40" s="2"/>
      <c r="T40" s="2">
        <f t="shared" si="8"/>
        <v>52</v>
      </c>
      <c r="U40" s="2">
        <f t="shared" si="3"/>
        <v>45.466728368190964</v>
      </c>
      <c r="V40" s="2"/>
      <c r="W40" s="2">
        <f t="shared" si="9"/>
        <v>52</v>
      </c>
      <c r="X40" s="2" t="e">
        <f t="shared" ca="1" si="10"/>
        <v>#N/A</v>
      </c>
      <c r="Y40" s="2"/>
      <c r="Z40" s="2">
        <f t="shared" si="11"/>
        <v>52</v>
      </c>
      <c r="AA40">
        <f t="shared" si="12"/>
        <v>51.690855044217599</v>
      </c>
    </row>
    <row r="41" spans="1:27" x14ac:dyDescent="0.3">
      <c r="N41" s="2">
        <f t="shared" si="4"/>
        <v>53</v>
      </c>
      <c r="O41" s="2">
        <f t="shared" si="5"/>
        <v>49.310523208482948</v>
      </c>
      <c r="P41" s="2"/>
      <c r="Q41" s="2">
        <f t="shared" si="6"/>
        <v>53</v>
      </c>
      <c r="R41" s="2">
        <f t="shared" ca="1" si="7"/>
        <v>49.623387597967458</v>
      </c>
      <c r="S41" s="2"/>
      <c r="T41" s="2">
        <f t="shared" si="8"/>
        <v>53</v>
      </c>
      <c r="U41" s="2">
        <f t="shared" si="3"/>
        <v>45.716795374216012</v>
      </c>
      <c r="V41" s="2"/>
      <c r="W41" s="2">
        <f t="shared" si="9"/>
        <v>53</v>
      </c>
      <c r="X41" s="2" t="e">
        <f t="shared" ca="1" si="10"/>
        <v>#N/A</v>
      </c>
      <c r="Y41" s="2"/>
      <c r="Z41" s="2">
        <f t="shared" si="11"/>
        <v>53</v>
      </c>
      <c r="AA41">
        <f t="shared" si="12"/>
        <v>52.724672145101948</v>
      </c>
    </row>
    <row r="42" spans="1:27" x14ac:dyDescent="0.3">
      <c r="B42" t="s">
        <v>12</v>
      </c>
      <c r="C42" t="s">
        <v>0</v>
      </c>
      <c r="D42" t="s">
        <v>12</v>
      </c>
      <c r="E42" t="s">
        <v>1</v>
      </c>
      <c r="F42" t="s">
        <v>12</v>
      </c>
      <c r="G42" t="s">
        <v>2</v>
      </c>
      <c r="H42" t="s">
        <v>12</v>
      </c>
      <c r="I42" t="s">
        <v>3</v>
      </c>
      <c r="J42" t="s">
        <v>12</v>
      </c>
      <c r="K42" t="s">
        <v>4</v>
      </c>
      <c r="N42" s="2">
        <f t="shared" si="4"/>
        <v>54</v>
      </c>
      <c r="O42" s="2">
        <f t="shared" si="5"/>
        <v>49.877594225380506</v>
      </c>
      <c r="P42" s="2"/>
      <c r="Q42" s="2">
        <f t="shared" si="6"/>
        <v>54</v>
      </c>
      <c r="R42" s="2">
        <f t="shared" ca="1" si="7"/>
        <v>50.23375526542246</v>
      </c>
      <c r="S42" s="2"/>
      <c r="T42" s="2">
        <f t="shared" si="8"/>
        <v>54</v>
      </c>
      <c r="U42" s="2">
        <f t="shared" si="3"/>
        <v>45.9682377487742</v>
      </c>
      <c r="V42" s="2"/>
      <c r="W42" s="2">
        <f t="shared" si="9"/>
        <v>54</v>
      </c>
      <c r="X42" s="2" t="e">
        <f t="shared" ca="1" si="10"/>
        <v>#N/A</v>
      </c>
      <c r="Y42" s="2"/>
      <c r="Z42" s="2">
        <f t="shared" si="11"/>
        <v>54</v>
      </c>
      <c r="AA42">
        <f t="shared" si="12"/>
        <v>53.779165588003984</v>
      </c>
    </row>
    <row r="43" spans="1:27" x14ac:dyDescent="0.3">
      <c r="B43">
        <f>B27</f>
        <v>45</v>
      </c>
      <c r="C43">
        <f>B28</f>
        <v>45.000000000000007</v>
      </c>
      <c r="D43">
        <f>B43</f>
        <v>45</v>
      </c>
      <c r="E43">
        <f ca="1">B29</f>
        <v>45</v>
      </c>
      <c r="F43">
        <f>B27</f>
        <v>45</v>
      </c>
      <c r="G43">
        <f>B30</f>
        <v>43.754142857142853</v>
      </c>
      <c r="H43">
        <f>B27</f>
        <v>45</v>
      </c>
      <c r="I43" t="e">
        <f ca="1">B31</f>
        <v>#N/A</v>
      </c>
      <c r="J43">
        <f>B27</f>
        <v>45</v>
      </c>
      <c r="K43">
        <f>B32</f>
        <v>45</v>
      </c>
      <c r="N43" s="2">
        <f t="shared" si="4"/>
        <v>55</v>
      </c>
      <c r="O43" s="2">
        <f t="shared" si="5"/>
        <v>50.451186558972381</v>
      </c>
      <c r="P43" s="2"/>
      <c r="Q43" s="2">
        <f t="shared" si="6"/>
        <v>55</v>
      </c>
      <c r="R43" s="2">
        <f t="shared" ca="1" si="7"/>
        <v>50.851630455187156</v>
      </c>
      <c r="S43" s="2"/>
      <c r="T43" s="2">
        <f t="shared" si="8"/>
        <v>55</v>
      </c>
      <c r="U43" s="2">
        <f t="shared" si="3"/>
        <v>46.22106305639246</v>
      </c>
      <c r="V43" s="2"/>
      <c r="W43" s="2">
        <f t="shared" si="9"/>
        <v>55</v>
      </c>
      <c r="X43" s="2" t="e">
        <f t="shared" ca="1" si="10"/>
        <v>#N/A</v>
      </c>
      <c r="Y43" s="2"/>
      <c r="Z43" s="2">
        <f t="shared" si="11"/>
        <v>55</v>
      </c>
      <c r="AA43">
        <f t="shared" si="12"/>
        <v>54.854748899764061</v>
      </c>
    </row>
    <row r="44" spans="1:27" x14ac:dyDescent="0.3">
      <c r="B44">
        <f>C27</f>
        <v>55</v>
      </c>
      <c r="C44">
        <f>C28</f>
        <v>50.175000000000011</v>
      </c>
      <c r="D44">
        <f>B44</f>
        <v>55</v>
      </c>
      <c r="E44">
        <f ca="1">C29</f>
        <v>50.534999999999997</v>
      </c>
      <c r="F44">
        <f>C27</f>
        <v>55</v>
      </c>
      <c r="G44">
        <f>C30</f>
        <v>46.160620714285713</v>
      </c>
      <c r="H44">
        <f>C27</f>
        <v>55</v>
      </c>
      <c r="I44" t="e">
        <f ca="1">C31</f>
        <v>#N/A</v>
      </c>
      <c r="J44">
        <f>C27</f>
        <v>55</v>
      </c>
      <c r="K44">
        <f>C32</f>
        <v>54</v>
      </c>
    </row>
    <row r="45" spans="1:27" x14ac:dyDescent="0.3">
      <c r="B45">
        <f>D27</f>
        <v>65</v>
      </c>
      <c r="C45">
        <f>D28</f>
        <v>66.331350000000015</v>
      </c>
      <c r="D45">
        <f>D27</f>
        <v>65</v>
      </c>
      <c r="E45">
        <f ca="1">D29</f>
        <v>66.099779999999996</v>
      </c>
      <c r="F45">
        <f>D27</f>
        <v>65</v>
      </c>
      <c r="G45">
        <f>D30</f>
        <v>51.238288992857143</v>
      </c>
      <c r="H45">
        <f>D27</f>
        <v>65</v>
      </c>
      <c r="I45" t="e">
        <f ca="1">D31</f>
        <v>#N/A</v>
      </c>
      <c r="J45">
        <f>D27</f>
        <v>65</v>
      </c>
      <c r="K45">
        <f>D32</f>
        <v>86.4</v>
      </c>
    </row>
    <row r="46" spans="1:27" x14ac:dyDescent="0.3">
      <c r="B46">
        <f>E27</f>
        <v>75</v>
      </c>
      <c r="C46">
        <f>E28</f>
        <v>87.690044700000016</v>
      </c>
      <c r="D46">
        <f>E27</f>
        <v>75</v>
      </c>
      <c r="E46">
        <f ca="1">E29</f>
        <v>86.45851223999999</v>
      </c>
      <c r="F46">
        <f>E27</f>
        <v>75</v>
      </c>
      <c r="G46">
        <f>E30</f>
        <v>56.874500782071429</v>
      </c>
      <c r="H46">
        <f>E27</f>
        <v>75</v>
      </c>
      <c r="I46" t="e">
        <f ca="1">E31</f>
        <v>#N/A</v>
      </c>
      <c r="J46">
        <f>E27</f>
        <v>75</v>
      </c>
      <c r="K46">
        <f>E32</f>
        <v>138.24</v>
      </c>
    </row>
    <row r="47" spans="1:27" x14ac:dyDescent="0.3">
      <c r="B47">
        <f>F27</f>
        <v>85</v>
      </c>
      <c r="C47">
        <f>F28</f>
        <v>115.92623909340003</v>
      </c>
      <c r="D47">
        <f>F27</f>
        <v>85</v>
      </c>
      <c r="E47">
        <f ca="1">F29</f>
        <v>113.08773400991998</v>
      </c>
      <c r="F47">
        <f>F27</f>
        <v>85</v>
      </c>
      <c r="G47" t="e">
        <f ca="1">F31</f>
        <v>#N/A</v>
      </c>
      <c r="H47">
        <f>F27</f>
        <v>85</v>
      </c>
      <c r="I47" t="e">
        <f ca="1">F31</f>
        <v>#N/A</v>
      </c>
      <c r="J47">
        <f>F27</f>
        <v>85</v>
      </c>
      <c r="K47">
        <f>F32</f>
        <v>221.18400000000003</v>
      </c>
    </row>
  </sheetData>
  <mergeCells count="2">
    <mergeCell ref="A23:F23"/>
    <mergeCell ref="N31:AA3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391F-A9A0-45C4-9ADF-56B348DD9E34}">
  <dimension ref="A1:AA47"/>
  <sheetViews>
    <sheetView topLeftCell="F9" zoomScale="85" zoomScaleNormal="8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34.5</v>
      </c>
      <c r="D2">
        <f t="shared" ref="D2:M2" si="0">C2-(C2/100*D1)</f>
        <v>34.155000000000001</v>
      </c>
      <c r="E2">
        <f t="shared" si="0"/>
        <v>33.471899999999998</v>
      </c>
      <c r="F2">
        <f t="shared" si="0"/>
        <v>32.467742999999999</v>
      </c>
      <c r="G2">
        <f t="shared" si="0"/>
        <v>31.169033279999997</v>
      </c>
      <c r="H2">
        <f t="shared" si="0"/>
        <v>29.610581615999997</v>
      </c>
      <c r="I2">
        <f t="shared" si="0"/>
        <v>27.833946719039997</v>
      </c>
      <c r="J2">
        <f t="shared" si="0"/>
        <v>25.885570448707195</v>
      </c>
      <c r="K2">
        <f t="shared" si="0"/>
        <v>23.814724812810621</v>
      </c>
      <c r="L2">
        <f t="shared" si="0"/>
        <v>21.671399579657663</v>
      </c>
      <c r="M2">
        <f t="shared" si="0"/>
        <v>19.504259621691897</v>
      </c>
      <c r="N2" s="8"/>
      <c r="O2" s="21"/>
      <c r="Q2" s="3" t="s">
        <v>0</v>
      </c>
      <c r="R2" s="16">
        <f>B27+ ((1 -((C2 / 34.5) * 0.7 )-((C3 / 100) * 0.3 )) * 100)</f>
        <v>50.000000000000007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50</v>
      </c>
      <c r="T3" s="23" t="s">
        <v>8</v>
      </c>
    </row>
    <row r="4" spans="1:20" ht="18" customHeight="1" x14ac:dyDescent="0.3">
      <c r="A4" s="4" t="s">
        <v>17</v>
      </c>
      <c r="B4" s="4" t="s">
        <v>18</v>
      </c>
      <c r="C4" s="10">
        <v>46</v>
      </c>
      <c r="D4">
        <f>C4-(C4/100*D1)</f>
        <v>45.54</v>
      </c>
      <c r="E4">
        <f t="shared" ref="E4:M4" si="2">D4-(D4/100*E1)</f>
        <v>44.629199999999997</v>
      </c>
      <c r="F4">
        <f t="shared" si="2"/>
        <v>43.290323999999998</v>
      </c>
      <c r="G4">
        <f t="shared" si="2"/>
        <v>41.558711039999999</v>
      </c>
      <c r="H4">
        <f t="shared" si="2"/>
        <v>39.480775487999999</v>
      </c>
      <c r="I4">
        <f t="shared" si="2"/>
        <v>37.11192895872</v>
      </c>
      <c r="J4">
        <f t="shared" si="2"/>
        <v>34.514093931609601</v>
      </c>
      <c r="K4">
        <f t="shared" si="2"/>
        <v>31.752966417080835</v>
      </c>
      <c r="L4">
        <f t="shared" si="2"/>
        <v>28.895199439543561</v>
      </c>
      <c r="M4">
        <f t="shared" si="2"/>
        <v>26.005679495589206</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50</v>
      </c>
      <c r="Q4" s="5" t="s">
        <v>2</v>
      </c>
      <c r="R4" s="5">
        <f>B27 - 9*R11</f>
        <v>51.19314285714286</v>
      </c>
      <c r="T4" s="1">
        <f ca="1">(R2/100*20)+(R3/100*20)+(R4/100*25)+(R5/100*20)+(R6/100*15)</f>
        <v>50.298285714285711</v>
      </c>
    </row>
    <row r="5" spans="1:20" x14ac:dyDescent="0.3">
      <c r="A5" s="4" t="s">
        <v>17</v>
      </c>
      <c r="B5" s="4" t="s">
        <v>19</v>
      </c>
      <c r="C5" s="10">
        <v>3.1</v>
      </c>
      <c r="L5" s="8"/>
      <c r="M5" s="8">
        <f>C5-(C5/100*12)</f>
        <v>2.7280000000000002</v>
      </c>
      <c r="N5" s="8"/>
      <c r="O5" s="18">
        <f ca="1">FORECAST(C5, OFFSET(Strength_Normative_Data!$O$3, MATCH(C5, Strength_Normative_Data!$P$3:$P$17, -1)-1, 0, 2), OFFSET(Strength_Normative_Data!$P$3, MATCH(C5, Strength_Normative_Data!$P$3:$P$17, -1)-1, 0, 2))</f>
        <v>50</v>
      </c>
      <c r="Q5" s="6" t="s">
        <v>29</v>
      </c>
      <c r="R5" s="6">
        <f ca="1">((O14/100*30)+(O15/100*25)+(O16/100*30)+(O17/100*15))</f>
        <v>50</v>
      </c>
    </row>
    <row r="6" spans="1:20" x14ac:dyDescent="0.3">
      <c r="A6" s="4" t="s">
        <v>17</v>
      </c>
      <c r="B6" s="4" t="s">
        <v>20</v>
      </c>
      <c r="C6" s="10">
        <v>39</v>
      </c>
      <c r="L6" s="8"/>
      <c r="M6" s="8">
        <f>C6-(C6/100*12)</f>
        <v>34.32</v>
      </c>
      <c r="N6" s="8"/>
      <c r="O6" s="18">
        <f ca="1">FORECAST(C6, OFFSET(Strength_Normative_Data!$J$3, MATCH(C6, Strength_Normative_Data!$K$3:$K$16, -1)-1, 0, 2), OFFSET(Strength_Normative_Data!$K$3, MATCH(C6, Strength_Normative_Data!$K$3:$K$16, -1)-1, 0, 2))</f>
        <v>50.000000000000007</v>
      </c>
      <c r="Q6" s="7" t="s">
        <v>4</v>
      </c>
      <c r="R6" s="7">
        <f>((O18/100*60)+(O19/100*40))</f>
        <v>50</v>
      </c>
    </row>
    <row r="7" spans="1:20" x14ac:dyDescent="0.3">
      <c r="A7" s="5" t="s">
        <v>21</v>
      </c>
      <c r="B7" s="5" t="s">
        <v>22</v>
      </c>
      <c r="C7" s="11">
        <v>25</v>
      </c>
      <c r="L7" s="8"/>
      <c r="M7" s="8">
        <f>C7+(C7/100*6)</f>
        <v>26.5</v>
      </c>
      <c r="N7" s="8"/>
      <c r="O7" s="22"/>
    </row>
    <row r="8" spans="1:20" x14ac:dyDescent="0.3">
      <c r="A8" s="5" t="s">
        <v>21</v>
      </c>
      <c r="B8" s="5" t="s">
        <v>23</v>
      </c>
      <c r="C8" s="11">
        <v>0.6</v>
      </c>
      <c r="L8" s="8"/>
      <c r="M8" s="8">
        <f>C8+(C8/100*4)</f>
        <v>0.624</v>
      </c>
      <c r="N8" s="8"/>
      <c r="O8" s="22">
        <f xml:space="preserve">
IF(C8&lt;=0.4,0,
IF(C8&lt;=0.5,20*(C8-0.4)/0.1,
IF(C8&lt;=0.6,20+40*(C8-0.5)/0.1,
60+40*(MIN(C8,0.75)-0.6)/0.15)))</f>
        <v>59.999999999999986</v>
      </c>
    </row>
    <row r="9" spans="1:20" x14ac:dyDescent="0.3">
      <c r="A9" s="5" t="s">
        <v>21</v>
      </c>
      <c r="B9" s="5" t="s">
        <v>24</v>
      </c>
      <c r="C9" s="11">
        <v>5.6</v>
      </c>
      <c r="L9" s="8"/>
      <c r="M9" s="8"/>
      <c r="N9" s="8"/>
      <c r="O9" s="22"/>
    </row>
    <row r="10" spans="1:20" x14ac:dyDescent="0.3">
      <c r="A10" s="5" t="s">
        <v>21</v>
      </c>
      <c r="B10" s="5" t="s">
        <v>25</v>
      </c>
      <c r="C10" s="11">
        <v>5.9</v>
      </c>
      <c r="L10" s="8"/>
      <c r="M10" s="8">
        <f>C10+(C10/100*5)</f>
        <v>6.1950000000000003</v>
      </c>
      <c r="N10" s="8"/>
      <c r="O10" s="22">
        <f xml:space="preserve">
IF(C10&lt;5.7,10*(C10/5.7),
IF(C10&lt;6.5,10+40*(C10-5.7)/0.8,
50+50*(MIN(C10,9)-6.5)/2.5))</f>
        <v>20.000000000000007</v>
      </c>
      <c r="Q10" t="s">
        <v>89</v>
      </c>
      <c r="R10" t="s">
        <v>90</v>
      </c>
    </row>
    <row r="11" spans="1:20" x14ac:dyDescent="0.3">
      <c r="A11" s="5" t="s">
        <v>21</v>
      </c>
      <c r="B11" s="5" t="s">
        <v>26</v>
      </c>
      <c r="C11" s="11">
        <v>2.5</v>
      </c>
      <c r="L11" s="8"/>
      <c r="M11" s="8">
        <f>C11+(C11/100*14)</f>
        <v>2.85</v>
      </c>
      <c r="N11" s="8"/>
      <c r="O11" s="5">
        <f xml:space="preserve">
IF(C11&lt;1.6,10*(C11/1.6),
IF(C11&lt;3,10+40*(C11-1.6)/1.4,
50+50*(MIN(C11,7)-3)/4))</f>
        <v>35.714285714285715</v>
      </c>
      <c r="Q11">
        <f>(0.3*P12)+(0.2*O8)+(0.15*O10)+(0.25*O11)+(0.1*O13)</f>
        <v>41.628571428571433</v>
      </c>
      <c r="R11">
        <f xml:space="preserve">
IF(Q11&lt;=10,1.5-0.1*Q11,
IF(Q11&lt;=60,0.5-0.02*(Q11-10),
-0.5-0.03*(Q11-60)))</f>
        <v>-0.13257142857142867</v>
      </c>
    </row>
    <row r="12" spans="1:20" x14ac:dyDescent="0.3">
      <c r="A12" s="5" t="s">
        <v>21</v>
      </c>
      <c r="B12" s="5" t="s">
        <v>27</v>
      </c>
      <c r="C12" s="11">
        <v>1.3</v>
      </c>
      <c r="L12" s="8"/>
      <c r="M12" s="8">
        <f>C12+(C12/100*6)</f>
        <v>1.3780000000000001</v>
      </c>
      <c r="N12" s="8"/>
      <c r="O12" s="5">
        <f>C12*100</f>
        <v>130</v>
      </c>
      <c r="P12" s="5">
        <f xml:space="preserve">
IF(O12&lt;80,5*(O12/80),
IF(O12&lt;100,10+20*(O12-80)/20,
IF(O12&lt;130,30+25*(O12-100)/30,
IF(O12&lt;160,55+25*(O12-130)/30,
IF(O12&lt;200,80+20*(O12-160)/40,100)))))</f>
        <v>55</v>
      </c>
    </row>
    <row r="13" spans="1:20" x14ac:dyDescent="0.3">
      <c r="A13" s="5" t="s">
        <v>21</v>
      </c>
      <c r="B13" s="5" t="s">
        <v>28</v>
      </c>
      <c r="C13" s="11">
        <v>1.1000000000000001</v>
      </c>
      <c r="L13" s="8"/>
      <c r="M13" s="8">
        <f>C13+(C13/100*18)</f>
        <v>1.298</v>
      </c>
      <c r="N13" s="8"/>
      <c r="O13" s="5">
        <f xml:space="preserve">
IF(C13&lt;1,10*(C13/1),
IF(C13&lt;3,10+40*(C13-1)/2,
50+50*(MIN(C13,10)-3)/7))</f>
        <v>12.000000000000002</v>
      </c>
    </row>
    <row r="14" spans="1:20" x14ac:dyDescent="0.3">
      <c r="A14" s="6" t="s">
        <v>29</v>
      </c>
      <c r="B14" s="6" t="s">
        <v>30</v>
      </c>
      <c r="C14" s="12">
        <v>1.43</v>
      </c>
      <c r="L14" s="8"/>
      <c r="M14" s="8">
        <f>C14+(C14/100*6)</f>
        <v>1.5158</v>
      </c>
      <c r="N14" s="8"/>
      <c r="O14" s="12">
        <v>50</v>
      </c>
    </row>
    <row r="15" spans="1:20" x14ac:dyDescent="0.3">
      <c r="A15" s="6" t="s">
        <v>29</v>
      </c>
      <c r="B15" s="6" t="s">
        <v>31</v>
      </c>
      <c r="C15" s="12">
        <v>7</v>
      </c>
      <c r="L15" s="8"/>
      <c r="M15" s="8">
        <f>C15+(C15/100*10)</f>
        <v>7.7</v>
      </c>
      <c r="N15" s="8"/>
      <c r="O15" s="12">
        <f ca="1">FORECAST(C15, OFFSET(Mobility_Normative_Data!$E$3, MATCH(C15, Mobility_Normative_Data!$F$3:$F$18, 1)-1, 0, 2), OFFSET(Mobility_Normative_Data!$F$3, MATCH(C15, Mobility_Normative_Data!$F$3:$F$18, 1)-1, 0, 2))</f>
        <v>50</v>
      </c>
    </row>
    <row r="16" spans="1:20" x14ac:dyDescent="0.3">
      <c r="A16" s="6" t="s">
        <v>29</v>
      </c>
      <c r="B16" s="6" t="s">
        <v>32</v>
      </c>
      <c r="C16" s="12">
        <v>35</v>
      </c>
      <c r="L16" s="8"/>
      <c r="M16" s="8">
        <f>C16+(C16/100*20)</f>
        <v>42</v>
      </c>
      <c r="N16" s="8"/>
      <c r="O16" s="12">
        <f ca="1">FORECAST(C16, OFFSET(Mobility_Normative_Data!$I$3, MATCH(C16, Mobility_Normative_Data!$J$3:$J$17, -1)-1, 0, 2), OFFSET(Mobility_Normative_Data!$J$3, MATCH(C16, Mobility_Normative_Data!$J$3:$J$17, -1)-1, 0, 2))</f>
        <v>50</v>
      </c>
    </row>
    <row r="17" spans="1:27" x14ac:dyDescent="0.3">
      <c r="A17" s="6" t="s">
        <v>29</v>
      </c>
      <c r="B17" s="6" t="s">
        <v>33</v>
      </c>
      <c r="C17" s="12">
        <v>31</v>
      </c>
      <c r="L17" s="8"/>
      <c r="M17" s="8">
        <f>C17+(C17/100*10)</f>
        <v>34.1</v>
      </c>
      <c r="N17" s="8"/>
      <c r="O17" s="12">
        <f ca="1">FORECAST(C17, OFFSET(Mobility_Normative_Data!$M$3, MATCH(C17, Mobility_Normative_Data!$N$3:$N$17, -1)-1, 0, 2), OFFSET(Mobility_Normative_Data!$N$3, MATCH(C17, Mobility_Normative_Data!$N$3:$N$17, -1)-1, 0, 2))</f>
        <v>50</v>
      </c>
    </row>
    <row r="18" spans="1:27" x14ac:dyDescent="0.3">
      <c r="A18" s="7" t="s">
        <v>34</v>
      </c>
      <c r="B18" s="7" t="s">
        <v>35</v>
      </c>
      <c r="C18" s="13">
        <v>0</v>
      </c>
      <c r="L18" s="8"/>
      <c r="M18" s="8">
        <f>C18 +(-0.2)</f>
        <v>-0.2</v>
      </c>
      <c r="N18" s="8"/>
      <c r="O18" s="20">
        <f>MAX(18,B27-(C18*25))</f>
        <v>50</v>
      </c>
    </row>
    <row r="19" spans="1:27" x14ac:dyDescent="0.3">
      <c r="A19" s="7" t="s">
        <v>34</v>
      </c>
      <c r="B19" s="7" t="s">
        <v>36</v>
      </c>
      <c r="C19" s="13">
        <v>0</v>
      </c>
      <c r="L19" s="8"/>
      <c r="M19" s="8">
        <f>C19+(-0.2)</f>
        <v>-0.2</v>
      </c>
      <c r="N19" s="8"/>
      <c r="O19" s="20">
        <f>MAX(18,B27-(J1925))</f>
        <v>50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50</v>
      </c>
      <c r="C27">
        <f>B27+10</f>
        <v>60</v>
      </c>
      <c r="D27">
        <f>C27+10</f>
        <v>70</v>
      </c>
      <c r="E27">
        <f>D27+10</f>
        <v>80</v>
      </c>
      <c r="F27">
        <f>E27+10</f>
        <v>90</v>
      </c>
    </row>
    <row r="28" spans="1:27" x14ac:dyDescent="0.3">
      <c r="A28" t="s">
        <v>0</v>
      </c>
      <c r="B28" s="24">
        <f>R2</f>
        <v>50.000000000000007</v>
      </c>
      <c r="C28">
        <f>B28+(B28/100*11.5)</f>
        <v>55.750000000000007</v>
      </c>
      <c r="D28">
        <f>C28+(C28/100*32.2)</f>
        <v>73.70150000000001</v>
      </c>
      <c r="E28">
        <f>D28+(D28/100*32.2)</f>
        <v>97.433383000000021</v>
      </c>
      <c r="F28">
        <f>E28+(E28/100*32.2)</f>
        <v>128.80693232600004</v>
      </c>
    </row>
    <row r="29" spans="1:27" x14ac:dyDescent="0.3">
      <c r="A29" t="s">
        <v>1</v>
      </c>
      <c r="B29">
        <f ca="1">R3</f>
        <v>50</v>
      </c>
      <c r="C29">
        <f ca="1">B29+(B29/100*12.3)</f>
        <v>56.15</v>
      </c>
      <c r="D29">
        <f ca="1">C29+(C29/100*30.8)</f>
        <v>73.444199999999995</v>
      </c>
      <c r="E29">
        <f ca="1">D29+(D29/100*30.8)</f>
        <v>96.065013599999986</v>
      </c>
      <c r="F29">
        <f ca="1">E29+(E29/100*30.8)</f>
        <v>125.65303778879998</v>
      </c>
    </row>
    <row r="30" spans="1:27" x14ac:dyDescent="0.3">
      <c r="A30" t="s">
        <v>2</v>
      </c>
      <c r="B30">
        <f>R4</f>
        <v>51.19314285714286</v>
      </c>
      <c r="C30">
        <f>B30+(B30/100*5.5)</f>
        <v>54.008765714285715</v>
      </c>
      <c r="D30">
        <f>C30+(C30/100*11)</f>
        <v>59.949729942857147</v>
      </c>
      <c r="E30">
        <f>D30+(D30/100*11)</f>
        <v>66.544200236571427</v>
      </c>
      <c r="F30">
        <f>E30+(E30/100*11)</f>
        <v>73.864062262594288</v>
      </c>
    </row>
    <row r="31" spans="1:27" x14ac:dyDescent="0.3">
      <c r="A31" t="s">
        <v>3</v>
      </c>
      <c r="B31">
        <f ca="1">R5</f>
        <v>50</v>
      </c>
      <c r="C31">
        <f ca="1">B31+(B31/100*9.9)</f>
        <v>54.95</v>
      </c>
      <c r="D31">
        <f ca="1">C31+(C31/100*19.8)</f>
        <v>65.830100000000002</v>
      </c>
      <c r="E31">
        <f ca="1">D31+(D31/100*19.8)</f>
        <v>78.864459800000006</v>
      </c>
      <c r="F31">
        <f ca="1">E31+(E31/100*19.8)</f>
        <v>94.479622840400012</v>
      </c>
      <c r="N31" s="46" t="s">
        <v>104</v>
      </c>
      <c r="O31" s="46"/>
      <c r="P31" s="46"/>
      <c r="Q31" s="46"/>
      <c r="R31" s="46"/>
      <c r="S31" s="46"/>
      <c r="T31" s="46"/>
      <c r="U31" s="46"/>
      <c r="V31" s="46"/>
      <c r="W31" s="46"/>
      <c r="X31" s="46"/>
      <c r="Y31" s="46"/>
      <c r="Z31" s="46"/>
      <c r="AA31" s="46"/>
    </row>
    <row r="32" spans="1:27" ht="86.4" x14ac:dyDescent="0.3">
      <c r="A32" t="s">
        <v>4</v>
      </c>
      <c r="B32">
        <f>R6</f>
        <v>50</v>
      </c>
      <c r="C32">
        <f>B32+(B32/100*20)</f>
        <v>60</v>
      </c>
      <c r="D32">
        <f>C32+(C32/100*60)</f>
        <v>96</v>
      </c>
      <c r="E32">
        <f>D32+(D32/100*60)</f>
        <v>153.6</v>
      </c>
      <c r="F32">
        <f>E32+(E32/100*60)</f>
        <v>245.76</v>
      </c>
      <c r="N32" s="2" t="s">
        <v>103</v>
      </c>
      <c r="O32" s="2" t="s">
        <v>137</v>
      </c>
      <c r="P32" s="2"/>
      <c r="Q32" s="2" t="s">
        <v>103</v>
      </c>
      <c r="R32" s="2" t="s">
        <v>138</v>
      </c>
      <c r="S32" s="2"/>
      <c r="T32" s="2" t="s">
        <v>103</v>
      </c>
      <c r="U32" s="2" t="s">
        <v>139</v>
      </c>
      <c r="V32" s="2"/>
      <c r="W32" s="2" t="s">
        <v>103</v>
      </c>
      <c r="X32" s="2" t="s">
        <v>140</v>
      </c>
      <c r="Y32" s="2"/>
      <c r="Z32" s="2" t="s">
        <v>103</v>
      </c>
      <c r="AA32" s="2" t="s">
        <v>141</v>
      </c>
    </row>
    <row r="33" spans="1:27" x14ac:dyDescent="0.3">
      <c r="N33" s="2">
        <f>B27</f>
        <v>50</v>
      </c>
      <c r="O33" s="27">
        <f>R2</f>
        <v>50.000000000000007</v>
      </c>
      <c r="P33" s="2"/>
      <c r="Q33" s="2">
        <f>N33</f>
        <v>50</v>
      </c>
      <c r="R33" s="2">
        <f ca="1">R3</f>
        <v>50</v>
      </c>
      <c r="S33" s="2"/>
      <c r="T33" s="2">
        <f>N33</f>
        <v>50</v>
      </c>
      <c r="U33" s="2">
        <f>R4</f>
        <v>51.19314285714286</v>
      </c>
      <c r="V33" s="2"/>
      <c r="W33" s="2">
        <f>N33</f>
        <v>50</v>
      </c>
      <c r="X33" s="2">
        <f ca="1">R5</f>
        <v>50</v>
      </c>
      <c r="Y33" s="2"/>
      <c r="Z33" s="2">
        <f>N33</f>
        <v>50</v>
      </c>
      <c r="AA33">
        <f>R6</f>
        <v>50</v>
      </c>
    </row>
    <row r="34" spans="1:27" x14ac:dyDescent="0.3">
      <c r="N34" s="2">
        <f>N33+1</f>
        <v>51</v>
      </c>
      <c r="O34" s="2">
        <f>O33+(O33*0.0115)</f>
        <v>50.57500000000001</v>
      </c>
      <c r="P34" s="2"/>
      <c r="Q34" s="2">
        <f>Q33+1</f>
        <v>51</v>
      </c>
      <c r="R34" s="2">
        <f ca="1">R33+(R33*0.0123)</f>
        <v>50.615000000000002</v>
      </c>
      <c r="S34" s="2"/>
      <c r="T34" s="2">
        <f>T33+1</f>
        <v>51</v>
      </c>
      <c r="U34" s="2">
        <f t="shared" ref="U34:U43" si="3">U33+(U33*0.0055)</f>
        <v>51.474705142857147</v>
      </c>
      <c r="V34" s="2"/>
      <c r="W34" s="2">
        <f>W33+1</f>
        <v>51</v>
      </c>
      <c r="X34" s="2">
        <f ca="1">X33+(X33*0.0099)</f>
        <v>50.494999999999997</v>
      </c>
      <c r="Y34" s="2"/>
      <c r="Z34" s="2">
        <f>Z33+1</f>
        <v>51</v>
      </c>
      <c r="AA34">
        <f>AA33+(AA33*0.02)</f>
        <v>51</v>
      </c>
    </row>
    <row r="35" spans="1:27" x14ac:dyDescent="0.3">
      <c r="N35" s="2">
        <f t="shared" ref="N35:N43" si="4">N34+1</f>
        <v>52</v>
      </c>
      <c r="O35" s="2">
        <f t="shared" ref="O35:O43" si="5">O34+(O34*0.0115)</f>
        <v>51.156612500000008</v>
      </c>
      <c r="P35" s="2"/>
      <c r="Q35" s="2">
        <f t="shared" ref="Q35:Q43" si="6">Q34+1</f>
        <v>52</v>
      </c>
      <c r="R35" s="2">
        <f t="shared" ref="R35:R43" ca="1" si="7">R34+(R34*0.0123)</f>
        <v>51.237564500000005</v>
      </c>
      <c r="S35" s="2"/>
      <c r="T35" s="2">
        <f t="shared" ref="T35:T43" si="8">T34+1</f>
        <v>52</v>
      </c>
      <c r="U35" s="2">
        <f t="shared" si="3"/>
        <v>51.757816021142858</v>
      </c>
      <c r="V35" s="2"/>
      <c r="W35" s="2">
        <f t="shared" ref="W35:W43" si="9">W34+1</f>
        <v>52</v>
      </c>
      <c r="X35" s="2">
        <f t="shared" ref="X35:X43" ca="1" si="10">X34+(X34*0.0099)</f>
        <v>50.9949005</v>
      </c>
      <c r="Y35" s="2"/>
      <c r="Z35" s="2">
        <f t="shared" ref="Z35:Z43" si="11">Z34+1</f>
        <v>52</v>
      </c>
      <c r="AA35">
        <f t="shared" ref="AA35:AA43" si="12">AA34+(AA34*0.02)</f>
        <v>52.02</v>
      </c>
    </row>
    <row r="36" spans="1:27" x14ac:dyDescent="0.3">
      <c r="A36" t="s">
        <v>8</v>
      </c>
      <c r="N36" s="2">
        <f t="shared" si="4"/>
        <v>53</v>
      </c>
      <c r="O36" s="2">
        <f t="shared" si="5"/>
        <v>51.744913543750009</v>
      </c>
      <c r="P36" s="2"/>
      <c r="Q36" s="2">
        <f t="shared" si="6"/>
        <v>53</v>
      </c>
      <c r="R36" s="2">
        <f t="shared" ca="1" si="7"/>
        <v>51.867786543350007</v>
      </c>
      <c r="S36" s="2"/>
      <c r="T36" s="2">
        <f t="shared" si="8"/>
        <v>53</v>
      </c>
      <c r="U36" s="2">
        <f t="shared" si="3"/>
        <v>52.042484009259141</v>
      </c>
      <c r="V36" s="2"/>
      <c r="W36" s="2">
        <f t="shared" si="9"/>
        <v>53</v>
      </c>
      <c r="X36" s="2">
        <f t="shared" ca="1" si="10"/>
        <v>51.499750014950003</v>
      </c>
      <c r="Y36" s="2"/>
      <c r="Z36" s="2">
        <f t="shared" si="11"/>
        <v>53</v>
      </c>
      <c r="AA36">
        <f t="shared" si="12"/>
        <v>53.060400000000001</v>
      </c>
    </row>
    <row r="37" spans="1:27" x14ac:dyDescent="0.3">
      <c r="A37" s="1">
        <f ca="1">(B28/100*20)+(B29/100*20)+(B30/100*25)+(B31/100*20)+(B32/100*15)</f>
        <v>50.298285714285711</v>
      </c>
      <c r="N37" s="2">
        <f t="shared" si="4"/>
        <v>54</v>
      </c>
      <c r="O37" s="2">
        <f t="shared" si="5"/>
        <v>52.339980049503133</v>
      </c>
      <c r="P37" s="2"/>
      <c r="Q37" s="2">
        <f t="shared" si="6"/>
        <v>54</v>
      </c>
      <c r="R37" s="2">
        <f t="shared" ca="1" si="7"/>
        <v>52.505760317833214</v>
      </c>
      <c r="S37" s="2"/>
      <c r="T37" s="2">
        <f t="shared" si="8"/>
        <v>54</v>
      </c>
      <c r="U37" s="2">
        <f t="shared" si="3"/>
        <v>52.328717671310066</v>
      </c>
      <c r="V37" s="2"/>
      <c r="W37" s="2">
        <f t="shared" si="9"/>
        <v>54</v>
      </c>
      <c r="X37" s="2">
        <f t="shared" ca="1" si="10"/>
        <v>52.009597540098007</v>
      </c>
      <c r="Y37" s="2"/>
      <c r="Z37" s="2">
        <f t="shared" si="11"/>
        <v>54</v>
      </c>
      <c r="AA37">
        <f t="shared" si="12"/>
        <v>54.121608000000002</v>
      </c>
    </row>
    <row r="38" spans="1:27" x14ac:dyDescent="0.3">
      <c r="N38" s="2">
        <f t="shared" si="4"/>
        <v>55</v>
      </c>
      <c r="O38" s="2">
        <f t="shared" si="5"/>
        <v>52.941889820072419</v>
      </c>
      <c r="P38" s="2"/>
      <c r="Q38" s="2">
        <f t="shared" si="6"/>
        <v>55</v>
      </c>
      <c r="R38" s="2">
        <f t="shared" ca="1" si="7"/>
        <v>53.151581169742563</v>
      </c>
      <c r="S38" s="2"/>
      <c r="T38" s="2">
        <f t="shared" si="8"/>
        <v>55</v>
      </c>
      <c r="U38" s="2">
        <f t="shared" si="3"/>
        <v>52.616525618502273</v>
      </c>
      <c r="V38" s="2"/>
      <c r="W38" s="2">
        <f t="shared" si="9"/>
        <v>55</v>
      </c>
      <c r="X38" s="2">
        <f t="shared" ca="1" si="10"/>
        <v>52.524492555744978</v>
      </c>
      <c r="Y38" s="2"/>
      <c r="Z38" s="2">
        <f t="shared" si="11"/>
        <v>55</v>
      </c>
      <c r="AA38">
        <f t="shared" si="12"/>
        <v>55.204040160000005</v>
      </c>
    </row>
    <row r="39" spans="1:27" x14ac:dyDescent="0.3">
      <c r="N39" s="2">
        <f t="shared" si="4"/>
        <v>56</v>
      </c>
      <c r="O39" s="2">
        <f t="shared" si="5"/>
        <v>53.55072155300325</v>
      </c>
      <c r="P39" s="2"/>
      <c r="Q39" s="2">
        <f t="shared" si="6"/>
        <v>56</v>
      </c>
      <c r="R39" s="2">
        <f t="shared" ca="1" si="7"/>
        <v>53.805345618130396</v>
      </c>
      <c r="S39" s="2"/>
      <c r="T39" s="2">
        <f t="shared" si="8"/>
        <v>56</v>
      </c>
      <c r="U39" s="2">
        <f t="shared" si="3"/>
        <v>52.905916509404037</v>
      </c>
      <c r="V39" s="2"/>
      <c r="W39" s="2">
        <f t="shared" si="9"/>
        <v>56</v>
      </c>
      <c r="X39" s="2">
        <f t="shared" ca="1" si="10"/>
        <v>53.04448503204685</v>
      </c>
      <c r="Y39" s="2"/>
      <c r="Z39" s="2">
        <f t="shared" si="11"/>
        <v>56</v>
      </c>
      <c r="AA39">
        <f t="shared" si="12"/>
        <v>56.308120963200004</v>
      </c>
    </row>
    <row r="40" spans="1:27" x14ac:dyDescent="0.3">
      <c r="N40" s="2">
        <f t="shared" si="4"/>
        <v>57</v>
      </c>
      <c r="O40" s="2">
        <f t="shared" si="5"/>
        <v>54.166554850862788</v>
      </c>
      <c r="P40" s="2"/>
      <c r="Q40" s="2">
        <f t="shared" si="6"/>
        <v>57</v>
      </c>
      <c r="R40" s="2">
        <f t="shared" ca="1" si="7"/>
        <v>54.467151369233399</v>
      </c>
      <c r="S40" s="2"/>
      <c r="T40" s="2">
        <f t="shared" si="8"/>
        <v>57</v>
      </c>
      <c r="U40" s="2">
        <f t="shared" si="3"/>
        <v>53.196899050205758</v>
      </c>
      <c r="V40" s="2"/>
      <c r="W40" s="2">
        <f t="shared" si="9"/>
        <v>57</v>
      </c>
      <c r="X40" s="2">
        <f t="shared" ca="1" si="10"/>
        <v>53.569625433864111</v>
      </c>
      <c r="Y40" s="2"/>
      <c r="Z40" s="2">
        <f t="shared" si="11"/>
        <v>57</v>
      </c>
      <c r="AA40">
        <f t="shared" si="12"/>
        <v>57.434283382464002</v>
      </c>
    </row>
    <row r="41" spans="1:27" x14ac:dyDescent="0.3">
      <c r="N41" s="2">
        <f t="shared" si="4"/>
        <v>58</v>
      </c>
      <c r="O41" s="2">
        <f t="shared" si="5"/>
        <v>54.789470231647712</v>
      </c>
      <c r="P41" s="2"/>
      <c r="Q41" s="2">
        <f t="shared" si="6"/>
        <v>58</v>
      </c>
      <c r="R41" s="2">
        <f t="shared" ca="1" si="7"/>
        <v>55.137097331074969</v>
      </c>
      <c r="S41" s="2"/>
      <c r="T41" s="2">
        <f t="shared" si="8"/>
        <v>58</v>
      </c>
      <c r="U41" s="2">
        <f t="shared" si="3"/>
        <v>53.489481994981887</v>
      </c>
      <c r="V41" s="2"/>
      <c r="W41" s="2">
        <f t="shared" si="9"/>
        <v>58</v>
      </c>
      <c r="X41" s="2">
        <f t="shared" ca="1" si="10"/>
        <v>54.099964725659369</v>
      </c>
      <c r="Y41" s="2"/>
      <c r="Z41" s="2">
        <f t="shared" si="11"/>
        <v>58</v>
      </c>
      <c r="AA41">
        <f t="shared" si="12"/>
        <v>58.582969050113284</v>
      </c>
    </row>
    <row r="42" spans="1:27" x14ac:dyDescent="0.3">
      <c r="B42" t="s">
        <v>12</v>
      </c>
      <c r="C42" t="s">
        <v>0</v>
      </c>
      <c r="D42" t="s">
        <v>12</v>
      </c>
      <c r="E42" t="s">
        <v>1</v>
      </c>
      <c r="F42" t="s">
        <v>12</v>
      </c>
      <c r="G42" t="s">
        <v>2</v>
      </c>
      <c r="H42" t="s">
        <v>12</v>
      </c>
      <c r="I42" t="s">
        <v>3</v>
      </c>
      <c r="J42" t="s">
        <v>12</v>
      </c>
      <c r="K42" t="s">
        <v>4</v>
      </c>
      <c r="N42" s="2">
        <f t="shared" si="4"/>
        <v>59</v>
      </c>
      <c r="O42" s="2">
        <f t="shared" si="5"/>
        <v>55.419549139311663</v>
      </c>
      <c r="P42" s="2"/>
      <c r="Q42" s="2">
        <f t="shared" si="6"/>
        <v>59</v>
      </c>
      <c r="R42" s="2">
        <f t="shared" ca="1" si="7"/>
        <v>55.815283628247194</v>
      </c>
      <c r="S42" s="2"/>
      <c r="T42" s="2">
        <f t="shared" si="8"/>
        <v>59</v>
      </c>
      <c r="U42" s="2">
        <f t="shared" si="3"/>
        <v>53.783674145954286</v>
      </c>
      <c r="V42" s="2"/>
      <c r="W42" s="2">
        <f t="shared" si="9"/>
        <v>59</v>
      </c>
      <c r="X42" s="2">
        <f t="shared" ca="1" si="10"/>
        <v>54.635554376443395</v>
      </c>
      <c r="Y42" s="2"/>
      <c r="Z42" s="2">
        <f t="shared" si="11"/>
        <v>59</v>
      </c>
      <c r="AA42">
        <f t="shared" si="12"/>
        <v>59.754628431115549</v>
      </c>
    </row>
    <row r="43" spans="1:27" x14ac:dyDescent="0.3">
      <c r="B43">
        <f>B27</f>
        <v>50</v>
      </c>
      <c r="C43">
        <f>B28</f>
        <v>50.000000000000007</v>
      </c>
      <c r="D43">
        <f>B43</f>
        <v>50</v>
      </c>
      <c r="E43">
        <f ca="1">B29</f>
        <v>50</v>
      </c>
      <c r="F43">
        <f>B27</f>
        <v>50</v>
      </c>
      <c r="G43">
        <f>B30</f>
        <v>51.19314285714286</v>
      </c>
      <c r="H43">
        <f>B27</f>
        <v>50</v>
      </c>
      <c r="I43">
        <f ca="1">B31</f>
        <v>50</v>
      </c>
      <c r="J43">
        <f>B27</f>
        <v>50</v>
      </c>
      <c r="K43">
        <f>B32</f>
        <v>50</v>
      </c>
      <c r="N43" s="2">
        <f t="shared" si="4"/>
        <v>60</v>
      </c>
      <c r="O43" s="2">
        <f t="shared" si="5"/>
        <v>56.056873954413746</v>
      </c>
      <c r="P43" s="2"/>
      <c r="Q43" s="2">
        <f t="shared" si="6"/>
        <v>60</v>
      </c>
      <c r="R43" s="2">
        <f t="shared" ca="1" si="7"/>
        <v>56.501811616874633</v>
      </c>
      <c r="S43" s="2"/>
      <c r="T43" s="2">
        <f t="shared" si="8"/>
        <v>60</v>
      </c>
      <c r="U43" s="2">
        <f t="shared" si="3"/>
        <v>54.079484353757032</v>
      </c>
      <c r="V43" s="2"/>
      <c r="W43" s="2">
        <f t="shared" si="9"/>
        <v>60</v>
      </c>
      <c r="X43" s="2">
        <f t="shared" ca="1" si="10"/>
        <v>55.176446364770186</v>
      </c>
      <c r="Y43" s="2"/>
      <c r="Z43" s="2">
        <f t="shared" si="11"/>
        <v>60</v>
      </c>
      <c r="AA43">
        <f t="shared" si="12"/>
        <v>60.949720999737863</v>
      </c>
    </row>
    <row r="44" spans="1:27" x14ac:dyDescent="0.3">
      <c r="B44">
        <f>C27</f>
        <v>60</v>
      </c>
      <c r="C44">
        <f>C28</f>
        <v>55.750000000000007</v>
      </c>
      <c r="D44">
        <f>B44</f>
        <v>60</v>
      </c>
      <c r="E44">
        <f ca="1">C29</f>
        <v>56.15</v>
      </c>
      <c r="F44">
        <f>C27</f>
        <v>60</v>
      </c>
      <c r="G44">
        <f>C30</f>
        <v>54.008765714285715</v>
      </c>
      <c r="H44">
        <f>C27</f>
        <v>60</v>
      </c>
      <c r="I44">
        <f ca="1">C31</f>
        <v>54.95</v>
      </c>
      <c r="J44">
        <f>C27</f>
        <v>60</v>
      </c>
      <c r="K44">
        <f>C32</f>
        <v>60</v>
      </c>
    </row>
    <row r="45" spans="1:27" x14ac:dyDescent="0.3">
      <c r="B45">
        <f>D27</f>
        <v>70</v>
      </c>
      <c r="C45">
        <f>D28</f>
        <v>73.70150000000001</v>
      </c>
      <c r="D45">
        <f>D27</f>
        <v>70</v>
      </c>
      <c r="E45">
        <f ca="1">D29</f>
        <v>73.444199999999995</v>
      </c>
      <c r="F45">
        <f>D27</f>
        <v>70</v>
      </c>
      <c r="G45">
        <f>D30</f>
        <v>59.949729942857147</v>
      </c>
      <c r="H45">
        <f>D27</f>
        <v>70</v>
      </c>
      <c r="I45">
        <f ca="1">D31</f>
        <v>65.830100000000002</v>
      </c>
      <c r="J45">
        <f>D27</f>
        <v>70</v>
      </c>
      <c r="K45">
        <f>D32</f>
        <v>96</v>
      </c>
    </row>
    <row r="46" spans="1:27" x14ac:dyDescent="0.3">
      <c r="B46">
        <f>E27</f>
        <v>80</v>
      </c>
      <c r="C46">
        <f>E28</f>
        <v>97.433383000000021</v>
      </c>
      <c r="D46">
        <f>E27</f>
        <v>80</v>
      </c>
      <c r="E46">
        <f ca="1">E29</f>
        <v>96.065013599999986</v>
      </c>
      <c r="F46">
        <f>E27</f>
        <v>80</v>
      </c>
      <c r="G46">
        <f>E30</f>
        <v>66.544200236571427</v>
      </c>
      <c r="H46">
        <f>E27</f>
        <v>80</v>
      </c>
      <c r="I46">
        <f ca="1">E31</f>
        <v>78.864459800000006</v>
      </c>
      <c r="J46">
        <f>E27</f>
        <v>80</v>
      </c>
      <c r="K46">
        <f>E32</f>
        <v>153.6</v>
      </c>
    </row>
    <row r="47" spans="1:27" x14ac:dyDescent="0.3">
      <c r="B47">
        <f>F27</f>
        <v>90</v>
      </c>
      <c r="C47">
        <f>F28</f>
        <v>128.80693232600004</v>
      </c>
      <c r="D47">
        <f>F27</f>
        <v>90</v>
      </c>
      <c r="E47">
        <f ca="1">F29</f>
        <v>125.65303778879998</v>
      </c>
      <c r="F47">
        <f>F27</f>
        <v>90</v>
      </c>
      <c r="G47">
        <f ca="1">F31</f>
        <v>94.479622840400012</v>
      </c>
      <c r="H47">
        <f>F27</f>
        <v>90</v>
      </c>
      <c r="I47">
        <f ca="1">F31</f>
        <v>94.479622840400012</v>
      </c>
      <c r="J47">
        <f>F27</f>
        <v>90</v>
      </c>
      <c r="K47">
        <f>F32</f>
        <v>245.76</v>
      </c>
    </row>
  </sheetData>
  <mergeCells count="2">
    <mergeCell ref="A23:F23"/>
    <mergeCell ref="N31:AA3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F70D-EBF6-4AB5-B2CE-94B6F769D93B}">
  <dimension ref="A1:AA47"/>
  <sheetViews>
    <sheetView topLeftCell="D1"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26.6</v>
      </c>
      <c r="D2">
        <f t="shared" ref="D2:M2" si="0">C2-(C2/100*D1)</f>
        <v>26.334000000000003</v>
      </c>
      <c r="E2">
        <f t="shared" si="0"/>
        <v>25.807320000000004</v>
      </c>
      <c r="F2">
        <f t="shared" si="0"/>
        <v>25.033100400000006</v>
      </c>
      <c r="G2">
        <f t="shared" si="0"/>
        <v>24.031776384000004</v>
      </c>
      <c r="H2">
        <f t="shared" si="0"/>
        <v>22.830187564800003</v>
      </c>
      <c r="I2">
        <f t="shared" si="0"/>
        <v>21.460376310912004</v>
      </c>
      <c r="J2">
        <f t="shared" si="0"/>
        <v>19.958149969148163</v>
      </c>
      <c r="K2">
        <f t="shared" si="0"/>
        <v>18.361497971616309</v>
      </c>
      <c r="L2">
        <f t="shared" si="0"/>
        <v>16.708963154170842</v>
      </c>
      <c r="M2">
        <f t="shared" si="0"/>
        <v>15.038066838753759</v>
      </c>
      <c r="N2" s="8"/>
      <c r="O2" s="21"/>
      <c r="Q2" s="3" t="s">
        <v>0</v>
      </c>
      <c r="R2" s="16">
        <f>B27+ ((1 -((C2 / 26.6) * 0.7 )-((C3 / 100) * 0.3 )) * 100)</f>
        <v>50.000000000000007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50</v>
      </c>
      <c r="T3" s="23" t="s">
        <v>8</v>
      </c>
    </row>
    <row r="4" spans="1:20" ht="18" customHeight="1" x14ac:dyDescent="0.3">
      <c r="A4" s="4" t="s">
        <v>17</v>
      </c>
      <c r="B4" s="4" t="s">
        <v>18</v>
      </c>
      <c r="C4" s="10">
        <v>28</v>
      </c>
      <c r="D4">
        <f>C4-(C4/100*D1)</f>
        <v>27.72</v>
      </c>
      <c r="E4">
        <f t="shared" ref="E4:M4" si="2">D4-(D4/100*E1)</f>
        <v>27.165599999999998</v>
      </c>
      <c r="F4">
        <f t="shared" si="2"/>
        <v>26.350631999999997</v>
      </c>
      <c r="G4">
        <f t="shared" si="2"/>
        <v>25.296606719999996</v>
      </c>
      <c r="H4">
        <f t="shared" si="2"/>
        <v>24.031776383999997</v>
      </c>
      <c r="I4">
        <f t="shared" si="2"/>
        <v>22.589869800959995</v>
      </c>
      <c r="J4">
        <f t="shared" si="2"/>
        <v>21.008578914892794</v>
      </c>
      <c r="K4">
        <f t="shared" si="2"/>
        <v>19.327892601701372</v>
      </c>
      <c r="L4">
        <f t="shared" si="2"/>
        <v>17.588382267548248</v>
      </c>
      <c r="M4">
        <f t="shared" si="2"/>
        <v>15.829544040793422</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50</v>
      </c>
      <c r="Q4" s="5" t="s">
        <v>2</v>
      </c>
      <c r="R4" s="5">
        <f>B27 - 9*R11</f>
        <v>50.007714285714286</v>
      </c>
      <c r="T4" s="1">
        <f ca="1">(R2/100*20)+(R3/100*20)+(R4/100*25)+(R5/100*20)+(R6/100*15)</f>
        <v>50.001928571428572</v>
      </c>
    </row>
    <row r="5" spans="1:20" x14ac:dyDescent="0.3">
      <c r="A5" s="4" t="s">
        <v>17</v>
      </c>
      <c r="B5" s="4" t="s">
        <v>19</v>
      </c>
      <c r="C5" s="10">
        <v>2.4</v>
      </c>
      <c r="L5" s="8"/>
      <c r="M5" s="8">
        <f>C5-(C5/100*12)</f>
        <v>2.1120000000000001</v>
      </c>
      <c r="N5" s="8"/>
      <c r="O5" s="18">
        <f ca="1">FORECAST(C5, OFFSET(Strength_Normative_Data!$O$3, MATCH(C5, Strength_Normative_Data!$Q$3:$Q$17, -1)-1, 0, 2), OFFSET(Strength_Normative_Data!$Q$3, MATCH(C5, Strength_Normative_Data!$Q$3:$Q$17, -1)-1, 0, 2))</f>
        <v>50</v>
      </c>
      <c r="Q5" s="6" t="s">
        <v>29</v>
      </c>
      <c r="R5" s="6">
        <f ca="1">((O14/100*30)+(O15/100*25)+(O16/100*30)+(O17/100*15))</f>
        <v>50</v>
      </c>
    </row>
    <row r="6" spans="1:20" x14ac:dyDescent="0.3">
      <c r="A6" s="4" t="s">
        <v>17</v>
      </c>
      <c r="B6" s="4" t="s">
        <v>20</v>
      </c>
      <c r="C6" s="10">
        <v>24</v>
      </c>
      <c r="L6" s="8"/>
      <c r="M6" s="8">
        <f>C6-(C6/100*12)</f>
        <v>21.12</v>
      </c>
      <c r="N6" s="8"/>
      <c r="O6" s="18">
        <f ca="1">FORECAST(C6, OFFSET(Strength_Normative_Data!$J$3, MATCH(C6, Strength_Normative_Data!$L$3:$L$16, -1)-1, 0, 2), OFFSET(Strength_Normative_Data!$L$3, MATCH(C6, Strength_Normative_Data!$L$3:$L$16, -1)-1, 0, 2))</f>
        <v>50</v>
      </c>
      <c r="Q6" s="7" t="s">
        <v>4</v>
      </c>
      <c r="R6" s="7">
        <f>((O18/100*60)+(O19/100*40))</f>
        <v>50</v>
      </c>
    </row>
    <row r="7" spans="1:20" x14ac:dyDescent="0.3">
      <c r="A7" s="5" t="s">
        <v>21</v>
      </c>
      <c r="B7" s="5" t="s">
        <v>22</v>
      </c>
      <c r="C7" s="11">
        <v>38</v>
      </c>
      <c r="L7" s="8"/>
      <c r="M7" s="8">
        <f>C7+(C7/100*6)</f>
        <v>40.28</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5.5</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2.6</v>
      </c>
      <c r="L11" s="8"/>
      <c r="M11" s="8">
        <f>C11+(C11/100*14)</f>
        <v>2.964</v>
      </c>
      <c r="N11" s="8"/>
      <c r="O11" s="5">
        <f xml:space="preserve">
IF(C11&lt;1.6,10*(C11/1.6),
IF(C11&lt;3,10+40*(C11-1.6)/1.4,
50+50*(MIN(C11,7)-3)/4))</f>
        <v>38.571428571428569</v>
      </c>
      <c r="Q11">
        <f>(0.3*P12)+(0.2*O8)+(0.15*O10)+(0.25*O11)+(0.1*O13)</f>
        <v>35.042857142857144</v>
      </c>
      <c r="R11">
        <f xml:space="preserve">
IF(Q11&lt;=10,1.5-0.1*Q11,
IF(Q11&lt;=60,0.5-0.02*(Q11-10),
-0.5-0.03*(Q11-60)))</f>
        <v>-8.5714285714288962E-4</v>
      </c>
    </row>
    <row r="12" spans="1:20" x14ac:dyDescent="0.3">
      <c r="A12" s="5" t="s">
        <v>21</v>
      </c>
      <c r="B12" s="5" t="s">
        <v>27</v>
      </c>
      <c r="C12" s="11">
        <v>1.05</v>
      </c>
      <c r="L12" s="8"/>
      <c r="M12" s="8">
        <f>C12+(C12/100*6)</f>
        <v>1.113</v>
      </c>
      <c r="N12" s="8"/>
      <c r="O12" s="5">
        <f>C12*100</f>
        <v>105</v>
      </c>
      <c r="P12" s="5">
        <f xml:space="preserve">
IF(O12&lt;80,5*(O12/80),
IF(O12&lt;100,10+20*(O12-80)/20,
IF(O12&lt;130,30+25*(O12-100)/30,
IF(O12&lt;160,55+25*(O12-130)/30,
IF(O12&lt;200,80+20*(O12-160)/40,100)))))</f>
        <v>34.166666666666664</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1.31</v>
      </c>
      <c r="L14" s="8"/>
      <c r="M14" s="8">
        <f>C14+(C14/100*6)</f>
        <v>1.3886000000000001</v>
      </c>
      <c r="N14" s="8"/>
      <c r="O14" s="12">
        <f ca="1">IFERROR(FORECAST(C14, OFFSET(Mobility_Normative_Data!$A$3, MATCH(C14, Mobility_Normative_Data!$C$3:$C$17, -1)-1, 0, 2), OFFSET(Mobility_Normative_Data!$C$3, MATCH(C14, Mobility_Normative_Data!$C$3:$C$17, -1)-1, 0, 2)), INDEX(Mobility_Normative_Data!$A$3:$A$17, MATCH(C14, Mobility_Normative_Data!$C$3:$C$17, -1)))</f>
        <v>50</v>
      </c>
    </row>
    <row r="15" spans="1:20" x14ac:dyDescent="0.3">
      <c r="A15" s="6" t="s">
        <v>29</v>
      </c>
      <c r="B15" s="6" t="s">
        <v>31</v>
      </c>
      <c r="C15" s="12">
        <v>7.5</v>
      </c>
      <c r="L15" s="8"/>
      <c r="M15" s="8">
        <f>C15+(C15/100*10)</f>
        <v>8.25</v>
      </c>
      <c r="N15" s="8"/>
      <c r="O15" s="12">
        <f ca="1">FORECAST(C15, OFFSET(Mobility_Normative_Data!$E$3, MATCH(C15, Mobility_Normative_Data!$G$3:$G$18, 1)-1, 0, 2), OFFSET(Mobility_Normative_Data!$G$3, MATCH(C15, Mobility_Normative_Data!$G$3:$G$18, 1)-1, 0, 2))</f>
        <v>50</v>
      </c>
    </row>
    <row r="16" spans="1:20" x14ac:dyDescent="0.3">
      <c r="A16" s="6" t="s">
        <v>29</v>
      </c>
      <c r="B16" s="6" t="s">
        <v>32</v>
      </c>
      <c r="C16" s="12">
        <v>35</v>
      </c>
      <c r="L16" s="8"/>
      <c r="M16" s="8">
        <f>C16+(C16/100*20)</f>
        <v>42</v>
      </c>
      <c r="N16" s="8"/>
      <c r="O16" s="12">
        <f ca="1">FORECAST(C16, OFFSET(Mobility_Normative_Data!$I$3, MATCH(C16, Mobility_Normative_Data!$K$3:$K$17, -1)-1, 0, 2), OFFSET(Mobility_Normative_Data!$K$3, MATCH(C16, Mobility_Normative_Data!$K$3:$K$17, -1)-1, 0, 2))</f>
        <v>50.000000000000007</v>
      </c>
    </row>
    <row r="17" spans="1:27" x14ac:dyDescent="0.3">
      <c r="A17" s="6" t="s">
        <v>29</v>
      </c>
      <c r="B17" s="6" t="s">
        <v>33</v>
      </c>
      <c r="C17" s="12">
        <v>34</v>
      </c>
      <c r="L17" s="8"/>
      <c r="M17" s="8">
        <f>C17+(C17/100*10)</f>
        <v>37.4</v>
      </c>
      <c r="N17" s="8"/>
      <c r="O17" s="12">
        <f ca="1">FORECAST(C17, OFFSET(Mobility_Normative_Data!$M$3, MATCH(C17, Mobility_Normative_Data!$O$3:$O$17, -1)-1, 0, 2), OFFSET(Mobility_Normative_Data!$O$3, MATCH(C17, Mobility_Normative_Data!$O$3:$O$17, -1)-1, 0, 2))</f>
        <v>50</v>
      </c>
    </row>
    <row r="18" spans="1:27" x14ac:dyDescent="0.3">
      <c r="A18" s="7" t="s">
        <v>34</v>
      </c>
      <c r="B18" s="7" t="s">
        <v>35</v>
      </c>
      <c r="C18" s="13">
        <v>0</v>
      </c>
      <c r="L18" s="8"/>
      <c r="M18" s="8">
        <f>C18 +(-0.2)</f>
        <v>-0.2</v>
      </c>
      <c r="N18" s="8"/>
      <c r="O18" s="20">
        <f>MAX(18,B27-(C18*25))</f>
        <v>50</v>
      </c>
    </row>
    <row r="19" spans="1:27" x14ac:dyDescent="0.3">
      <c r="A19" s="7" t="s">
        <v>34</v>
      </c>
      <c r="B19" s="7" t="s">
        <v>36</v>
      </c>
      <c r="C19" s="13">
        <v>0</v>
      </c>
      <c r="L19" s="8"/>
      <c r="M19" s="8">
        <f>C19+(-0.2)</f>
        <v>-0.2</v>
      </c>
      <c r="N19" s="8"/>
      <c r="O19" s="20">
        <f>MAX(18,B27-(J1925))</f>
        <v>50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50</v>
      </c>
      <c r="C27">
        <f>B27+10</f>
        <v>60</v>
      </c>
      <c r="D27">
        <f>C27+10</f>
        <v>70</v>
      </c>
      <c r="E27">
        <f>D27+10</f>
        <v>80</v>
      </c>
      <c r="F27">
        <f>E27+10</f>
        <v>90</v>
      </c>
    </row>
    <row r="28" spans="1:27" x14ac:dyDescent="0.3">
      <c r="A28" t="s">
        <v>0</v>
      </c>
      <c r="B28" s="24">
        <f>R2</f>
        <v>50.000000000000007</v>
      </c>
      <c r="C28">
        <f>B28+(B28/100*11.5)</f>
        <v>55.750000000000007</v>
      </c>
      <c r="D28">
        <f>C28+(C28/100*32.2)</f>
        <v>73.70150000000001</v>
      </c>
      <c r="E28">
        <f>D28+(D28/100*32.2)</f>
        <v>97.433383000000021</v>
      </c>
      <c r="F28">
        <f>E28+(E28/100*32.2)</f>
        <v>128.80693232600004</v>
      </c>
    </row>
    <row r="29" spans="1:27" x14ac:dyDescent="0.3">
      <c r="A29" t="s">
        <v>1</v>
      </c>
      <c r="B29">
        <f ca="1">R3</f>
        <v>50</v>
      </c>
      <c r="C29">
        <f ca="1">B29+(B29/100*12.3)</f>
        <v>56.15</v>
      </c>
      <c r="D29">
        <f ca="1">C29+(C29/100*30.8)</f>
        <v>73.444199999999995</v>
      </c>
      <c r="E29">
        <f ca="1">D29+(D29/100*30.8)</f>
        <v>96.065013599999986</v>
      </c>
      <c r="F29">
        <f ca="1">E29+(E29/100*30.8)</f>
        <v>125.65303778879998</v>
      </c>
    </row>
    <row r="30" spans="1:27" x14ac:dyDescent="0.3">
      <c r="A30" t="s">
        <v>2</v>
      </c>
      <c r="B30">
        <f>R4</f>
        <v>50.007714285714286</v>
      </c>
      <c r="C30">
        <f>B30+(B30/100*5.5)</f>
        <v>52.758138571428574</v>
      </c>
      <c r="D30">
        <f>C30+(C30/100*11)</f>
        <v>58.561533814285717</v>
      </c>
      <c r="E30">
        <f>D30+(D30/100*11)</f>
        <v>65.003302533857152</v>
      </c>
      <c r="F30">
        <f>E30+(E30/100*11)</f>
        <v>72.153665812581437</v>
      </c>
    </row>
    <row r="31" spans="1:27" x14ac:dyDescent="0.3">
      <c r="A31" t="s">
        <v>3</v>
      </c>
      <c r="B31">
        <f ca="1">R5</f>
        <v>50</v>
      </c>
      <c r="C31">
        <f ca="1">B31+(B31/100*9.9)</f>
        <v>54.95</v>
      </c>
      <c r="D31">
        <f ca="1">C31+(C31/100*19.8)</f>
        <v>65.830100000000002</v>
      </c>
      <c r="E31">
        <f ca="1">D31+(D31/100*19.8)</f>
        <v>78.864459800000006</v>
      </c>
      <c r="F31">
        <f ca="1">E31+(E31/100*19.8)</f>
        <v>94.479622840400012</v>
      </c>
      <c r="N31" s="46" t="s">
        <v>104</v>
      </c>
      <c r="O31" s="46"/>
      <c r="P31" s="46"/>
      <c r="Q31" s="46"/>
      <c r="R31" s="46"/>
      <c r="S31" s="46"/>
      <c r="T31" s="46"/>
      <c r="U31" s="46"/>
      <c r="V31" s="46"/>
      <c r="W31" s="46"/>
      <c r="X31" s="46"/>
      <c r="Y31" s="46"/>
      <c r="Z31" s="46"/>
      <c r="AA31" s="46"/>
    </row>
    <row r="32" spans="1:27" ht="100.8" x14ac:dyDescent="0.3">
      <c r="A32" t="s">
        <v>4</v>
      </c>
      <c r="B32">
        <f>R6</f>
        <v>50</v>
      </c>
      <c r="C32">
        <f>B32+(B32/100*20)</f>
        <v>60</v>
      </c>
      <c r="D32">
        <f>C32+(C32/100*60)</f>
        <v>96</v>
      </c>
      <c r="E32">
        <f>D32+(D32/100*60)</f>
        <v>153.6</v>
      </c>
      <c r="F32">
        <f>E32+(E32/100*60)</f>
        <v>245.76</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50</v>
      </c>
      <c r="O33" s="27">
        <f>R2</f>
        <v>50.000000000000007</v>
      </c>
      <c r="P33" s="2"/>
      <c r="Q33" s="2">
        <f>N33</f>
        <v>50</v>
      </c>
      <c r="R33" s="2">
        <f ca="1">R3</f>
        <v>50</v>
      </c>
      <c r="S33" s="2"/>
      <c r="T33" s="2">
        <f>N33</f>
        <v>50</v>
      </c>
      <c r="U33" s="2">
        <f>R4</f>
        <v>50.007714285714286</v>
      </c>
      <c r="V33" s="2"/>
      <c r="W33" s="2">
        <f>N33</f>
        <v>50</v>
      </c>
      <c r="X33" s="2">
        <f ca="1">R5</f>
        <v>50</v>
      </c>
      <c r="Y33" s="2"/>
      <c r="Z33" s="2">
        <f>N33</f>
        <v>50</v>
      </c>
      <c r="AA33">
        <f>R6</f>
        <v>50</v>
      </c>
    </row>
    <row r="34" spans="1:27" x14ac:dyDescent="0.3">
      <c r="N34" s="2">
        <f>N33+1</f>
        <v>51</v>
      </c>
      <c r="O34" s="2">
        <f>O33+(O33*0.0115)</f>
        <v>50.57500000000001</v>
      </c>
      <c r="P34" s="2"/>
      <c r="Q34" s="2">
        <f>Q33+1</f>
        <v>51</v>
      </c>
      <c r="R34" s="2">
        <f ca="1">R33+(R33*0.0123)</f>
        <v>50.615000000000002</v>
      </c>
      <c r="S34" s="2"/>
      <c r="T34" s="2">
        <f>T33+1</f>
        <v>51</v>
      </c>
      <c r="U34" s="2">
        <f t="shared" ref="U34:U43" si="3">U33+(U33*0.0055)</f>
        <v>50.282756714285718</v>
      </c>
      <c r="V34" s="2"/>
      <c r="W34" s="2">
        <f>W33+1</f>
        <v>51</v>
      </c>
      <c r="X34" s="2">
        <f ca="1">X33+(X33*0.0099)</f>
        <v>50.494999999999997</v>
      </c>
      <c r="Y34" s="2"/>
      <c r="Z34" s="2">
        <f>Z33+1</f>
        <v>51</v>
      </c>
      <c r="AA34">
        <f>AA33+(AA33*0.02)</f>
        <v>51</v>
      </c>
    </row>
    <row r="35" spans="1:27" x14ac:dyDescent="0.3">
      <c r="N35" s="2">
        <f t="shared" ref="N35:N43" si="4">N34+1</f>
        <v>52</v>
      </c>
      <c r="O35" s="2">
        <f t="shared" ref="O35:O43" si="5">O34+(O34*0.0115)</f>
        <v>51.156612500000008</v>
      </c>
      <c r="P35" s="2"/>
      <c r="Q35" s="2">
        <f t="shared" ref="Q35:Q43" si="6">Q34+1</f>
        <v>52</v>
      </c>
      <c r="R35" s="2">
        <f t="shared" ref="R35:R43" ca="1" si="7">R34+(R34*0.0123)</f>
        <v>51.237564500000005</v>
      </c>
      <c r="S35" s="2"/>
      <c r="T35" s="2">
        <f t="shared" ref="T35:T43" si="8">T34+1</f>
        <v>52</v>
      </c>
      <c r="U35" s="2">
        <f t="shared" si="3"/>
        <v>50.559311876214288</v>
      </c>
      <c r="V35" s="2"/>
      <c r="W35" s="2">
        <f t="shared" ref="W35:W43" si="9">W34+1</f>
        <v>52</v>
      </c>
      <c r="X35" s="2">
        <f t="shared" ref="X35:X43" ca="1" si="10">X34+(X34*0.0099)</f>
        <v>50.9949005</v>
      </c>
      <c r="Y35" s="2"/>
      <c r="Z35" s="2">
        <f t="shared" ref="Z35:Z43" si="11">Z34+1</f>
        <v>52</v>
      </c>
      <c r="AA35">
        <f t="shared" ref="AA35:AA43" si="12">AA34+(AA34*0.02)</f>
        <v>52.02</v>
      </c>
    </row>
    <row r="36" spans="1:27" x14ac:dyDescent="0.3">
      <c r="A36" t="s">
        <v>8</v>
      </c>
      <c r="N36" s="2">
        <f t="shared" si="4"/>
        <v>53</v>
      </c>
      <c r="O36" s="2">
        <f t="shared" si="5"/>
        <v>51.744913543750009</v>
      </c>
      <c r="P36" s="2"/>
      <c r="Q36" s="2">
        <f t="shared" si="6"/>
        <v>53</v>
      </c>
      <c r="R36" s="2">
        <f t="shared" ca="1" si="7"/>
        <v>51.867786543350007</v>
      </c>
      <c r="S36" s="2"/>
      <c r="T36" s="2">
        <f t="shared" si="8"/>
        <v>53</v>
      </c>
      <c r="U36" s="2">
        <f t="shared" si="3"/>
        <v>50.837388091533469</v>
      </c>
      <c r="V36" s="2"/>
      <c r="W36" s="2">
        <f t="shared" si="9"/>
        <v>53</v>
      </c>
      <c r="X36" s="2">
        <f t="shared" ca="1" si="10"/>
        <v>51.499750014950003</v>
      </c>
      <c r="Y36" s="2"/>
      <c r="Z36" s="2">
        <f t="shared" si="11"/>
        <v>53</v>
      </c>
      <c r="AA36">
        <f t="shared" si="12"/>
        <v>53.060400000000001</v>
      </c>
    </row>
    <row r="37" spans="1:27" x14ac:dyDescent="0.3">
      <c r="A37" s="1">
        <f ca="1">(B28/100*20)+(B29/100*20)+(B30/100*25)+(B31/100*20)+(B32/100*15)</f>
        <v>50.001928571428572</v>
      </c>
      <c r="N37" s="2">
        <f t="shared" si="4"/>
        <v>54</v>
      </c>
      <c r="O37" s="2">
        <f t="shared" si="5"/>
        <v>52.339980049503133</v>
      </c>
      <c r="P37" s="2"/>
      <c r="Q37" s="2">
        <f t="shared" si="6"/>
        <v>54</v>
      </c>
      <c r="R37" s="2">
        <f t="shared" ca="1" si="7"/>
        <v>52.505760317833214</v>
      </c>
      <c r="S37" s="2"/>
      <c r="T37" s="2">
        <f t="shared" si="8"/>
        <v>54</v>
      </c>
      <c r="U37" s="2">
        <f t="shared" si="3"/>
        <v>51.116993726036903</v>
      </c>
      <c r="V37" s="2"/>
      <c r="W37" s="2">
        <f t="shared" si="9"/>
        <v>54</v>
      </c>
      <c r="X37" s="2">
        <f t="shared" ca="1" si="10"/>
        <v>52.009597540098007</v>
      </c>
      <c r="Y37" s="2"/>
      <c r="Z37" s="2">
        <f t="shared" si="11"/>
        <v>54</v>
      </c>
      <c r="AA37">
        <f t="shared" si="12"/>
        <v>54.121608000000002</v>
      </c>
    </row>
    <row r="38" spans="1:27" x14ac:dyDescent="0.3">
      <c r="N38" s="2">
        <f t="shared" si="4"/>
        <v>55</v>
      </c>
      <c r="O38" s="2">
        <f t="shared" si="5"/>
        <v>52.941889820072419</v>
      </c>
      <c r="P38" s="2"/>
      <c r="Q38" s="2">
        <f t="shared" si="6"/>
        <v>55</v>
      </c>
      <c r="R38" s="2">
        <f t="shared" ca="1" si="7"/>
        <v>53.151581169742563</v>
      </c>
      <c r="S38" s="2"/>
      <c r="T38" s="2">
        <f t="shared" si="8"/>
        <v>55</v>
      </c>
      <c r="U38" s="2">
        <f t="shared" si="3"/>
        <v>51.398137191530104</v>
      </c>
      <c r="V38" s="2"/>
      <c r="W38" s="2">
        <f t="shared" si="9"/>
        <v>55</v>
      </c>
      <c r="X38" s="2">
        <f t="shared" ca="1" si="10"/>
        <v>52.524492555744978</v>
      </c>
      <c r="Y38" s="2"/>
      <c r="Z38" s="2">
        <f t="shared" si="11"/>
        <v>55</v>
      </c>
      <c r="AA38">
        <f t="shared" si="12"/>
        <v>55.204040160000005</v>
      </c>
    </row>
    <row r="39" spans="1:27" x14ac:dyDescent="0.3">
      <c r="N39" s="2">
        <f t="shared" si="4"/>
        <v>56</v>
      </c>
      <c r="O39" s="2">
        <f t="shared" si="5"/>
        <v>53.55072155300325</v>
      </c>
      <c r="P39" s="2"/>
      <c r="Q39" s="2">
        <f t="shared" si="6"/>
        <v>56</v>
      </c>
      <c r="R39" s="2">
        <f t="shared" ca="1" si="7"/>
        <v>53.805345618130396</v>
      </c>
      <c r="S39" s="2"/>
      <c r="T39" s="2">
        <f t="shared" si="8"/>
        <v>56</v>
      </c>
      <c r="U39" s="2">
        <f t="shared" si="3"/>
        <v>51.680826946083521</v>
      </c>
      <c r="V39" s="2"/>
      <c r="W39" s="2">
        <f t="shared" si="9"/>
        <v>56</v>
      </c>
      <c r="X39" s="2">
        <f t="shared" ca="1" si="10"/>
        <v>53.04448503204685</v>
      </c>
      <c r="Y39" s="2"/>
      <c r="Z39" s="2">
        <f t="shared" si="11"/>
        <v>56</v>
      </c>
      <c r="AA39">
        <f t="shared" si="12"/>
        <v>56.308120963200004</v>
      </c>
    </row>
    <row r="40" spans="1:27" x14ac:dyDescent="0.3">
      <c r="N40" s="2">
        <f t="shared" si="4"/>
        <v>57</v>
      </c>
      <c r="O40" s="2">
        <f t="shared" si="5"/>
        <v>54.166554850862788</v>
      </c>
      <c r="P40" s="2"/>
      <c r="Q40" s="2">
        <f t="shared" si="6"/>
        <v>57</v>
      </c>
      <c r="R40" s="2">
        <f t="shared" ca="1" si="7"/>
        <v>54.467151369233399</v>
      </c>
      <c r="S40" s="2"/>
      <c r="T40" s="2">
        <f t="shared" si="8"/>
        <v>57</v>
      </c>
      <c r="U40" s="2">
        <f t="shared" si="3"/>
        <v>51.965071494286981</v>
      </c>
      <c r="V40" s="2"/>
      <c r="W40" s="2">
        <f t="shared" si="9"/>
        <v>57</v>
      </c>
      <c r="X40" s="2">
        <f t="shared" ca="1" si="10"/>
        <v>53.569625433864111</v>
      </c>
      <c r="Y40" s="2"/>
      <c r="Z40" s="2">
        <f t="shared" si="11"/>
        <v>57</v>
      </c>
      <c r="AA40">
        <f t="shared" si="12"/>
        <v>57.434283382464002</v>
      </c>
    </row>
    <row r="41" spans="1:27" x14ac:dyDescent="0.3">
      <c r="N41" s="2">
        <f t="shared" si="4"/>
        <v>58</v>
      </c>
      <c r="O41" s="2">
        <f t="shared" si="5"/>
        <v>54.789470231647712</v>
      </c>
      <c r="P41" s="2"/>
      <c r="Q41" s="2">
        <f t="shared" si="6"/>
        <v>58</v>
      </c>
      <c r="R41" s="2">
        <f t="shared" ca="1" si="7"/>
        <v>55.137097331074969</v>
      </c>
      <c r="S41" s="2"/>
      <c r="T41" s="2">
        <f t="shared" si="8"/>
        <v>58</v>
      </c>
      <c r="U41" s="2">
        <f t="shared" si="3"/>
        <v>52.250879387505563</v>
      </c>
      <c r="V41" s="2"/>
      <c r="W41" s="2">
        <f t="shared" si="9"/>
        <v>58</v>
      </c>
      <c r="X41" s="2">
        <f t="shared" ca="1" si="10"/>
        <v>54.099964725659369</v>
      </c>
      <c r="Y41" s="2"/>
      <c r="Z41" s="2">
        <f t="shared" si="11"/>
        <v>58</v>
      </c>
      <c r="AA41">
        <f t="shared" si="12"/>
        <v>58.582969050113284</v>
      </c>
    </row>
    <row r="42" spans="1:27" x14ac:dyDescent="0.3">
      <c r="B42" t="s">
        <v>12</v>
      </c>
      <c r="C42" t="s">
        <v>0</v>
      </c>
      <c r="D42" t="s">
        <v>12</v>
      </c>
      <c r="E42" t="s">
        <v>1</v>
      </c>
      <c r="F42" t="s">
        <v>12</v>
      </c>
      <c r="G42" t="s">
        <v>2</v>
      </c>
      <c r="H42" t="s">
        <v>12</v>
      </c>
      <c r="I42" t="s">
        <v>3</v>
      </c>
      <c r="J42" t="s">
        <v>12</v>
      </c>
      <c r="K42" t="s">
        <v>4</v>
      </c>
      <c r="N42" s="2">
        <f t="shared" si="4"/>
        <v>59</v>
      </c>
      <c r="O42" s="2">
        <f t="shared" si="5"/>
        <v>55.419549139311663</v>
      </c>
      <c r="P42" s="2"/>
      <c r="Q42" s="2">
        <f t="shared" si="6"/>
        <v>59</v>
      </c>
      <c r="R42" s="2">
        <f t="shared" ca="1" si="7"/>
        <v>55.815283628247194</v>
      </c>
      <c r="S42" s="2"/>
      <c r="T42" s="2">
        <f t="shared" si="8"/>
        <v>59</v>
      </c>
      <c r="U42" s="2">
        <f t="shared" si="3"/>
        <v>52.538259224136844</v>
      </c>
      <c r="V42" s="2"/>
      <c r="W42" s="2">
        <f t="shared" si="9"/>
        <v>59</v>
      </c>
      <c r="X42" s="2">
        <f t="shared" ca="1" si="10"/>
        <v>54.635554376443395</v>
      </c>
      <c r="Y42" s="2"/>
      <c r="Z42" s="2">
        <f t="shared" si="11"/>
        <v>59</v>
      </c>
      <c r="AA42">
        <f t="shared" si="12"/>
        <v>59.754628431115549</v>
      </c>
    </row>
    <row r="43" spans="1:27" x14ac:dyDescent="0.3">
      <c r="B43">
        <f>B27</f>
        <v>50</v>
      </c>
      <c r="C43">
        <f>B28</f>
        <v>50.000000000000007</v>
      </c>
      <c r="D43">
        <f>B43</f>
        <v>50</v>
      </c>
      <c r="E43">
        <f ca="1">B29</f>
        <v>50</v>
      </c>
      <c r="F43">
        <f>B27</f>
        <v>50</v>
      </c>
      <c r="G43">
        <f>B30</f>
        <v>50.007714285714286</v>
      </c>
      <c r="H43">
        <f>B27</f>
        <v>50</v>
      </c>
      <c r="I43">
        <f ca="1">B31</f>
        <v>50</v>
      </c>
      <c r="J43">
        <f>B27</f>
        <v>50</v>
      </c>
      <c r="K43">
        <f>B32</f>
        <v>50</v>
      </c>
      <c r="N43" s="2">
        <f t="shared" si="4"/>
        <v>60</v>
      </c>
      <c r="O43" s="2">
        <f t="shared" si="5"/>
        <v>56.056873954413746</v>
      </c>
      <c r="P43" s="2"/>
      <c r="Q43" s="2">
        <f t="shared" si="6"/>
        <v>60</v>
      </c>
      <c r="R43" s="2">
        <f t="shared" ca="1" si="7"/>
        <v>56.501811616874633</v>
      </c>
      <c r="S43" s="2"/>
      <c r="T43" s="2">
        <f t="shared" si="8"/>
        <v>60</v>
      </c>
      <c r="U43" s="2">
        <f t="shared" si="3"/>
        <v>52.827219649869598</v>
      </c>
      <c r="V43" s="2"/>
      <c r="W43" s="2">
        <f t="shared" si="9"/>
        <v>60</v>
      </c>
      <c r="X43" s="2">
        <f t="shared" ca="1" si="10"/>
        <v>55.176446364770186</v>
      </c>
      <c r="Y43" s="2"/>
      <c r="Z43" s="2">
        <f t="shared" si="11"/>
        <v>60</v>
      </c>
      <c r="AA43">
        <f t="shared" si="12"/>
        <v>60.949720999737863</v>
      </c>
    </row>
    <row r="44" spans="1:27" x14ac:dyDescent="0.3">
      <c r="B44">
        <f>C27</f>
        <v>60</v>
      </c>
      <c r="C44">
        <f>C28</f>
        <v>55.750000000000007</v>
      </c>
      <c r="D44">
        <f>B44</f>
        <v>60</v>
      </c>
      <c r="E44">
        <f ca="1">C29</f>
        <v>56.15</v>
      </c>
      <c r="F44">
        <f>C27</f>
        <v>60</v>
      </c>
      <c r="G44">
        <f>C30</f>
        <v>52.758138571428574</v>
      </c>
      <c r="H44">
        <f>C27</f>
        <v>60</v>
      </c>
      <c r="I44">
        <f ca="1">C31</f>
        <v>54.95</v>
      </c>
      <c r="J44">
        <f>C27</f>
        <v>60</v>
      </c>
      <c r="K44">
        <f>C32</f>
        <v>60</v>
      </c>
    </row>
    <row r="45" spans="1:27" x14ac:dyDescent="0.3">
      <c r="B45">
        <f>D27</f>
        <v>70</v>
      </c>
      <c r="C45">
        <f>D28</f>
        <v>73.70150000000001</v>
      </c>
      <c r="D45">
        <f>D27</f>
        <v>70</v>
      </c>
      <c r="E45">
        <f ca="1">D29</f>
        <v>73.444199999999995</v>
      </c>
      <c r="F45">
        <f>D27</f>
        <v>70</v>
      </c>
      <c r="G45">
        <f>D30</f>
        <v>58.561533814285717</v>
      </c>
      <c r="H45">
        <f>D27</f>
        <v>70</v>
      </c>
      <c r="I45">
        <f ca="1">D31</f>
        <v>65.830100000000002</v>
      </c>
      <c r="J45">
        <f>D27</f>
        <v>70</v>
      </c>
      <c r="K45">
        <f>D32</f>
        <v>96</v>
      </c>
    </row>
    <row r="46" spans="1:27" x14ac:dyDescent="0.3">
      <c r="B46">
        <f>E27</f>
        <v>80</v>
      </c>
      <c r="C46">
        <f>E28</f>
        <v>97.433383000000021</v>
      </c>
      <c r="D46">
        <f>E27</f>
        <v>80</v>
      </c>
      <c r="E46">
        <f ca="1">E29</f>
        <v>96.065013599999986</v>
      </c>
      <c r="F46">
        <f>E27</f>
        <v>80</v>
      </c>
      <c r="G46">
        <f>E30</f>
        <v>65.003302533857152</v>
      </c>
      <c r="H46">
        <f>E27</f>
        <v>80</v>
      </c>
      <c r="I46">
        <f ca="1">E31</f>
        <v>78.864459800000006</v>
      </c>
      <c r="J46">
        <f>E27</f>
        <v>80</v>
      </c>
      <c r="K46">
        <f>E32</f>
        <v>153.6</v>
      </c>
    </row>
    <row r="47" spans="1:27" x14ac:dyDescent="0.3">
      <c r="B47">
        <f>F27</f>
        <v>90</v>
      </c>
      <c r="C47">
        <f>F28</f>
        <v>128.80693232600004</v>
      </c>
      <c r="D47">
        <f>F27</f>
        <v>90</v>
      </c>
      <c r="E47">
        <f ca="1">F29</f>
        <v>125.65303778879998</v>
      </c>
      <c r="F47">
        <f>F27</f>
        <v>90</v>
      </c>
      <c r="G47">
        <f ca="1">F31</f>
        <v>94.479622840400012</v>
      </c>
      <c r="H47">
        <f>F27</f>
        <v>90</v>
      </c>
      <c r="I47">
        <f ca="1">F31</f>
        <v>94.479622840400012</v>
      </c>
      <c r="J47">
        <f>F27</f>
        <v>90</v>
      </c>
      <c r="K47">
        <f>F32</f>
        <v>245.76</v>
      </c>
    </row>
  </sheetData>
  <mergeCells count="2">
    <mergeCell ref="A23:F23"/>
    <mergeCell ref="N31:AA3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7F2C-E5FA-48C8-B6E1-93C467F22BD2}">
  <dimension ref="A1:AA47"/>
  <sheetViews>
    <sheetView topLeftCell="C4" zoomScale="77" zoomScaleNormal="77"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34.5</v>
      </c>
      <c r="D2">
        <f t="shared" ref="D2:M2" si="0">C2-(C2/100*D1)</f>
        <v>34.155000000000001</v>
      </c>
      <c r="E2">
        <f t="shared" si="0"/>
        <v>33.471899999999998</v>
      </c>
      <c r="F2">
        <f t="shared" si="0"/>
        <v>32.467742999999999</v>
      </c>
      <c r="G2">
        <f t="shared" si="0"/>
        <v>31.169033279999997</v>
      </c>
      <c r="H2">
        <f t="shared" si="0"/>
        <v>29.610581615999997</v>
      </c>
      <c r="I2">
        <f t="shared" si="0"/>
        <v>27.833946719039997</v>
      </c>
      <c r="J2">
        <f t="shared" si="0"/>
        <v>25.885570448707195</v>
      </c>
      <c r="K2">
        <f t="shared" si="0"/>
        <v>23.814724812810621</v>
      </c>
      <c r="L2">
        <f t="shared" si="0"/>
        <v>21.671399579657663</v>
      </c>
      <c r="M2">
        <f t="shared" si="0"/>
        <v>19.504259621691897</v>
      </c>
      <c r="N2" s="8"/>
      <c r="O2" s="21"/>
      <c r="Q2" s="3" t="s">
        <v>0</v>
      </c>
      <c r="R2" s="16">
        <f>B27+ ((1 -((C2 / 34.5) * 0.7 )-((C3 / 100) * 0.3 )) * 100)</f>
        <v>55.000000000000007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55.000000000000007</v>
      </c>
      <c r="T3" s="23" t="s">
        <v>8</v>
      </c>
    </row>
    <row r="4" spans="1:20" ht="18" customHeight="1" x14ac:dyDescent="0.3">
      <c r="A4" s="4" t="s">
        <v>17</v>
      </c>
      <c r="B4" s="4" t="s">
        <v>18</v>
      </c>
      <c r="C4" s="10">
        <v>44</v>
      </c>
      <c r="D4">
        <f>C4-(C4/100*D1)</f>
        <v>43.56</v>
      </c>
      <c r="E4">
        <f t="shared" ref="E4:M4" si="2">D4-(D4/100*E1)</f>
        <v>42.688800000000001</v>
      </c>
      <c r="F4">
        <f t="shared" si="2"/>
        <v>41.408135999999999</v>
      </c>
      <c r="G4">
        <f t="shared" si="2"/>
        <v>39.751810559999996</v>
      </c>
      <c r="H4">
        <f t="shared" si="2"/>
        <v>37.764220031999997</v>
      </c>
      <c r="I4">
        <f t="shared" si="2"/>
        <v>35.498366830079995</v>
      </c>
      <c r="J4">
        <f t="shared" si="2"/>
        <v>33.013481151974396</v>
      </c>
      <c r="K4">
        <f t="shared" si="2"/>
        <v>30.372402659816444</v>
      </c>
      <c r="L4">
        <f t="shared" si="2"/>
        <v>27.638886420432964</v>
      </c>
      <c r="M4">
        <f t="shared" si="2"/>
        <v>24.87499777838967</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55</v>
      </c>
      <c r="Q4" s="5" t="s">
        <v>2</v>
      </c>
      <c r="R4" s="5">
        <f>B27 - 9*R11</f>
        <v>56.830857142857141</v>
      </c>
      <c r="T4" s="1">
        <f ca="1">(R2/100*20)+(R3/100*20)+(R4/100*25)+(R5/100*20)+(R6/100*15)</f>
        <v>55.457714285714289</v>
      </c>
    </row>
    <row r="5" spans="1:20" x14ac:dyDescent="0.3">
      <c r="A5" s="4" t="s">
        <v>17</v>
      </c>
      <c r="B5" s="4" t="s">
        <v>19</v>
      </c>
      <c r="C5" s="10">
        <v>2.9</v>
      </c>
      <c r="L5" s="8"/>
      <c r="M5" s="8">
        <f>C5-(C5/100*12)</f>
        <v>2.552</v>
      </c>
      <c r="N5" s="8"/>
      <c r="O5" s="18">
        <f ca="1">FORECAST(C5, OFFSET(Strength_Normative_Data!$O$3, MATCH(C5, Strength_Normative_Data!$P$3:$P$17, -1)-1, 0, 2), OFFSET(Strength_Normative_Data!$P$3, MATCH(C5, Strength_Normative_Data!$P$3:$P$17, -1)-1, 0, 2))</f>
        <v>55</v>
      </c>
      <c r="Q5" s="6" t="s">
        <v>29</v>
      </c>
      <c r="R5" s="6">
        <f ca="1">((O14/100*30)+(O15/100*25)+(O16/100*30)+(O17/100*15))</f>
        <v>55</v>
      </c>
    </row>
    <row r="6" spans="1:20" x14ac:dyDescent="0.3">
      <c r="A6" s="4" t="s">
        <v>17</v>
      </c>
      <c r="B6" s="4" t="s">
        <v>20</v>
      </c>
      <c r="C6" s="10">
        <v>35.5</v>
      </c>
      <c r="L6" s="8"/>
      <c r="M6" s="8">
        <f>C6-(C6/100*12)</f>
        <v>31.240000000000002</v>
      </c>
      <c r="N6" s="8"/>
      <c r="O6" s="18">
        <f ca="1">FORECAST(C6, OFFSET(Strength_Normative_Data!$J$3, MATCH(C6, Strength_Normative_Data!$K$3:$K$16, -1)-1, 0, 2), OFFSET(Strength_Normative_Data!$K$3, MATCH(C6, Strength_Normative_Data!$K$3:$K$16, -1)-1, 0, 2))</f>
        <v>55.000000000000007</v>
      </c>
      <c r="Q6" s="7" t="s">
        <v>4</v>
      </c>
      <c r="R6" s="7">
        <f>((O18/100*60)+(O19/100*40))</f>
        <v>55</v>
      </c>
    </row>
    <row r="7" spans="1:20" x14ac:dyDescent="0.3">
      <c r="A7" s="5" t="s">
        <v>21</v>
      </c>
      <c r="B7" s="5" t="s">
        <v>22</v>
      </c>
      <c r="C7" s="11">
        <v>30</v>
      </c>
      <c r="L7" s="8"/>
      <c r="M7" s="8">
        <f>C7+(C7/100*6)</f>
        <v>31.8</v>
      </c>
      <c r="N7" s="8"/>
      <c r="O7" s="22"/>
    </row>
    <row r="8" spans="1:20" x14ac:dyDescent="0.3">
      <c r="A8" s="5" t="s">
        <v>21</v>
      </c>
      <c r="B8" s="5" t="s">
        <v>23</v>
      </c>
      <c r="C8" s="11">
        <v>0.6</v>
      </c>
      <c r="L8" s="8"/>
      <c r="M8" s="8">
        <f>C8+(C8/100*4)</f>
        <v>0.624</v>
      </c>
      <c r="N8" s="8"/>
      <c r="O8" s="22">
        <f xml:space="preserve">
IF(C8&lt;=0.4,0,
IF(C8&lt;=0.5,20*(C8-0.4)/0.1,
IF(C8&lt;=0.6,20+40*(C8-0.5)/0.1,
60+40*(MIN(C8,0.75)-0.6)/0.15)))</f>
        <v>59.999999999999986</v>
      </c>
    </row>
    <row r="9" spans="1:20" x14ac:dyDescent="0.3">
      <c r="A9" s="5" t="s">
        <v>21</v>
      </c>
      <c r="B9" s="5" t="s">
        <v>24</v>
      </c>
      <c r="C9" s="11">
        <v>5.6</v>
      </c>
      <c r="L9" s="8"/>
      <c r="M9" s="8"/>
      <c r="N9" s="8"/>
      <c r="O9" s="22"/>
    </row>
    <row r="10" spans="1:20" x14ac:dyDescent="0.3">
      <c r="A10" s="5" t="s">
        <v>21</v>
      </c>
      <c r="B10" s="5" t="s">
        <v>25</v>
      </c>
      <c r="C10" s="11">
        <v>5.9</v>
      </c>
      <c r="L10" s="8"/>
      <c r="M10" s="8">
        <f>C10+(C10/100*5)</f>
        <v>6.1950000000000003</v>
      </c>
      <c r="N10" s="8"/>
      <c r="O10" s="22">
        <f xml:space="preserve">
IF(C10&lt;5.7,10*(C10/5.7),
IF(C10&lt;6.5,10+40*(C10-5.7)/0.8,
50+50*(MIN(C10,9)-6.5)/2.5))</f>
        <v>20.000000000000007</v>
      </c>
      <c r="Q10" t="s">
        <v>89</v>
      </c>
      <c r="R10" t="s">
        <v>90</v>
      </c>
    </row>
    <row r="11" spans="1:20" x14ac:dyDescent="0.3">
      <c r="A11" s="5" t="s">
        <v>21</v>
      </c>
      <c r="B11" s="5" t="s">
        <v>26</v>
      </c>
      <c r="C11" s="11">
        <v>2.8</v>
      </c>
      <c r="L11" s="8"/>
      <c r="M11" s="8">
        <f>C11+(C11/100*14)</f>
        <v>3.1919999999999997</v>
      </c>
      <c r="N11" s="8"/>
      <c r="O11" s="5">
        <f xml:space="preserve">
IF(C11&lt;1.6,10*(C11/1.6),
IF(C11&lt;3,10+40*(C11-1.6)/1.4,
50+50*(MIN(C11,7)-3)/4))</f>
        <v>44.285714285714278</v>
      </c>
      <c r="Q11">
        <f>(0.3*P12)+(0.2*O8)+(0.15*O10)+(0.25*O11)+(0.1*O13)</f>
        <v>45.171428571428571</v>
      </c>
      <c r="R11">
        <f xml:space="preserve">
IF(Q11&lt;=10,1.5-0.1*Q11,
IF(Q11&lt;=60,0.5-0.02*(Q11-10),
-0.5-0.03*(Q11-60)))</f>
        <v>-0.2034285714285714</v>
      </c>
    </row>
    <row r="12" spans="1:20" x14ac:dyDescent="0.3">
      <c r="A12" s="5" t="s">
        <v>21</v>
      </c>
      <c r="B12" s="5" t="s">
        <v>27</v>
      </c>
      <c r="C12" s="11">
        <v>1.3</v>
      </c>
      <c r="L12" s="8"/>
      <c r="M12" s="8">
        <f>C12+(C12/100*6)</f>
        <v>1.3780000000000001</v>
      </c>
      <c r="N12" s="8"/>
      <c r="O12" s="5">
        <f>C12*100</f>
        <v>130</v>
      </c>
      <c r="P12" s="5">
        <f xml:space="preserve">
IF(O12&lt;80,5*(O12/80),
IF(O12&lt;100,10+20*(O12-80)/20,
IF(O12&lt;130,30+25*(O12-100)/30,
IF(O12&lt;160,55+25*(O12-130)/30,
IF(O12&lt;200,80+20*(O12-160)/40,100)))))</f>
        <v>55</v>
      </c>
    </row>
    <row r="13" spans="1:20" x14ac:dyDescent="0.3">
      <c r="A13" s="5" t="s">
        <v>21</v>
      </c>
      <c r="B13" s="5" t="s">
        <v>28</v>
      </c>
      <c r="C13" s="11">
        <v>1.8</v>
      </c>
      <c r="L13" s="8"/>
      <c r="M13" s="8">
        <f>C13+(C13/100*18)</f>
        <v>2.1240000000000001</v>
      </c>
      <c r="N13" s="8"/>
      <c r="O13" s="5">
        <f xml:space="preserve">
IF(C13&lt;1,10*(C13/1),
IF(C13&lt;3,10+40*(C13-1)/2,
50+50*(MIN(C13,10)-3)/7))</f>
        <v>26</v>
      </c>
    </row>
    <row r="14" spans="1:20" x14ac:dyDescent="0.3">
      <c r="A14" s="6" t="s">
        <v>29</v>
      </c>
      <c r="B14" s="6" t="s">
        <v>30</v>
      </c>
      <c r="C14" s="12" t="s">
        <v>219</v>
      </c>
      <c r="L14" s="8"/>
      <c r="M14" s="8" t="e">
        <f>C14+(C14/100*6)</f>
        <v>#VALUE!</v>
      </c>
      <c r="N14" s="8"/>
      <c r="O14" s="12">
        <v>55</v>
      </c>
    </row>
    <row r="15" spans="1:20" x14ac:dyDescent="0.3">
      <c r="A15" s="6" t="s">
        <v>29</v>
      </c>
      <c r="B15" s="6" t="s">
        <v>31</v>
      </c>
      <c r="C15" s="12">
        <v>7.5</v>
      </c>
      <c r="L15" s="8"/>
      <c r="M15" s="8">
        <f>C15+(C15/100*10)</f>
        <v>8.25</v>
      </c>
      <c r="N15" s="8"/>
      <c r="O15" s="12">
        <f ca="1">FORECAST(C15, OFFSET(Mobility_Normative_Data!$E$3, MATCH(C15, Mobility_Normative_Data!$F$3:$F$18, 1)-1, 0, 2), OFFSET(Mobility_Normative_Data!$F$3, MATCH(C15, Mobility_Normative_Data!$F$3:$F$18, 1)-1, 0, 2))</f>
        <v>55</v>
      </c>
    </row>
    <row r="16" spans="1:20" x14ac:dyDescent="0.3">
      <c r="A16" s="6" t="s">
        <v>29</v>
      </c>
      <c r="B16" s="6" t="s">
        <v>32</v>
      </c>
      <c r="C16" s="12">
        <v>33</v>
      </c>
      <c r="L16" s="8"/>
      <c r="M16" s="8">
        <f>C16+(C16/100*20)</f>
        <v>39.6</v>
      </c>
      <c r="N16" s="8"/>
      <c r="O16" s="12">
        <f ca="1">FORECAST(C16, OFFSET(Mobility_Normative_Data!$I$3, MATCH(C16, Mobility_Normative_Data!$J$3:$J$17, -1)-1, 0, 2), OFFSET(Mobility_Normative_Data!$J$3, MATCH(C16, Mobility_Normative_Data!$J$3:$J$17, -1)-1, 0, 2))</f>
        <v>55</v>
      </c>
    </row>
    <row r="17" spans="1:27" x14ac:dyDescent="0.3">
      <c r="A17" s="6" t="s">
        <v>29</v>
      </c>
      <c r="B17" s="6" t="s">
        <v>33</v>
      </c>
      <c r="C17" s="12">
        <v>29.5</v>
      </c>
      <c r="L17" s="8"/>
      <c r="M17" s="8">
        <f>C17+(C17/100*10)</f>
        <v>32.450000000000003</v>
      </c>
      <c r="N17" s="8"/>
      <c r="O17" s="12">
        <f ca="1">FORECAST(C17, OFFSET(Mobility_Normative_Data!$M$3, MATCH(C17, Mobility_Normative_Data!$N$3:$N$17, -1)-1, 0, 2), OFFSET(Mobility_Normative_Data!$N$3, MATCH(C17, Mobility_Normative_Data!$N$3:$N$17, -1)-1, 0, 2))</f>
        <v>55</v>
      </c>
    </row>
    <row r="18" spans="1:27" x14ac:dyDescent="0.3">
      <c r="A18" s="7" t="s">
        <v>34</v>
      </c>
      <c r="B18" s="7" t="s">
        <v>35</v>
      </c>
      <c r="C18" s="13">
        <v>0</v>
      </c>
      <c r="L18" s="8"/>
      <c r="M18" s="8">
        <f>C18 +(-0.2)</f>
        <v>-0.2</v>
      </c>
      <c r="N18" s="8"/>
      <c r="O18" s="20">
        <f>MAX(18,B27-(C18*25))</f>
        <v>55</v>
      </c>
    </row>
    <row r="19" spans="1:27" x14ac:dyDescent="0.3">
      <c r="A19" s="7" t="s">
        <v>34</v>
      </c>
      <c r="B19" s="7" t="s">
        <v>36</v>
      </c>
      <c r="C19" s="13">
        <v>0</v>
      </c>
      <c r="L19" s="8"/>
      <c r="M19" s="8">
        <f>C19+(-0.2)</f>
        <v>-0.2</v>
      </c>
      <c r="N19" s="8"/>
      <c r="O19" s="20">
        <f>MAX(18,B27-(J1925))</f>
        <v>55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55</v>
      </c>
      <c r="C27">
        <f>B27+10</f>
        <v>65</v>
      </c>
      <c r="D27">
        <f>C27+10</f>
        <v>75</v>
      </c>
      <c r="E27">
        <f>D27+10</f>
        <v>85</v>
      </c>
      <c r="F27">
        <f>E27+10</f>
        <v>95</v>
      </c>
    </row>
    <row r="28" spans="1:27" x14ac:dyDescent="0.3">
      <c r="A28" t="s">
        <v>0</v>
      </c>
      <c r="B28" s="24">
        <f>R2</f>
        <v>55.000000000000007</v>
      </c>
      <c r="C28">
        <f>B28+(B28/100*11.5)</f>
        <v>61.32500000000001</v>
      </c>
      <c r="D28">
        <f>C28+(C28/100*32.2)</f>
        <v>81.071650000000005</v>
      </c>
      <c r="E28">
        <f>D28+(D28/100*32.2)</f>
        <v>107.17672130000001</v>
      </c>
      <c r="F28">
        <f>E28+(E28/100*32.2)</f>
        <v>141.68762555860002</v>
      </c>
    </row>
    <row r="29" spans="1:27" x14ac:dyDescent="0.3">
      <c r="A29" t="s">
        <v>1</v>
      </c>
      <c r="B29">
        <f ca="1">R3</f>
        <v>55.000000000000007</v>
      </c>
      <c r="C29">
        <f ca="1">B29+(B29/100*12.3)</f>
        <v>61.765000000000008</v>
      </c>
      <c r="D29">
        <f ca="1">C29+(C29/100*30.8)</f>
        <v>80.788620000000009</v>
      </c>
      <c r="E29">
        <f ca="1">D29+(D29/100*30.8)</f>
        <v>105.67151496000001</v>
      </c>
      <c r="F29">
        <f ca="1">E29+(E29/100*30.8)</f>
        <v>138.21834156768</v>
      </c>
    </row>
    <row r="30" spans="1:27" x14ac:dyDescent="0.3">
      <c r="A30" t="s">
        <v>2</v>
      </c>
      <c r="B30">
        <f>R4</f>
        <v>56.830857142857141</v>
      </c>
      <c r="C30">
        <f>B30+(B30/100*5.5)</f>
        <v>59.956554285714283</v>
      </c>
      <c r="D30">
        <f>C30+(C30/100*11)</f>
        <v>66.55177525714285</v>
      </c>
      <c r="E30">
        <f>D30+(D30/100*11)</f>
        <v>73.872470535428562</v>
      </c>
      <c r="F30">
        <f>E30+(E30/100*11)</f>
        <v>81.998442294325699</v>
      </c>
    </row>
    <row r="31" spans="1:27" x14ac:dyDescent="0.3">
      <c r="A31" t="s">
        <v>3</v>
      </c>
      <c r="B31">
        <f ca="1">R5</f>
        <v>55</v>
      </c>
      <c r="C31">
        <f ca="1">B31+(B31/100*9.9)</f>
        <v>60.445</v>
      </c>
      <c r="D31">
        <f ca="1">C31+(C31/100*19.8)</f>
        <v>72.413110000000003</v>
      </c>
      <c r="E31">
        <f ca="1">D31+(D31/100*19.8)</f>
        <v>86.750905780000011</v>
      </c>
      <c r="F31">
        <f ca="1">E31+(E31/100*19.8)</f>
        <v>103.92758512444001</v>
      </c>
      <c r="N31" s="46" t="s">
        <v>104</v>
      </c>
      <c r="O31" s="46"/>
      <c r="P31" s="46"/>
      <c r="Q31" s="46"/>
      <c r="R31" s="46"/>
      <c r="S31" s="46"/>
      <c r="T31" s="46"/>
      <c r="U31" s="46"/>
      <c r="V31" s="46"/>
      <c r="W31" s="46"/>
      <c r="X31" s="46"/>
      <c r="Y31" s="46"/>
      <c r="Z31" s="46"/>
      <c r="AA31" s="46"/>
    </row>
    <row r="32" spans="1:27" ht="86.4" x14ac:dyDescent="0.3">
      <c r="A32" t="s">
        <v>4</v>
      </c>
      <c r="B32">
        <f>R6</f>
        <v>55</v>
      </c>
      <c r="C32">
        <f>B32+(B32/100*20)</f>
        <v>66</v>
      </c>
      <c r="D32">
        <f>C32+(C32/100*60)</f>
        <v>105.6</v>
      </c>
      <c r="E32">
        <f>D32+(D32/100*60)</f>
        <v>168.95999999999998</v>
      </c>
      <c r="F32">
        <f>E32+(E32/100*60)</f>
        <v>270.33599999999996</v>
      </c>
      <c r="N32" s="2" t="s">
        <v>103</v>
      </c>
      <c r="O32" s="2" t="s">
        <v>148</v>
      </c>
      <c r="P32" s="2"/>
      <c r="Q32" s="2" t="s">
        <v>103</v>
      </c>
      <c r="R32" s="2" t="s">
        <v>149</v>
      </c>
      <c r="S32" s="2"/>
      <c r="T32" s="2" t="s">
        <v>103</v>
      </c>
      <c r="U32" s="2" t="s">
        <v>150</v>
      </c>
      <c r="V32" s="2"/>
      <c r="W32" s="2" t="s">
        <v>103</v>
      </c>
      <c r="X32" s="2" t="s">
        <v>151</v>
      </c>
      <c r="Y32" s="2"/>
      <c r="Z32" s="2" t="s">
        <v>103</v>
      </c>
      <c r="AA32" s="2" t="s">
        <v>152</v>
      </c>
    </row>
    <row r="33" spans="1:27" x14ac:dyDescent="0.3">
      <c r="N33" s="2">
        <f>B27</f>
        <v>55</v>
      </c>
      <c r="O33" s="27">
        <f>R2</f>
        <v>55.000000000000007</v>
      </c>
      <c r="P33" s="2"/>
      <c r="Q33" s="2">
        <f>N33</f>
        <v>55</v>
      </c>
      <c r="R33" s="2">
        <f ca="1">R3</f>
        <v>55.000000000000007</v>
      </c>
      <c r="S33" s="2"/>
      <c r="T33" s="2">
        <f>N33</f>
        <v>55</v>
      </c>
      <c r="U33" s="2">
        <f>R4</f>
        <v>56.830857142857141</v>
      </c>
      <c r="V33" s="2"/>
      <c r="W33" s="2">
        <f>N33</f>
        <v>55</v>
      </c>
      <c r="X33" s="2">
        <f ca="1">R5</f>
        <v>55</v>
      </c>
      <c r="Y33" s="2"/>
      <c r="Z33" s="2">
        <f>N33</f>
        <v>55</v>
      </c>
      <c r="AA33">
        <f>R6</f>
        <v>55</v>
      </c>
    </row>
    <row r="34" spans="1:27" x14ac:dyDescent="0.3">
      <c r="N34" s="2">
        <f>N33+1</f>
        <v>56</v>
      </c>
      <c r="O34" s="2">
        <f>O33+(O33*0.0115)</f>
        <v>55.632500000000007</v>
      </c>
      <c r="P34" s="2"/>
      <c r="Q34" s="2">
        <f>Q33+1</f>
        <v>56</v>
      </c>
      <c r="R34" s="2">
        <f ca="1">R33+(R33*0.0123)</f>
        <v>55.676500000000004</v>
      </c>
      <c r="S34" s="2"/>
      <c r="T34" s="2">
        <f>T33+1</f>
        <v>56</v>
      </c>
      <c r="U34" s="2">
        <f t="shared" ref="U34:U43" si="3">U33+(U33*0.0055)</f>
        <v>57.143426857142856</v>
      </c>
      <c r="V34" s="2"/>
      <c r="W34" s="2">
        <f>W33+1</f>
        <v>56</v>
      </c>
      <c r="X34" s="2">
        <f ca="1">X33+(X33*0.0099)</f>
        <v>55.544499999999999</v>
      </c>
      <c r="Y34" s="2"/>
      <c r="Z34" s="2">
        <f>Z33+1</f>
        <v>56</v>
      </c>
      <c r="AA34">
        <f>AA33+(AA33*0.02)</f>
        <v>56.1</v>
      </c>
    </row>
    <row r="35" spans="1:27" x14ac:dyDescent="0.3">
      <c r="N35" s="2">
        <f t="shared" ref="N35:N43" si="4">N34+1</f>
        <v>57</v>
      </c>
      <c r="O35" s="2">
        <f t="shared" ref="O35:O43" si="5">O34+(O34*0.0115)</f>
        <v>56.272273750000011</v>
      </c>
      <c r="P35" s="2"/>
      <c r="Q35" s="2">
        <f t="shared" ref="Q35:Q43" si="6">Q34+1</f>
        <v>57</v>
      </c>
      <c r="R35" s="2">
        <f t="shared" ref="R35:R43" ca="1" si="7">R34+(R34*0.0123)</f>
        <v>56.361320950000007</v>
      </c>
      <c r="S35" s="2"/>
      <c r="T35" s="2">
        <f t="shared" ref="T35:T43" si="8">T34+1</f>
        <v>57</v>
      </c>
      <c r="U35" s="2">
        <f t="shared" si="3"/>
        <v>57.457715704857144</v>
      </c>
      <c r="V35" s="2"/>
      <c r="W35" s="2">
        <f t="shared" ref="W35:W43" si="9">W34+1</f>
        <v>57</v>
      </c>
      <c r="X35" s="2">
        <f t="shared" ref="X35:X43" ca="1" si="10">X34+(X34*0.0099)</f>
        <v>56.09439055</v>
      </c>
      <c r="Y35" s="2"/>
      <c r="Z35" s="2">
        <f t="shared" ref="Z35:Z43" si="11">Z34+1</f>
        <v>57</v>
      </c>
      <c r="AA35">
        <f t="shared" ref="AA35:AA43" si="12">AA34+(AA34*0.02)</f>
        <v>57.222000000000001</v>
      </c>
    </row>
    <row r="36" spans="1:27" x14ac:dyDescent="0.3">
      <c r="A36" t="s">
        <v>8</v>
      </c>
      <c r="N36" s="2">
        <f t="shared" si="4"/>
        <v>58</v>
      </c>
      <c r="O36" s="2">
        <f t="shared" si="5"/>
        <v>56.919404898125009</v>
      </c>
      <c r="P36" s="2"/>
      <c r="Q36" s="2">
        <f t="shared" si="6"/>
        <v>58</v>
      </c>
      <c r="R36" s="2">
        <f t="shared" ca="1" si="7"/>
        <v>57.054565197685008</v>
      </c>
      <c r="S36" s="2"/>
      <c r="T36" s="2">
        <f t="shared" si="8"/>
        <v>58</v>
      </c>
      <c r="U36" s="2">
        <f t="shared" si="3"/>
        <v>57.773733141233855</v>
      </c>
      <c r="V36" s="2"/>
      <c r="W36" s="2">
        <f t="shared" si="9"/>
        <v>58</v>
      </c>
      <c r="X36" s="2">
        <f t="shared" ca="1" si="10"/>
        <v>56.649725016444997</v>
      </c>
      <c r="Y36" s="2"/>
      <c r="Z36" s="2">
        <f t="shared" si="11"/>
        <v>58</v>
      </c>
      <c r="AA36">
        <f t="shared" si="12"/>
        <v>58.366440000000004</v>
      </c>
    </row>
    <row r="37" spans="1:27" x14ac:dyDescent="0.3">
      <c r="A37" s="1">
        <f ca="1">(B28/100*20)+(B29/100*20)+(B30/100*25)+(B31/100*20)+(B32/100*15)</f>
        <v>55.457714285714289</v>
      </c>
      <c r="N37" s="2">
        <f t="shared" si="4"/>
        <v>59</v>
      </c>
      <c r="O37" s="2">
        <f t="shared" si="5"/>
        <v>57.573978054453448</v>
      </c>
      <c r="P37" s="2"/>
      <c r="Q37" s="2">
        <f t="shared" si="6"/>
        <v>59</v>
      </c>
      <c r="R37" s="2">
        <f t="shared" ca="1" si="7"/>
        <v>57.756336349616532</v>
      </c>
      <c r="S37" s="2"/>
      <c r="T37" s="2">
        <f t="shared" si="8"/>
        <v>59</v>
      </c>
      <c r="U37" s="2">
        <f t="shared" si="3"/>
        <v>58.091488673510639</v>
      </c>
      <c r="V37" s="2"/>
      <c r="W37" s="2">
        <f t="shared" si="9"/>
        <v>59</v>
      </c>
      <c r="X37" s="2">
        <f t="shared" ca="1" si="10"/>
        <v>57.210557294107801</v>
      </c>
      <c r="Y37" s="2"/>
      <c r="Z37" s="2">
        <f t="shared" si="11"/>
        <v>59</v>
      </c>
      <c r="AA37">
        <f t="shared" si="12"/>
        <v>59.533768800000004</v>
      </c>
    </row>
    <row r="38" spans="1:27" x14ac:dyDescent="0.3">
      <c r="N38" s="2">
        <f t="shared" si="4"/>
        <v>60</v>
      </c>
      <c r="O38" s="2">
        <f t="shared" si="5"/>
        <v>58.23607880207966</v>
      </c>
      <c r="P38" s="2"/>
      <c r="Q38" s="2">
        <f t="shared" si="6"/>
        <v>60</v>
      </c>
      <c r="R38" s="2">
        <f t="shared" ca="1" si="7"/>
        <v>58.466739286716816</v>
      </c>
      <c r="S38" s="2"/>
      <c r="T38" s="2">
        <f t="shared" si="8"/>
        <v>60</v>
      </c>
      <c r="U38" s="2">
        <f t="shared" si="3"/>
        <v>58.410991861214946</v>
      </c>
      <c r="V38" s="2"/>
      <c r="W38" s="2">
        <f t="shared" si="9"/>
        <v>60</v>
      </c>
      <c r="X38" s="2">
        <f t="shared" ca="1" si="10"/>
        <v>57.776941811319467</v>
      </c>
      <c r="Y38" s="2"/>
      <c r="Z38" s="2">
        <f t="shared" si="11"/>
        <v>60</v>
      </c>
      <c r="AA38">
        <f t="shared" si="12"/>
        <v>60.724444176000006</v>
      </c>
    </row>
    <row r="39" spans="1:27" x14ac:dyDescent="0.3">
      <c r="N39" s="2">
        <f t="shared" si="4"/>
        <v>61</v>
      </c>
      <c r="O39" s="2">
        <f t="shared" si="5"/>
        <v>58.905793708303577</v>
      </c>
      <c r="P39" s="2"/>
      <c r="Q39" s="2">
        <f t="shared" si="6"/>
        <v>61</v>
      </c>
      <c r="R39" s="2">
        <f t="shared" ca="1" si="7"/>
        <v>59.185880179943432</v>
      </c>
      <c r="S39" s="2"/>
      <c r="T39" s="2">
        <f t="shared" si="8"/>
        <v>61</v>
      </c>
      <c r="U39" s="2">
        <f t="shared" si="3"/>
        <v>58.732252316451628</v>
      </c>
      <c r="V39" s="2"/>
      <c r="W39" s="2">
        <f t="shared" si="9"/>
        <v>61</v>
      </c>
      <c r="X39" s="2">
        <f t="shared" ca="1" si="10"/>
        <v>58.348933535251533</v>
      </c>
      <c r="Y39" s="2"/>
      <c r="Z39" s="2">
        <f t="shared" si="11"/>
        <v>61</v>
      </c>
      <c r="AA39">
        <f t="shared" si="12"/>
        <v>61.938933059520004</v>
      </c>
    </row>
    <row r="40" spans="1:27" x14ac:dyDescent="0.3">
      <c r="N40" s="2">
        <f t="shared" si="4"/>
        <v>62</v>
      </c>
      <c r="O40" s="2">
        <f t="shared" si="5"/>
        <v>59.583210335949069</v>
      </c>
      <c r="P40" s="2"/>
      <c r="Q40" s="2">
        <f t="shared" si="6"/>
        <v>62</v>
      </c>
      <c r="R40" s="2">
        <f t="shared" ca="1" si="7"/>
        <v>59.913866506156737</v>
      </c>
      <c r="S40" s="2"/>
      <c r="T40" s="2">
        <f t="shared" si="8"/>
        <v>62</v>
      </c>
      <c r="U40" s="2">
        <f t="shared" si="3"/>
        <v>59.05527970419211</v>
      </c>
      <c r="V40" s="2"/>
      <c r="W40" s="2">
        <f t="shared" si="9"/>
        <v>62</v>
      </c>
      <c r="X40" s="2">
        <f t="shared" ca="1" si="10"/>
        <v>58.92658797725052</v>
      </c>
      <c r="Y40" s="2"/>
      <c r="Z40" s="2">
        <f t="shared" si="11"/>
        <v>62</v>
      </c>
      <c r="AA40">
        <f t="shared" si="12"/>
        <v>63.177711720710406</v>
      </c>
    </row>
    <row r="41" spans="1:27" x14ac:dyDescent="0.3">
      <c r="N41" s="2">
        <f t="shared" si="4"/>
        <v>63</v>
      </c>
      <c r="O41" s="2">
        <f t="shared" si="5"/>
        <v>60.268417254812483</v>
      </c>
      <c r="P41" s="2"/>
      <c r="Q41" s="2">
        <f t="shared" si="6"/>
        <v>63</v>
      </c>
      <c r="R41" s="2">
        <f t="shared" ca="1" si="7"/>
        <v>60.650807064182466</v>
      </c>
      <c r="S41" s="2"/>
      <c r="T41" s="2">
        <f t="shared" si="8"/>
        <v>63</v>
      </c>
      <c r="U41" s="2">
        <f t="shared" si="3"/>
        <v>59.380083742565169</v>
      </c>
      <c r="V41" s="2"/>
      <c r="W41" s="2">
        <f t="shared" si="9"/>
        <v>63</v>
      </c>
      <c r="X41" s="2">
        <f t="shared" ca="1" si="10"/>
        <v>59.509961198225298</v>
      </c>
      <c r="Y41" s="2"/>
      <c r="Z41" s="2">
        <f t="shared" si="11"/>
        <v>63</v>
      </c>
      <c r="AA41">
        <f t="shared" si="12"/>
        <v>64.441265955124607</v>
      </c>
    </row>
    <row r="42" spans="1:27" x14ac:dyDescent="0.3">
      <c r="B42" t="s">
        <v>12</v>
      </c>
      <c r="C42" t="s">
        <v>0</v>
      </c>
      <c r="D42" t="s">
        <v>12</v>
      </c>
      <c r="E42" t="s">
        <v>1</v>
      </c>
      <c r="F42" t="s">
        <v>12</v>
      </c>
      <c r="G42" t="s">
        <v>2</v>
      </c>
      <c r="H42" t="s">
        <v>12</v>
      </c>
      <c r="I42" t="s">
        <v>3</v>
      </c>
      <c r="J42" t="s">
        <v>12</v>
      </c>
      <c r="K42" t="s">
        <v>4</v>
      </c>
      <c r="N42" s="2">
        <f t="shared" si="4"/>
        <v>64</v>
      </c>
      <c r="O42" s="2">
        <f t="shared" si="5"/>
        <v>60.961504053242827</v>
      </c>
      <c r="P42" s="2"/>
      <c r="Q42" s="2">
        <f t="shared" si="6"/>
        <v>64</v>
      </c>
      <c r="R42" s="2">
        <f t="shared" ca="1" si="7"/>
        <v>61.396811991071907</v>
      </c>
      <c r="S42" s="2"/>
      <c r="T42" s="2">
        <f t="shared" si="8"/>
        <v>64</v>
      </c>
      <c r="U42" s="2">
        <f t="shared" si="3"/>
        <v>59.706674203149277</v>
      </c>
      <c r="V42" s="2"/>
      <c r="W42" s="2">
        <f t="shared" si="9"/>
        <v>64</v>
      </c>
      <c r="X42" s="2">
        <f t="shared" ca="1" si="10"/>
        <v>60.099109814087726</v>
      </c>
      <c r="Y42" s="2"/>
      <c r="Z42" s="2">
        <f t="shared" si="11"/>
        <v>64</v>
      </c>
      <c r="AA42">
        <f t="shared" si="12"/>
        <v>65.730091274227092</v>
      </c>
    </row>
    <row r="43" spans="1:27" x14ac:dyDescent="0.3">
      <c r="B43">
        <f>B27</f>
        <v>55</v>
      </c>
      <c r="C43">
        <f>B28</f>
        <v>55.000000000000007</v>
      </c>
      <c r="D43">
        <f>B43</f>
        <v>55</v>
      </c>
      <c r="E43">
        <f ca="1">B29</f>
        <v>55.000000000000007</v>
      </c>
      <c r="F43">
        <f>B27</f>
        <v>55</v>
      </c>
      <c r="G43">
        <f>B30</f>
        <v>56.830857142857141</v>
      </c>
      <c r="H43">
        <f>B27</f>
        <v>55</v>
      </c>
      <c r="I43">
        <f ca="1">B31</f>
        <v>55</v>
      </c>
      <c r="J43">
        <f>B27</f>
        <v>55</v>
      </c>
      <c r="K43">
        <f>B32</f>
        <v>55</v>
      </c>
      <c r="N43" s="2">
        <f t="shared" si="4"/>
        <v>65</v>
      </c>
      <c r="O43" s="2">
        <f t="shared" si="5"/>
        <v>61.662561349855117</v>
      </c>
      <c r="P43" s="2"/>
      <c r="Q43" s="2">
        <f t="shared" si="6"/>
        <v>65</v>
      </c>
      <c r="R43" s="2">
        <f t="shared" ca="1" si="7"/>
        <v>62.151992778562089</v>
      </c>
      <c r="S43" s="2"/>
      <c r="T43" s="2">
        <f t="shared" si="8"/>
        <v>65</v>
      </c>
      <c r="U43" s="2">
        <f t="shared" si="3"/>
        <v>60.035060911266598</v>
      </c>
      <c r="V43" s="2"/>
      <c r="W43" s="2">
        <f t="shared" si="9"/>
        <v>65</v>
      </c>
      <c r="X43" s="2">
        <f t="shared" ca="1" si="10"/>
        <v>60.694091001247195</v>
      </c>
      <c r="Y43" s="2"/>
      <c r="Z43" s="2">
        <f t="shared" si="11"/>
        <v>65</v>
      </c>
      <c r="AA43">
        <f t="shared" si="12"/>
        <v>67.044693099711637</v>
      </c>
    </row>
    <row r="44" spans="1:27" x14ac:dyDescent="0.3">
      <c r="B44">
        <f>C27</f>
        <v>65</v>
      </c>
      <c r="C44">
        <f>C28</f>
        <v>61.32500000000001</v>
      </c>
      <c r="D44">
        <f>B44</f>
        <v>65</v>
      </c>
      <c r="E44">
        <f ca="1">C29</f>
        <v>61.765000000000008</v>
      </c>
      <c r="F44">
        <f>C27</f>
        <v>65</v>
      </c>
      <c r="G44">
        <f>C30</f>
        <v>59.956554285714283</v>
      </c>
      <c r="H44">
        <f>C27</f>
        <v>65</v>
      </c>
      <c r="I44">
        <f ca="1">C31</f>
        <v>60.445</v>
      </c>
      <c r="J44">
        <f>C27</f>
        <v>65</v>
      </c>
      <c r="K44">
        <f>C32</f>
        <v>66</v>
      </c>
    </row>
    <row r="45" spans="1:27" x14ac:dyDescent="0.3">
      <c r="B45">
        <f>D27</f>
        <v>75</v>
      </c>
      <c r="C45">
        <f>D28</f>
        <v>81.071650000000005</v>
      </c>
      <c r="D45">
        <f>D27</f>
        <v>75</v>
      </c>
      <c r="E45">
        <f ca="1">D29</f>
        <v>80.788620000000009</v>
      </c>
      <c r="F45">
        <f>D27</f>
        <v>75</v>
      </c>
      <c r="G45">
        <f>D30</f>
        <v>66.55177525714285</v>
      </c>
      <c r="H45">
        <f>D27</f>
        <v>75</v>
      </c>
      <c r="I45">
        <f ca="1">D31</f>
        <v>72.413110000000003</v>
      </c>
      <c r="J45">
        <f>D27</f>
        <v>75</v>
      </c>
      <c r="K45">
        <f>D32</f>
        <v>105.6</v>
      </c>
    </row>
    <row r="46" spans="1:27" x14ac:dyDescent="0.3">
      <c r="B46">
        <f>E27</f>
        <v>85</v>
      </c>
      <c r="C46">
        <f>E28</f>
        <v>107.17672130000001</v>
      </c>
      <c r="D46">
        <f>E27</f>
        <v>85</v>
      </c>
      <c r="E46">
        <f ca="1">E29</f>
        <v>105.67151496000001</v>
      </c>
      <c r="F46">
        <f>E27</f>
        <v>85</v>
      </c>
      <c r="G46">
        <f>E30</f>
        <v>73.872470535428562</v>
      </c>
      <c r="H46">
        <f>E27</f>
        <v>85</v>
      </c>
      <c r="I46">
        <f ca="1">E31</f>
        <v>86.750905780000011</v>
      </c>
      <c r="J46">
        <f>E27</f>
        <v>85</v>
      </c>
      <c r="K46">
        <f>E32</f>
        <v>168.95999999999998</v>
      </c>
    </row>
    <row r="47" spans="1:27" x14ac:dyDescent="0.3">
      <c r="B47">
        <f>F27</f>
        <v>95</v>
      </c>
      <c r="C47">
        <f>F28</f>
        <v>141.68762555860002</v>
      </c>
      <c r="D47">
        <f>F27</f>
        <v>95</v>
      </c>
      <c r="E47">
        <f ca="1">F29</f>
        <v>138.21834156768</v>
      </c>
      <c r="F47">
        <f>F27</f>
        <v>95</v>
      </c>
      <c r="G47">
        <f ca="1">F31</f>
        <v>103.92758512444001</v>
      </c>
      <c r="H47">
        <f>F27</f>
        <v>95</v>
      </c>
      <c r="I47">
        <f ca="1">F31</f>
        <v>103.92758512444001</v>
      </c>
      <c r="J47">
        <f>F27</f>
        <v>95</v>
      </c>
      <c r="K47">
        <f>F32</f>
        <v>270.33599999999996</v>
      </c>
    </row>
  </sheetData>
  <mergeCells count="2">
    <mergeCell ref="A23:F23"/>
    <mergeCell ref="N31:AA3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9DD3-DE49-480B-A941-E583CEDEB2E9}">
  <dimension ref="A1:AA47"/>
  <sheetViews>
    <sheetView topLeftCell="D1"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26.6</v>
      </c>
      <c r="D2">
        <f t="shared" ref="D2:M2" si="0">C2-(C2/100*D1)</f>
        <v>26.334000000000003</v>
      </c>
      <c r="E2">
        <f t="shared" si="0"/>
        <v>25.807320000000004</v>
      </c>
      <c r="F2">
        <f t="shared" si="0"/>
        <v>25.033100400000006</v>
      </c>
      <c r="G2">
        <f t="shared" si="0"/>
        <v>24.031776384000004</v>
      </c>
      <c r="H2">
        <f t="shared" si="0"/>
        <v>22.830187564800003</v>
      </c>
      <c r="I2">
        <f t="shared" si="0"/>
        <v>21.460376310912004</v>
      </c>
      <c r="J2">
        <f t="shared" si="0"/>
        <v>19.958149969148163</v>
      </c>
      <c r="K2">
        <f t="shared" si="0"/>
        <v>18.361497971616309</v>
      </c>
      <c r="L2">
        <f t="shared" si="0"/>
        <v>16.708963154170842</v>
      </c>
      <c r="M2">
        <f t="shared" si="0"/>
        <v>15.038066838753759</v>
      </c>
      <c r="N2" s="8"/>
      <c r="O2" s="21"/>
      <c r="Q2" s="3" t="s">
        <v>0</v>
      </c>
      <c r="R2" s="16">
        <f>B27+ ((1 -((C2 / 26.6) * 0.7 )-((C3 / 100) * 0.3 )) * 100)</f>
        <v>55.000000000000007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55.000000000000007</v>
      </c>
      <c r="T3" s="23" t="s">
        <v>8</v>
      </c>
    </row>
    <row r="4" spans="1:20" ht="18" customHeight="1" x14ac:dyDescent="0.3">
      <c r="A4" s="4" t="s">
        <v>17</v>
      </c>
      <c r="B4" s="4" t="s">
        <v>18</v>
      </c>
      <c r="C4" s="10">
        <v>27</v>
      </c>
      <c r="D4">
        <f>C4-(C4/100*D1)</f>
        <v>26.73</v>
      </c>
      <c r="E4">
        <f t="shared" ref="E4:M4" si="2">D4-(D4/100*E1)</f>
        <v>26.195399999999999</v>
      </c>
      <c r="F4">
        <f t="shared" si="2"/>
        <v>25.409537999999998</v>
      </c>
      <c r="G4">
        <f t="shared" si="2"/>
        <v>24.393156479999998</v>
      </c>
      <c r="H4">
        <f t="shared" si="2"/>
        <v>23.173498656</v>
      </c>
      <c r="I4">
        <f t="shared" si="2"/>
        <v>21.78308873664</v>
      </c>
      <c r="J4">
        <f t="shared" si="2"/>
        <v>20.258272525075199</v>
      </c>
      <c r="K4">
        <f t="shared" si="2"/>
        <v>18.637610723069184</v>
      </c>
      <c r="L4">
        <f t="shared" si="2"/>
        <v>16.960225757992959</v>
      </c>
      <c r="M4">
        <f t="shared" si="2"/>
        <v>15.264203182193663</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55</v>
      </c>
      <c r="Q4" s="5" t="s">
        <v>2</v>
      </c>
      <c r="R4" s="5">
        <f>B27 - 9*R11</f>
        <v>56.285714285714285</v>
      </c>
      <c r="T4" s="1">
        <f ca="1">(R2/100*20)+(R3/100*20)+(R4/100*25)+(R5/100*20)+(R6/100*15)</f>
        <v>55.021428571428572</v>
      </c>
    </row>
    <row r="5" spans="1:20" x14ac:dyDescent="0.3">
      <c r="A5" s="4" t="s">
        <v>17</v>
      </c>
      <c r="B5" s="4" t="s">
        <v>19</v>
      </c>
      <c r="C5" s="10">
        <v>2.25</v>
      </c>
      <c r="L5" s="8"/>
      <c r="M5" s="8">
        <f>C5-(C5/100*12)</f>
        <v>1.98</v>
      </c>
      <c r="N5" s="8"/>
      <c r="O5" s="18">
        <f ca="1">FORECAST(C5, OFFSET(Strength_Normative_Data!$O$3, MATCH(C5, Strength_Normative_Data!$Q$3:$Q$17, -1)-1, 0, 2), OFFSET(Strength_Normative_Data!$Q$3, MATCH(C5, Strength_Normative_Data!$Q$3:$Q$17, -1)-1, 0, 2))</f>
        <v>55</v>
      </c>
      <c r="Q5" s="6" t="s">
        <v>29</v>
      </c>
      <c r="R5" s="6">
        <f ca="1">((O14/100*30)+(O15/100*25)+(O16/100*30)+(O17/100*15))</f>
        <v>53.5</v>
      </c>
    </row>
    <row r="6" spans="1:20" x14ac:dyDescent="0.3">
      <c r="A6" s="4" t="s">
        <v>17</v>
      </c>
      <c r="B6" s="4" t="s">
        <v>20</v>
      </c>
      <c r="C6" s="10">
        <v>21.5</v>
      </c>
      <c r="L6" s="8"/>
      <c r="M6" s="8">
        <f>C6-(C6/100*12)</f>
        <v>18.920000000000002</v>
      </c>
      <c r="N6" s="8"/>
      <c r="O6" s="18">
        <f ca="1">FORECAST(C6, OFFSET(Strength_Normative_Data!$J$3, MATCH(C6, Strength_Normative_Data!$L$3:$L$16, -1)-1, 0, 2), OFFSET(Strength_Normative_Data!$L$3, MATCH(C6, Strength_Normative_Data!$L$3:$L$16, -1)-1, 0, 2))</f>
        <v>55</v>
      </c>
      <c r="Q6" s="7" t="s">
        <v>4</v>
      </c>
      <c r="R6" s="7">
        <f>((O18/100*60)+(O19/100*40))</f>
        <v>55</v>
      </c>
    </row>
    <row r="7" spans="1:20" x14ac:dyDescent="0.3">
      <c r="A7" s="5" t="s">
        <v>21</v>
      </c>
      <c r="B7" s="5" t="s">
        <v>22</v>
      </c>
      <c r="C7" s="11">
        <v>40</v>
      </c>
      <c r="L7" s="8"/>
      <c r="M7" s="8">
        <f>C7+(C7/100*6)</f>
        <v>42.4</v>
      </c>
      <c r="N7" s="8"/>
      <c r="O7" s="22"/>
    </row>
    <row r="8" spans="1:20" x14ac:dyDescent="0.3">
      <c r="A8" s="5" t="s">
        <v>21</v>
      </c>
      <c r="B8" s="5" t="s">
        <v>23</v>
      </c>
      <c r="C8" s="11">
        <v>0.6</v>
      </c>
      <c r="L8" s="8"/>
      <c r="M8" s="8">
        <f>C8+(C8/100*4)</f>
        <v>0.624</v>
      </c>
      <c r="N8" s="8"/>
      <c r="O8" s="22">
        <f xml:space="preserve">
IF(C8&lt;=0.4,0,
IF(C8&lt;=0.5,20*(C8-0.4)/0.1,
IF(C8&lt;=0.6,20+40*(C8-0.5)/0.1,
60+40*(MIN(C8,0.75)-0.6)/0.15)))</f>
        <v>59.999999999999986</v>
      </c>
    </row>
    <row r="9" spans="1:20" x14ac:dyDescent="0.3">
      <c r="A9" s="5" t="s">
        <v>21</v>
      </c>
      <c r="B9" s="5" t="s">
        <v>24</v>
      </c>
      <c r="C9" s="11">
        <v>5.5</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2.6</v>
      </c>
      <c r="L11" s="8"/>
      <c r="M11" s="8">
        <f>C11+(C11/100*14)</f>
        <v>2.964</v>
      </c>
      <c r="N11" s="8"/>
      <c r="O11" s="5">
        <f xml:space="preserve">
IF(C11&lt;1.6,10*(C11/1.6),
IF(C11&lt;3,10+40*(C11-1.6)/1.4,
50+50*(MIN(C11,7)-3)/4))</f>
        <v>38.571428571428569</v>
      </c>
      <c r="Q11">
        <f>(0.3*P12)+(0.2*O8)+(0.15*O10)+(0.25*O11)+(0.1*O13)</f>
        <v>42.142857142857139</v>
      </c>
      <c r="R11">
        <f xml:space="preserve">
IF(Q11&lt;=10,1.5-0.1*Q11,
IF(Q11&lt;=60,0.5-0.02*(Q11-10),
-0.5-0.03*(Q11-60)))</f>
        <v>-0.14285714285714279</v>
      </c>
    </row>
    <row r="12" spans="1:20" x14ac:dyDescent="0.3">
      <c r="A12" s="5" t="s">
        <v>21</v>
      </c>
      <c r="B12" s="5" t="s">
        <v>27</v>
      </c>
      <c r="C12" s="11">
        <v>1.1499999999999999</v>
      </c>
      <c r="L12" s="8"/>
      <c r="M12" s="8">
        <f>C12+(C12/100*6)</f>
        <v>1.2189999999999999</v>
      </c>
      <c r="N12" s="8"/>
      <c r="O12" s="5">
        <f>C12*100</f>
        <v>114.99999999999999</v>
      </c>
      <c r="P12" s="5">
        <f xml:space="preserve">
IF(O12&lt;80,5*(O12/80),
IF(O12&lt;100,10+20*(O12-80)/20,
IF(O12&lt;130,30+25*(O12-100)/30,
IF(O12&lt;160,55+25*(O12-130)/30,
IF(O12&lt;200,80+20*(O12-160)/40,100)))))</f>
        <v>42.499999999999986</v>
      </c>
    </row>
    <row r="13" spans="1:20" x14ac:dyDescent="0.3">
      <c r="A13" s="5" t="s">
        <v>21</v>
      </c>
      <c r="B13" s="5" t="s">
        <v>28</v>
      </c>
      <c r="C13" s="11">
        <v>2.5</v>
      </c>
      <c r="L13" s="8"/>
      <c r="M13" s="8">
        <f>C13+(C13/100*18)</f>
        <v>2.95</v>
      </c>
      <c r="N13" s="8"/>
      <c r="O13" s="5">
        <f xml:space="preserve">
IF(C13&lt;1,10*(C13/1),
IF(C13&lt;3,10+40*(C13-1)/2,
50+50*(MIN(C13,10)-3)/7))</f>
        <v>40</v>
      </c>
    </row>
    <row r="14" spans="1:20" x14ac:dyDescent="0.3">
      <c r="A14" s="6" t="s">
        <v>29</v>
      </c>
      <c r="B14" s="6" t="s">
        <v>30</v>
      </c>
      <c r="C14" s="12">
        <v>1.31</v>
      </c>
      <c r="L14" s="8"/>
      <c r="M14" s="8">
        <f>C14+(C14/100*6)</f>
        <v>1.3886000000000001</v>
      </c>
      <c r="N14" s="8"/>
      <c r="O14" s="12">
        <f ca="1">IFERROR(FORECAST(C14, OFFSET(Mobility_Normative_Data!$A$3, MATCH(C14, Mobility_Normative_Data!$C$3:$C$17, -1)-1, 0, 2), OFFSET(Mobility_Normative_Data!$C$3, MATCH(C14, Mobility_Normative_Data!$C$3:$C$17, -1)-1, 0, 2)), INDEX(Mobility_Normative_Data!$A$3:$A$17, MATCH(C14, Mobility_Normative_Data!$C$3:$C$17, -1)))</f>
        <v>50</v>
      </c>
    </row>
    <row r="15" spans="1:20" x14ac:dyDescent="0.3">
      <c r="A15" s="6" t="s">
        <v>29</v>
      </c>
      <c r="B15" s="6" t="s">
        <v>31</v>
      </c>
      <c r="C15" s="12">
        <v>8</v>
      </c>
      <c r="L15" s="8"/>
      <c r="M15" s="8">
        <f>C15+(C15/100*10)</f>
        <v>8.8000000000000007</v>
      </c>
      <c r="N15" s="8"/>
      <c r="O15" s="12">
        <f ca="1">FORECAST(C15, OFFSET(Mobility_Normative_Data!$E$3, MATCH(C15, Mobility_Normative_Data!$G$3:$G$18, 1)-1, 0, 2), OFFSET(Mobility_Normative_Data!$G$3, MATCH(C15, Mobility_Normative_Data!$G$3:$G$18, 1)-1, 0, 2))</f>
        <v>55</v>
      </c>
    </row>
    <row r="16" spans="1:20" x14ac:dyDescent="0.3">
      <c r="A16" s="6" t="s">
        <v>29</v>
      </c>
      <c r="B16" s="6" t="s">
        <v>32</v>
      </c>
      <c r="C16" s="12">
        <v>32</v>
      </c>
      <c r="L16" s="8"/>
      <c r="M16" s="8">
        <f>C16+(C16/100*20)</f>
        <v>38.4</v>
      </c>
      <c r="N16" s="8"/>
      <c r="O16" s="12">
        <f ca="1">FORECAST(C16, OFFSET(Mobility_Normative_Data!$I$3, MATCH(C16, Mobility_Normative_Data!$K$3:$K$17, -1)-1, 0, 2), OFFSET(Mobility_Normative_Data!$K$3, MATCH(C16, Mobility_Normative_Data!$K$3:$K$17, -1)-1, 0, 2))</f>
        <v>55.000000000000007</v>
      </c>
    </row>
    <row r="17" spans="1:27" x14ac:dyDescent="0.3">
      <c r="A17" s="6" t="s">
        <v>29</v>
      </c>
      <c r="B17" s="6" t="s">
        <v>33</v>
      </c>
      <c r="C17" s="12">
        <v>32.5</v>
      </c>
      <c r="L17" s="8"/>
      <c r="M17" s="8">
        <f>C17+(C17/100*10)</f>
        <v>35.75</v>
      </c>
      <c r="N17" s="8"/>
      <c r="O17" s="12">
        <f ca="1">FORECAST(C17, OFFSET(Mobility_Normative_Data!$M$3, MATCH(C17, Mobility_Normative_Data!$O$3:$O$17, -1)-1, 0, 2), OFFSET(Mobility_Normative_Data!$O$3, MATCH(C17, Mobility_Normative_Data!$O$3:$O$17, -1)-1, 0, 2))</f>
        <v>55</v>
      </c>
    </row>
    <row r="18" spans="1:27" x14ac:dyDescent="0.3">
      <c r="A18" s="7" t="s">
        <v>34</v>
      </c>
      <c r="B18" s="7" t="s">
        <v>35</v>
      </c>
      <c r="C18" s="13">
        <v>0</v>
      </c>
      <c r="L18" s="8"/>
      <c r="M18" s="8">
        <f>C18 +(-0.2)</f>
        <v>-0.2</v>
      </c>
      <c r="N18" s="8"/>
      <c r="O18" s="20">
        <f>MAX(18,B27-(C18*25))</f>
        <v>55</v>
      </c>
    </row>
    <row r="19" spans="1:27" x14ac:dyDescent="0.3">
      <c r="A19" s="7" t="s">
        <v>34</v>
      </c>
      <c r="B19" s="7" t="s">
        <v>36</v>
      </c>
      <c r="C19" s="13">
        <v>0</v>
      </c>
      <c r="L19" s="8"/>
      <c r="M19" s="8">
        <f>C19+(-0.2)</f>
        <v>-0.2</v>
      </c>
      <c r="N19" s="8"/>
      <c r="O19" s="20">
        <f>MAX(18,B27-(J1925))</f>
        <v>55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55</v>
      </c>
      <c r="C27">
        <f>B27+10</f>
        <v>65</v>
      </c>
      <c r="D27">
        <f>C27+10</f>
        <v>75</v>
      </c>
      <c r="E27">
        <f>D27+10</f>
        <v>85</v>
      </c>
      <c r="F27">
        <f>E27+10</f>
        <v>95</v>
      </c>
    </row>
    <row r="28" spans="1:27" x14ac:dyDescent="0.3">
      <c r="A28" t="s">
        <v>0</v>
      </c>
      <c r="B28" s="24">
        <f>R2</f>
        <v>55.000000000000007</v>
      </c>
      <c r="C28">
        <f>B28+(B28/100*11.5)</f>
        <v>61.32500000000001</v>
      </c>
      <c r="D28">
        <f>C28+(C28/100*32.2)</f>
        <v>81.071650000000005</v>
      </c>
      <c r="E28">
        <f>D28+(D28/100*32.2)</f>
        <v>107.17672130000001</v>
      </c>
      <c r="F28">
        <f>E28+(E28/100*32.2)</f>
        <v>141.68762555860002</v>
      </c>
    </row>
    <row r="29" spans="1:27" x14ac:dyDescent="0.3">
      <c r="A29" t="s">
        <v>1</v>
      </c>
      <c r="B29">
        <f ca="1">R3</f>
        <v>55.000000000000007</v>
      </c>
      <c r="C29">
        <f ca="1">B29+(B29/100*12.3)</f>
        <v>61.765000000000008</v>
      </c>
      <c r="D29">
        <f ca="1">C29+(C29/100*30.8)</f>
        <v>80.788620000000009</v>
      </c>
      <c r="E29">
        <f ca="1">D29+(D29/100*30.8)</f>
        <v>105.67151496000001</v>
      </c>
      <c r="F29">
        <f ca="1">E29+(E29/100*30.8)</f>
        <v>138.21834156768</v>
      </c>
    </row>
    <row r="30" spans="1:27" x14ac:dyDescent="0.3">
      <c r="A30" t="s">
        <v>2</v>
      </c>
      <c r="B30">
        <f>R4</f>
        <v>56.285714285714285</v>
      </c>
      <c r="C30">
        <f>B30+(B30/100*5.5)</f>
        <v>59.381428571428572</v>
      </c>
      <c r="D30">
        <f>C30+(C30/100*11)</f>
        <v>65.91338571428571</v>
      </c>
      <c r="E30">
        <f>D30+(D30/100*11)</f>
        <v>73.163858142857137</v>
      </c>
      <c r="F30">
        <f>E30+(E30/100*11)</f>
        <v>81.211882538571416</v>
      </c>
    </row>
    <row r="31" spans="1:27" x14ac:dyDescent="0.3">
      <c r="A31" t="s">
        <v>3</v>
      </c>
      <c r="B31">
        <f ca="1">R5</f>
        <v>53.5</v>
      </c>
      <c r="C31">
        <f ca="1">B31+(B31/100*9.9)</f>
        <v>58.796500000000002</v>
      </c>
      <c r="D31">
        <f ca="1">C31+(C31/100*19.8)</f>
        <v>70.438207000000006</v>
      </c>
      <c r="E31">
        <f ca="1">D31+(D31/100*19.8)</f>
        <v>84.384971986000011</v>
      </c>
      <c r="F31">
        <f ca="1">E31+(E31/100*19.8)</f>
        <v>101.09319643922801</v>
      </c>
      <c r="N31" s="46" t="s">
        <v>104</v>
      </c>
      <c r="O31" s="46"/>
      <c r="P31" s="46"/>
      <c r="Q31" s="46"/>
      <c r="R31" s="46"/>
      <c r="S31" s="46"/>
      <c r="T31" s="46"/>
      <c r="U31" s="46"/>
      <c r="V31" s="46"/>
      <c r="W31" s="46"/>
      <c r="X31" s="46"/>
      <c r="Y31" s="46"/>
      <c r="Z31" s="46"/>
      <c r="AA31" s="46"/>
    </row>
    <row r="32" spans="1:27" ht="100.8" x14ac:dyDescent="0.3">
      <c r="A32" t="s">
        <v>4</v>
      </c>
      <c r="B32">
        <f>R6</f>
        <v>55</v>
      </c>
      <c r="C32">
        <f>B32+(B32/100*20)</f>
        <v>66</v>
      </c>
      <c r="D32">
        <f>C32+(C32/100*60)</f>
        <v>105.6</v>
      </c>
      <c r="E32">
        <f>D32+(D32/100*60)</f>
        <v>168.95999999999998</v>
      </c>
      <c r="F32">
        <f>E32+(E32/100*60)</f>
        <v>270.33599999999996</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55</v>
      </c>
      <c r="O33" s="27">
        <f>R2</f>
        <v>55.000000000000007</v>
      </c>
      <c r="P33" s="2"/>
      <c r="Q33" s="2">
        <f>N33</f>
        <v>55</v>
      </c>
      <c r="R33" s="2">
        <f ca="1">R3</f>
        <v>55.000000000000007</v>
      </c>
      <c r="S33" s="2"/>
      <c r="T33" s="2">
        <f>N33</f>
        <v>55</v>
      </c>
      <c r="U33" s="2">
        <f>R4</f>
        <v>56.285714285714285</v>
      </c>
      <c r="V33" s="2"/>
      <c r="W33" s="2">
        <f>N33</f>
        <v>55</v>
      </c>
      <c r="X33" s="2">
        <f ca="1">R5</f>
        <v>53.5</v>
      </c>
      <c r="Y33" s="2"/>
      <c r="Z33" s="2">
        <f>N33</f>
        <v>55</v>
      </c>
      <c r="AA33">
        <f>R6</f>
        <v>55</v>
      </c>
    </row>
    <row r="34" spans="1:27" x14ac:dyDescent="0.3">
      <c r="N34" s="2">
        <f>N33+1</f>
        <v>56</v>
      </c>
      <c r="O34" s="2">
        <f>O33+(O33*0.0115)</f>
        <v>55.632500000000007</v>
      </c>
      <c r="P34" s="2"/>
      <c r="Q34" s="2">
        <f>Q33+1</f>
        <v>56</v>
      </c>
      <c r="R34" s="2">
        <f ca="1">R33+(R33*0.0123)</f>
        <v>55.676500000000004</v>
      </c>
      <c r="S34" s="2"/>
      <c r="T34" s="2">
        <f>T33+1</f>
        <v>56</v>
      </c>
      <c r="U34" s="2">
        <f t="shared" ref="U34:U43" si="3">U33+(U33*0.0055)</f>
        <v>56.595285714285716</v>
      </c>
      <c r="V34" s="2"/>
      <c r="W34" s="2">
        <f>W33+1</f>
        <v>56</v>
      </c>
      <c r="X34" s="2">
        <f ca="1">X33+(X33*0.0099)</f>
        <v>54.029649999999997</v>
      </c>
      <c r="Y34" s="2"/>
      <c r="Z34" s="2">
        <f>Z33+1</f>
        <v>56</v>
      </c>
      <c r="AA34">
        <f>AA33+(AA33*0.02)</f>
        <v>56.1</v>
      </c>
    </row>
    <row r="35" spans="1:27" x14ac:dyDescent="0.3">
      <c r="N35" s="2">
        <f t="shared" ref="N35:N43" si="4">N34+1</f>
        <v>57</v>
      </c>
      <c r="O35" s="2">
        <f t="shared" ref="O35:O43" si="5">O34+(O34*0.0115)</f>
        <v>56.272273750000011</v>
      </c>
      <c r="P35" s="2"/>
      <c r="Q35" s="2">
        <f t="shared" ref="Q35:Q43" si="6">Q34+1</f>
        <v>57</v>
      </c>
      <c r="R35" s="2">
        <f t="shared" ref="R35:R43" ca="1" si="7">R34+(R34*0.0123)</f>
        <v>56.361320950000007</v>
      </c>
      <c r="S35" s="2"/>
      <c r="T35" s="2">
        <f t="shared" ref="T35:T43" si="8">T34+1</f>
        <v>57</v>
      </c>
      <c r="U35" s="2">
        <f t="shared" si="3"/>
        <v>56.906559785714286</v>
      </c>
      <c r="V35" s="2"/>
      <c r="W35" s="2">
        <f t="shared" ref="W35:W43" si="9">W34+1</f>
        <v>57</v>
      </c>
      <c r="X35" s="2">
        <f t="shared" ref="X35:X43" ca="1" si="10">X34+(X34*0.0099)</f>
        <v>54.564543534999999</v>
      </c>
      <c r="Y35" s="2"/>
      <c r="Z35" s="2">
        <f t="shared" ref="Z35:Z43" si="11">Z34+1</f>
        <v>57</v>
      </c>
      <c r="AA35">
        <f t="shared" ref="AA35:AA43" si="12">AA34+(AA34*0.02)</f>
        <v>57.222000000000001</v>
      </c>
    </row>
    <row r="36" spans="1:27" x14ac:dyDescent="0.3">
      <c r="A36" t="s">
        <v>8</v>
      </c>
      <c r="N36" s="2">
        <f t="shared" si="4"/>
        <v>58</v>
      </c>
      <c r="O36" s="2">
        <f t="shared" si="5"/>
        <v>56.919404898125009</v>
      </c>
      <c r="P36" s="2"/>
      <c r="Q36" s="2">
        <f t="shared" si="6"/>
        <v>58</v>
      </c>
      <c r="R36" s="2">
        <f t="shared" ca="1" si="7"/>
        <v>57.054565197685008</v>
      </c>
      <c r="S36" s="2"/>
      <c r="T36" s="2">
        <f t="shared" si="8"/>
        <v>58</v>
      </c>
      <c r="U36" s="2">
        <f t="shared" si="3"/>
        <v>57.219545864535718</v>
      </c>
      <c r="V36" s="2"/>
      <c r="W36" s="2">
        <f t="shared" si="9"/>
        <v>58</v>
      </c>
      <c r="X36" s="2">
        <f t="shared" ca="1" si="10"/>
        <v>55.104732515996496</v>
      </c>
      <c r="Y36" s="2"/>
      <c r="Z36" s="2">
        <f t="shared" si="11"/>
        <v>58</v>
      </c>
      <c r="AA36">
        <f t="shared" si="12"/>
        <v>58.366440000000004</v>
      </c>
    </row>
    <row r="37" spans="1:27" x14ac:dyDescent="0.3">
      <c r="A37" s="1">
        <f ca="1">(B28/100*20)+(B29/100*20)+(B30/100*25)+(B31/100*20)+(B32/100*15)</f>
        <v>55.021428571428572</v>
      </c>
      <c r="N37" s="2">
        <f t="shared" si="4"/>
        <v>59</v>
      </c>
      <c r="O37" s="2">
        <f t="shared" si="5"/>
        <v>57.573978054453448</v>
      </c>
      <c r="P37" s="2"/>
      <c r="Q37" s="2">
        <f t="shared" si="6"/>
        <v>59</v>
      </c>
      <c r="R37" s="2">
        <f t="shared" ca="1" si="7"/>
        <v>57.756336349616532</v>
      </c>
      <c r="S37" s="2"/>
      <c r="T37" s="2">
        <f t="shared" si="8"/>
        <v>59</v>
      </c>
      <c r="U37" s="2">
        <f t="shared" si="3"/>
        <v>57.534253366790665</v>
      </c>
      <c r="V37" s="2"/>
      <c r="W37" s="2">
        <f t="shared" si="9"/>
        <v>59</v>
      </c>
      <c r="X37" s="2">
        <f t="shared" ca="1" si="10"/>
        <v>55.650269367904862</v>
      </c>
      <c r="Y37" s="2"/>
      <c r="Z37" s="2">
        <f t="shared" si="11"/>
        <v>59</v>
      </c>
      <c r="AA37">
        <f t="shared" si="12"/>
        <v>59.533768800000004</v>
      </c>
    </row>
    <row r="38" spans="1:27" x14ac:dyDescent="0.3">
      <c r="N38" s="2">
        <f t="shared" si="4"/>
        <v>60</v>
      </c>
      <c r="O38" s="2">
        <f t="shared" si="5"/>
        <v>58.23607880207966</v>
      </c>
      <c r="P38" s="2"/>
      <c r="Q38" s="2">
        <f t="shared" si="6"/>
        <v>60</v>
      </c>
      <c r="R38" s="2">
        <f t="shared" ca="1" si="7"/>
        <v>58.466739286716816</v>
      </c>
      <c r="S38" s="2"/>
      <c r="T38" s="2">
        <f t="shared" si="8"/>
        <v>60</v>
      </c>
      <c r="U38" s="2">
        <f t="shared" si="3"/>
        <v>57.850691760308017</v>
      </c>
      <c r="V38" s="2"/>
      <c r="W38" s="2">
        <f t="shared" si="9"/>
        <v>60</v>
      </c>
      <c r="X38" s="2">
        <f t="shared" ca="1" si="10"/>
        <v>56.201207034647119</v>
      </c>
      <c r="Y38" s="2"/>
      <c r="Z38" s="2">
        <f t="shared" si="11"/>
        <v>60</v>
      </c>
      <c r="AA38">
        <f t="shared" si="12"/>
        <v>60.724444176000006</v>
      </c>
    </row>
    <row r="39" spans="1:27" x14ac:dyDescent="0.3">
      <c r="N39" s="2">
        <f t="shared" si="4"/>
        <v>61</v>
      </c>
      <c r="O39" s="2">
        <f t="shared" si="5"/>
        <v>58.905793708303577</v>
      </c>
      <c r="P39" s="2"/>
      <c r="Q39" s="2">
        <f t="shared" si="6"/>
        <v>61</v>
      </c>
      <c r="R39" s="2">
        <f t="shared" ca="1" si="7"/>
        <v>59.185880179943432</v>
      </c>
      <c r="S39" s="2"/>
      <c r="T39" s="2">
        <f t="shared" si="8"/>
        <v>61</v>
      </c>
      <c r="U39" s="2">
        <f t="shared" si="3"/>
        <v>58.16887056498971</v>
      </c>
      <c r="V39" s="2"/>
      <c r="W39" s="2">
        <f t="shared" si="9"/>
        <v>61</v>
      </c>
      <c r="X39" s="2">
        <f t="shared" ca="1" si="10"/>
        <v>56.757598984290127</v>
      </c>
      <c r="Y39" s="2"/>
      <c r="Z39" s="2">
        <f t="shared" si="11"/>
        <v>61</v>
      </c>
      <c r="AA39">
        <f t="shared" si="12"/>
        <v>61.938933059520004</v>
      </c>
    </row>
    <row r="40" spans="1:27" x14ac:dyDescent="0.3">
      <c r="N40" s="2">
        <f t="shared" si="4"/>
        <v>62</v>
      </c>
      <c r="O40" s="2">
        <f t="shared" si="5"/>
        <v>59.583210335949069</v>
      </c>
      <c r="P40" s="2"/>
      <c r="Q40" s="2">
        <f t="shared" si="6"/>
        <v>62</v>
      </c>
      <c r="R40" s="2">
        <f t="shared" ca="1" si="7"/>
        <v>59.913866506156737</v>
      </c>
      <c r="S40" s="2"/>
      <c r="T40" s="2">
        <f t="shared" si="8"/>
        <v>62</v>
      </c>
      <c r="U40" s="2">
        <f t="shared" si="3"/>
        <v>58.488799353097157</v>
      </c>
      <c r="V40" s="2"/>
      <c r="W40" s="2">
        <f t="shared" si="9"/>
        <v>62</v>
      </c>
      <c r="X40" s="2">
        <f t="shared" ca="1" si="10"/>
        <v>57.319499214234597</v>
      </c>
      <c r="Y40" s="2"/>
      <c r="Z40" s="2">
        <f t="shared" si="11"/>
        <v>62</v>
      </c>
      <c r="AA40">
        <f t="shared" si="12"/>
        <v>63.177711720710406</v>
      </c>
    </row>
    <row r="41" spans="1:27" x14ac:dyDescent="0.3">
      <c r="N41" s="2">
        <f t="shared" si="4"/>
        <v>63</v>
      </c>
      <c r="O41" s="2">
        <f t="shared" si="5"/>
        <v>60.268417254812483</v>
      </c>
      <c r="P41" s="2"/>
      <c r="Q41" s="2">
        <f t="shared" si="6"/>
        <v>63</v>
      </c>
      <c r="R41" s="2">
        <f t="shared" ca="1" si="7"/>
        <v>60.650807064182466</v>
      </c>
      <c r="S41" s="2"/>
      <c r="T41" s="2">
        <f t="shared" si="8"/>
        <v>63</v>
      </c>
      <c r="U41" s="2">
        <f t="shared" si="3"/>
        <v>58.810487749539192</v>
      </c>
      <c r="V41" s="2"/>
      <c r="W41" s="2">
        <f t="shared" si="9"/>
        <v>63</v>
      </c>
      <c r="X41" s="2">
        <f t="shared" ca="1" si="10"/>
        <v>57.886962256455519</v>
      </c>
      <c r="Y41" s="2"/>
      <c r="Z41" s="2">
        <f t="shared" si="11"/>
        <v>63</v>
      </c>
      <c r="AA41">
        <f t="shared" si="12"/>
        <v>64.441265955124607</v>
      </c>
    </row>
    <row r="42" spans="1:27" x14ac:dyDescent="0.3">
      <c r="B42" t="s">
        <v>12</v>
      </c>
      <c r="C42" t="s">
        <v>0</v>
      </c>
      <c r="D42" t="s">
        <v>12</v>
      </c>
      <c r="E42" t="s">
        <v>1</v>
      </c>
      <c r="F42" t="s">
        <v>12</v>
      </c>
      <c r="G42" t="s">
        <v>2</v>
      </c>
      <c r="H42" t="s">
        <v>12</v>
      </c>
      <c r="I42" t="s">
        <v>3</v>
      </c>
      <c r="J42" t="s">
        <v>12</v>
      </c>
      <c r="K42" t="s">
        <v>4</v>
      </c>
      <c r="N42" s="2">
        <f t="shared" si="4"/>
        <v>64</v>
      </c>
      <c r="O42" s="2">
        <f t="shared" si="5"/>
        <v>60.961504053242827</v>
      </c>
      <c r="P42" s="2"/>
      <c r="Q42" s="2">
        <f t="shared" si="6"/>
        <v>64</v>
      </c>
      <c r="R42" s="2">
        <f t="shared" ca="1" si="7"/>
        <v>61.396811991071907</v>
      </c>
      <c r="S42" s="2"/>
      <c r="T42" s="2">
        <f t="shared" si="8"/>
        <v>64</v>
      </c>
      <c r="U42" s="2">
        <f t="shared" si="3"/>
        <v>59.13394543216166</v>
      </c>
      <c r="V42" s="2"/>
      <c r="W42" s="2">
        <f t="shared" si="9"/>
        <v>64</v>
      </c>
      <c r="X42" s="2">
        <f t="shared" ca="1" si="10"/>
        <v>58.460043182794429</v>
      </c>
      <c r="Y42" s="2"/>
      <c r="Z42" s="2">
        <f t="shared" si="11"/>
        <v>64</v>
      </c>
      <c r="AA42">
        <f t="shared" si="12"/>
        <v>65.730091274227092</v>
      </c>
    </row>
    <row r="43" spans="1:27" x14ac:dyDescent="0.3">
      <c r="B43">
        <f>B27</f>
        <v>55</v>
      </c>
      <c r="C43">
        <f>B28</f>
        <v>55.000000000000007</v>
      </c>
      <c r="D43">
        <f>B43</f>
        <v>55</v>
      </c>
      <c r="E43">
        <f ca="1">B29</f>
        <v>55.000000000000007</v>
      </c>
      <c r="F43">
        <f>B27</f>
        <v>55</v>
      </c>
      <c r="G43">
        <f>B30</f>
        <v>56.285714285714285</v>
      </c>
      <c r="H43">
        <f>B27</f>
        <v>55</v>
      </c>
      <c r="I43">
        <f ca="1">B31</f>
        <v>53.5</v>
      </c>
      <c r="J43">
        <f>B27</f>
        <v>55</v>
      </c>
      <c r="K43">
        <f>B32</f>
        <v>55</v>
      </c>
      <c r="N43" s="2">
        <f t="shared" si="4"/>
        <v>65</v>
      </c>
      <c r="O43" s="2">
        <f t="shared" si="5"/>
        <v>61.662561349855117</v>
      </c>
      <c r="P43" s="2"/>
      <c r="Q43" s="2">
        <f t="shared" si="6"/>
        <v>65</v>
      </c>
      <c r="R43" s="2">
        <f t="shared" ca="1" si="7"/>
        <v>62.151992778562089</v>
      </c>
      <c r="S43" s="2"/>
      <c r="T43" s="2">
        <f t="shared" si="8"/>
        <v>65</v>
      </c>
      <c r="U43" s="2">
        <f t="shared" si="3"/>
        <v>59.459182132038549</v>
      </c>
      <c r="V43" s="2"/>
      <c r="W43" s="2">
        <f t="shared" si="9"/>
        <v>65</v>
      </c>
      <c r="X43" s="2">
        <f t="shared" ca="1" si="10"/>
        <v>59.038797610304094</v>
      </c>
      <c r="Y43" s="2"/>
      <c r="Z43" s="2">
        <f t="shared" si="11"/>
        <v>65</v>
      </c>
      <c r="AA43">
        <f t="shared" si="12"/>
        <v>67.044693099711637</v>
      </c>
    </row>
    <row r="44" spans="1:27" x14ac:dyDescent="0.3">
      <c r="B44">
        <f>C27</f>
        <v>65</v>
      </c>
      <c r="C44">
        <f>C28</f>
        <v>61.32500000000001</v>
      </c>
      <c r="D44">
        <f>B44</f>
        <v>65</v>
      </c>
      <c r="E44">
        <f ca="1">C29</f>
        <v>61.765000000000008</v>
      </c>
      <c r="F44">
        <f>C27</f>
        <v>65</v>
      </c>
      <c r="G44">
        <f>C30</f>
        <v>59.381428571428572</v>
      </c>
      <c r="H44">
        <f>C27</f>
        <v>65</v>
      </c>
      <c r="I44">
        <f ca="1">C31</f>
        <v>58.796500000000002</v>
      </c>
      <c r="J44">
        <f>C27</f>
        <v>65</v>
      </c>
      <c r="K44">
        <f>C32</f>
        <v>66</v>
      </c>
    </row>
    <row r="45" spans="1:27" x14ac:dyDescent="0.3">
      <c r="B45">
        <f>D27</f>
        <v>75</v>
      </c>
      <c r="C45">
        <f>D28</f>
        <v>81.071650000000005</v>
      </c>
      <c r="D45">
        <f>D27</f>
        <v>75</v>
      </c>
      <c r="E45">
        <f ca="1">D29</f>
        <v>80.788620000000009</v>
      </c>
      <c r="F45">
        <f>D27</f>
        <v>75</v>
      </c>
      <c r="G45">
        <f>D30</f>
        <v>65.91338571428571</v>
      </c>
      <c r="H45">
        <f>D27</f>
        <v>75</v>
      </c>
      <c r="I45">
        <f ca="1">D31</f>
        <v>70.438207000000006</v>
      </c>
      <c r="J45">
        <f>D27</f>
        <v>75</v>
      </c>
      <c r="K45">
        <f>D32</f>
        <v>105.6</v>
      </c>
    </row>
    <row r="46" spans="1:27" x14ac:dyDescent="0.3">
      <c r="B46">
        <f>E27</f>
        <v>85</v>
      </c>
      <c r="C46">
        <f>E28</f>
        <v>107.17672130000001</v>
      </c>
      <c r="D46">
        <f>E27</f>
        <v>85</v>
      </c>
      <c r="E46">
        <f ca="1">E29</f>
        <v>105.67151496000001</v>
      </c>
      <c r="F46">
        <f>E27</f>
        <v>85</v>
      </c>
      <c r="G46">
        <f>E30</f>
        <v>73.163858142857137</v>
      </c>
      <c r="H46">
        <f>E27</f>
        <v>85</v>
      </c>
      <c r="I46">
        <f ca="1">E31</f>
        <v>84.384971986000011</v>
      </c>
      <c r="J46">
        <f>E27</f>
        <v>85</v>
      </c>
      <c r="K46">
        <f>E32</f>
        <v>168.95999999999998</v>
      </c>
    </row>
    <row r="47" spans="1:27" x14ac:dyDescent="0.3">
      <c r="B47">
        <f>F27</f>
        <v>95</v>
      </c>
      <c r="C47">
        <f>F28</f>
        <v>141.68762555860002</v>
      </c>
      <c r="D47">
        <f>F27</f>
        <v>95</v>
      </c>
      <c r="E47">
        <f ca="1">F29</f>
        <v>138.21834156768</v>
      </c>
      <c r="F47">
        <f>F27</f>
        <v>95</v>
      </c>
      <c r="G47">
        <f ca="1">F31</f>
        <v>101.09319643922801</v>
      </c>
      <c r="H47">
        <f>F27</f>
        <v>95</v>
      </c>
      <c r="I47">
        <f ca="1">F31</f>
        <v>101.09319643922801</v>
      </c>
      <c r="J47">
        <f>F27</f>
        <v>95</v>
      </c>
      <c r="K47">
        <f>F32</f>
        <v>270.33599999999996</v>
      </c>
    </row>
  </sheetData>
  <mergeCells count="2">
    <mergeCell ref="A23:F23"/>
    <mergeCell ref="N31:AA3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68D1-CBAB-4693-A18E-483669913AA7}">
  <dimension ref="A1:AA47"/>
  <sheetViews>
    <sheetView topLeftCell="F15" zoomScale="85" zoomScaleNormal="8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30.2</v>
      </c>
      <c r="D2">
        <f t="shared" ref="D2:M2" si="0">C2-(C2/100*D1)</f>
        <v>29.898</v>
      </c>
      <c r="E2">
        <f t="shared" si="0"/>
        <v>29.300039999999999</v>
      </c>
      <c r="F2">
        <f t="shared" si="0"/>
        <v>28.421038799999998</v>
      </c>
      <c r="G2">
        <f t="shared" si="0"/>
        <v>27.284197247999998</v>
      </c>
      <c r="H2">
        <f t="shared" si="0"/>
        <v>25.919987385599999</v>
      </c>
      <c r="I2">
        <f t="shared" si="0"/>
        <v>24.364788142464</v>
      </c>
      <c r="J2">
        <f t="shared" si="0"/>
        <v>22.659252972491522</v>
      </c>
      <c r="K2">
        <f t="shared" si="0"/>
        <v>20.846512734692201</v>
      </c>
      <c r="L2">
        <f t="shared" si="0"/>
        <v>18.970326588569904</v>
      </c>
      <c r="M2">
        <f t="shared" si="0"/>
        <v>17.073293929712914</v>
      </c>
      <c r="N2" s="8"/>
      <c r="O2" s="21"/>
      <c r="Q2" s="3" t="s">
        <v>0</v>
      </c>
      <c r="R2" s="16">
        <f>B27+ ((1 -((C2 / 30.2) * 0.7 )-((C3 / 100) * 0.3 )) * 100)</f>
        <v>60.000000000000007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60</v>
      </c>
      <c r="T3" s="23" t="s">
        <v>8</v>
      </c>
    </row>
    <row r="4" spans="1:20" ht="18" customHeight="1" x14ac:dyDescent="0.3">
      <c r="A4" s="4" t="s">
        <v>17</v>
      </c>
      <c r="B4" s="4" t="s">
        <v>18</v>
      </c>
      <c r="C4" s="10">
        <v>42</v>
      </c>
      <c r="D4">
        <f>C4-(C4/100*D1)</f>
        <v>41.58</v>
      </c>
      <c r="E4">
        <f t="shared" ref="E4:M4" si="2">D4-(D4/100*E1)</f>
        <v>40.748399999999997</v>
      </c>
      <c r="F4">
        <f t="shared" si="2"/>
        <v>39.525948</v>
      </c>
      <c r="G4">
        <f t="shared" si="2"/>
        <v>37.94491008</v>
      </c>
      <c r="H4">
        <f t="shared" si="2"/>
        <v>36.047664576000003</v>
      </c>
      <c r="I4">
        <f t="shared" si="2"/>
        <v>33.884804701440004</v>
      </c>
      <c r="J4">
        <f t="shared" si="2"/>
        <v>31.512868372339202</v>
      </c>
      <c r="K4">
        <f t="shared" si="2"/>
        <v>28.991838902552065</v>
      </c>
      <c r="L4">
        <f t="shared" si="2"/>
        <v>26.382573401322379</v>
      </c>
      <c r="M4">
        <f t="shared" si="2"/>
        <v>23.74431606119014</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60</v>
      </c>
      <c r="Q4" s="5" t="s">
        <v>2</v>
      </c>
      <c r="R4" s="5">
        <f>B27 - 9*R11</f>
        <v>60.507857142857141</v>
      </c>
      <c r="T4" s="1">
        <f ca="1">(R2/100*20)+(R3/100*20)+(R4/100*25)+(R5/100*20)+(R6/100*15)</f>
        <v>60.12696428571428</v>
      </c>
    </row>
    <row r="5" spans="1:20" x14ac:dyDescent="0.3">
      <c r="A5" s="4" t="s">
        <v>17</v>
      </c>
      <c r="B5" s="4" t="s">
        <v>19</v>
      </c>
      <c r="C5" s="10">
        <v>2.7</v>
      </c>
      <c r="L5" s="8"/>
      <c r="M5" s="8">
        <f>C5-(C5/100*12)</f>
        <v>2.3760000000000003</v>
      </c>
      <c r="N5" s="8"/>
      <c r="O5" s="18">
        <f ca="1">FORECAST(C5, OFFSET(Strength_Normative_Data!$O$3, MATCH(C5, Strength_Normative_Data!$P$3:$P$17, -1)-1, 0, 2), OFFSET(Strength_Normative_Data!$P$3, MATCH(C5, Strength_Normative_Data!$P$3:$P$17, -1)-1, 0, 2))</f>
        <v>60</v>
      </c>
      <c r="Q5" s="6" t="s">
        <v>29</v>
      </c>
      <c r="R5" s="6">
        <f ca="1">((O14/100*30)+(O15/100*25)+(O16/100*30)+(O17/100*15))</f>
        <v>60</v>
      </c>
    </row>
    <row r="6" spans="1:20" x14ac:dyDescent="0.3">
      <c r="A6" s="4" t="s">
        <v>17</v>
      </c>
      <c r="B6" s="4" t="s">
        <v>20</v>
      </c>
      <c r="C6" s="10">
        <v>32</v>
      </c>
      <c r="L6" s="8"/>
      <c r="M6" s="8">
        <f>C6-(C6/100*12)</f>
        <v>28.16</v>
      </c>
      <c r="N6" s="8"/>
      <c r="O6" s="18">
        <f ca="1">FORECAST(C6, OFFSET(Strength_Normative_Data!$J$3, MATCH(C6, Strength_Normative_Data!$K$3:$K$16, -1)-1, 0, 2), OFFSET(Strength_Normative_Data!$K$3, MATCH(C6, Strength_Normative_Data!$K$3:$K$16, -1)-1, 0, 2))</f>
        <v>60.000000000000007</v>
      </c>
      <c r="Q6" s="7" t="s">
        <v>4</v>
      </c>
      <c r="R6" s="7">
        <f>((O18/100*60)+(O19/100*40))</f>
        <v>60</v>
      </c>
    </row>
    <row r="7" spans="1:20" x14ac:dyDescent="0.3">
      <c r="A7" s="5" t="s">
        <v>21</v>
      </c>
      <c r="B7" s="5" t="s">
        <v>22</v>
      </c>
      <c r="C7" s="11">
        <v>27</v>
      </c>
      <c r="L7" s="8"/>
      <c r="M7" s="8">
        <f>C7+(C7/100*6)</f>
        <v>28.62</v>
      </c>
      <c r="N7" s="8"/>
      <c r="O7" s="22"/>
    </row>
    <row r="8" spans="1:20" x14ac:dyDescent="0.3">
      <c r="A8" s="5" t="s">
        <v>21</v>
      </c>
      <c r="B8" s="5" t="s">
        <v>23</v>
      </c>
      <c r="C8" s="11">
        <v>0.56999999999999995</v>
      </c>
      <c r="L8" s="8"/>
      <c r="M8" s="8">
        <f>C8+(C8/100*4)</f>
        <v>0.59279999999999999</v>
      </c>
      <c r="N8" s="8"/>
      <c r="O8" s="22">
        <f xml:space="preserve">
IF(C8&lt;=0.4,0,
IF(C8&lt;=0.5,20*(C8-0.4)/0.1,
IF(C8&lt;=0.6,20+40*(C8-0.5)/0.1,
60+40*(MIN(C8,0.75)-0.6)/0.15)))</f>
        <v>47.999999999999979</v>
      </c>
    </row>
    <row r="9" spans="1:20" x14ac:dyDescent="0.3">
      <c r="A9" s="5" t="s">
        <v>21</v>
      </c>
      <c r="B9" s="5" t="s">
        <v>24</v>
      </c>
      <c r="C9" s="11">
        <v>5.6</v>
      </c>
      <c r="L9" s="8"/>
      <c r="M9" s="8"/>
      <c r="N9" s="8"/>
      <c r="O9" s="22"/>
    </row>
    <row r="10" spans="1:20" x14ac:dyDescent="0.3">
      <c r="A10" s="5" t="s">
        <v>21</v>
      </c>
      <c r="B10" s="5" t="s">
        <v>25</v>
      </c>
      <c r="C10" s="11">
        <v>5.8</v>
      </c>
      <c r="L10" s="8"/>
      <c r="M10" s="8">
        <f>C10+(C10/100*5)</f>
        <v>6.09</v>
      </c>
      <c r="N10" s="8"/>
      <c r="O10" s="22">
        <f xml:space="preserve">
IF(C10&lt;5.7,10*(C10/5.7),
IF(C10&lt;6.5,10+40*(C10-5.7)/0.8,
50+50*(MIN(C10,9)-6.5)/2.5))</f>
        <v>14.999999999999982</v>
      </c>
      <c r="Q10" t="s">
        <v>89</v>
      </c>
      <c r="R10" t="s">
        <v>90</v>
      </c>
    </row>
    <row r="11" spans="1:20" x14ac:dyDescent="0.3">
      <c r="A11" s="5" t="s">
        <v>21</v>
      </c>
      <c r="B11" s="5" t="s">
        <v>26</v>
      </c>
      <c r="C11" s="11">
        <v>2.8</v>
      </c>
      <c r="L11" s="8"/>
      <c r="M11" s="8">
        <f>C11+(C11/100*14)</f>
        <v>3.1919999999999997</v>
      </c>
      <c r="N11" s="8"/>
      <c r="O11" s="5">
        <f xml:space="preserve">
IF(C11&lt;1.6,10*(C11/1.6),
IF(C11&lt;3,10+40*(C11-1.6)/1.4,
50+50*(MIN(C11,7)-3)/4))</f>
        <v>44.285714285714278</v>
      </c>
      <c r="Q11">
        <f>(0.3*P12)+(0.2*O8)+(0.15*O10)+(0.25*O11)+(0.1*O13)</f>
        <v>37.821428571428562</v>
      </c>
      <c r="R11">
        <f xml:space="preserve">
IF(Q11&lt;=10,1.5-0.1*Q11,
IF(Q11&lt;=60,0.5-0.02*(Q11-10),
-0.5-0.03*(Q11-60)))</f>
        <v>-5.6428571428571273E-2</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1.33</v>
      </c>
      <c r="L14" s="8"/>
      <c r="M14" s="8">
        <f>C14+(C14/100*6)</f>
        <v>1.4098000000000002</v>
      </c>
      <c r="N14" s="8"/>
      <c r="O14" s="12">
        <v>60</v>
      </c>
    </row>
    <row r="15" spans="1:20" x14ac:dyDescent="0.3">
      <c r="A15" s="6" t="s">
        <v>29</v>
      </c>
      <c r="B15" s="6" t="s">
        <v>31</v>
      </c>
      <c r="C15" s="12">
        <v>8</v>
      </c>
      <c r="L15" s="8"/>
      <c r="M15" s="8">
        <f>C15+(C15/100*10)</f>
        <v>8.8000000000000007</v>
      </c>
      <c r="N15" s="8"/>
      <c r="O15" s="12">
        <f ca="1">FORECAST(C15, OFFSET(Mobility_Normative_Data!$E$3, MATCH(C15, Mobility_Normative_Data!$F$3:$F$18, 1)-1, 0, 2), OFFSET(Mobility_Normative_Data!$F$3, MATCH(C15, Mobility_Normative_Data!$F$3:$F$18, 1)-1, 0, 2))</f>
        <v>60</v>
      </c>
    </row>
    <row r="16" spans="1:20" x14ac:dyDescent="0.3">
      <c r="A16" s="6" t="s">
        <v>29</v>
      </c>
      <c r="B16" s="6" t="s">
        <v>32</v>
      </c>
      <c r="C16" s="12">
        <v>30</v>
      </c>
      <c r="L16" s="8"/>
      <c r="M16" s="8">
        <f>C16+(C16/100*20)</f>
        <v>36</v>
      </c>
      <c r="N16" s="8"/>
      <c r="O16" s="12">
        <f ca="1">FORECAST(C16, OFFSET(Mobility_Normative_Data!$I$3, MATCH(C16, Mobility_Normative_Data!$J$3:$J$17, -1)-1, 0, 2), OFFSET(Mobility_Normative_Data!$J$3, MATCH(C16, Mobility_Normative_Data!$J$3:$J$17, -1)-1, 0, 2))</f>
        <v>60</v>
      </c>
    </row>
    <row r="17" spans="1:27" x14ac:dyDescent="0.3">
      <c r="A17" s="6" t="s">
        <v>29</v>
      </c>
      <c r="B17" s="6" t="s">
        <v>33</v>
      </c>
      <c r="C17" s="12">
        <v>28</v>
      </c>
      <c r="L17" s="8"/>
      <c r="M17" s="8">
        <f>C17+(C17/100*10)</f>
        <v>30.8</v>
      </c>
      <c r="N17" s="8"/>
      <c r="O17" s="12">
        <f ca="1">FORECAST(C17, OFFSET(Mobility_Normative_Data!$M$3, MATCH(C17, Mobility_Normative_Data!$N$3:$N$17, -1)-1, 0, 2), OFFSET(Mobility_Normative_Data!$N$3, MATCH(C17, Mobility_Normative_Data!$N$3:$N$17, -1)-1, 0, 2))</f>
        <v>60</v>
      </c>
    </row>
    <row r="18" spans="1:27" x14ac:dyDescent="0.3">
      <c r="A18" s="7" t="s">
        <v>34</v>
      </c>
      <c r="B18" s="7" t="s">
        <v>35</v>
      </c>
      <c r="C18" s="13">
        <v>0</v>
      </c>
      <c r="L18" s="8"/>
      <c r="M18" s="8">
        <f>C18 +(-0.2)</f>
        <v>-0.2</v>
      </c>
      <c r="N18" s="8"/>
      <c r="O18" s="20">
        <f>MAX(18,B27-(C18*25))</f>
        <v>60</v>
      </c>
    </row>
    <row r="19" spans="1:27" x14ac:dyDescent="0.3">
      <c r="A19" s="7" t="s">
        <v>34</v>
      </c>
      <c r="B19" s="7" t="s">
        <v>36</v>
      </c>
      <c r="C19" s="13">
        <v>0</v>
      </c>
      <c r="L19" s="8"/>
      <c r="M19" s="8">
        <f>C19+(-0.2)</f>
        <v>-0.2</v>
      </c>
      <c r="N19" s="8"/>
      <c r="O19" s="20">
        <f>MAX(18,B27-(J1925))</f>
        <v>60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60</v>
      </c>
      <c r="C27">
        <f>B27+10</f>
        <v>70</v>
      </c>
      <c r="D27">
        <f>C27+10</f>
        <v>80</v>
      </c>
      <c r="E27">
        <f>D27+10</f>
        <v>90</v>
      </c>
      <c r="F27">
        <f>E27+10</f>
        <v>100</v>
      </c>
    </row>
    <row r="28" spans="1:27" x14ac:dyDescent="0.3">
      <c r="A28" t="s">
        <v>0</v>
      </c>
      <c r="B28" s="24">
        <f>R2</f>
        <v>60.000000000000007</v>
      </c>
      <c r="C28">
        <f>B28+(B28/100*11.5)</f>
        <v>66.900000000000006</v>
      </c>
      <c r="D28">
        <f>C28+(C28/100*32.2)</f>
        <v>88.441800000000001</v>
      </c>
      <c r="E28">
        <f>D28+(D28/100*32.2)</f>
        <v>116.9200596</v>
      </c>
      <c r="F28">
        <f>E28+(E28/100*32.2)</f>
        <v>154.5683187912</v>
      </c>
    </row>
    <row r="29" spans="1:27" x14ac:dyDescent="0.3">
      <c r="A29" t="s">
        <v>1</v>
      </c>
      <c r="B29">
        <f ca="1">R3</f>
        <v>60</v>
      </c>
      <c r="C29">
        <f ca="1">B29+(B29/100*12.3)</f>
        <v>67.38</v>
      </c>
      <c r="D29">
        <f ca="1">C29+(C29/100*30.8)</f>
        <v>88.133039999999994</v>
      </c>
      <c r="E29">
        <f ca="1">D29+(D29/100*30.8)</f>
        <v>115.27801631999999</v>
      </c>
      <c r="F29">
        <f ca="1">E29+(E29/100*30.8)</f>
        <v>150.78364534655998</v>
      </c>
    </row>
    <row r="30" spans="1:27" x14ac:dyDescent="0.3">
      <c r="A30" t="s">
        <v>2</v>
      </c>
      <c r="B30">
        <f>R4</f>
        <v>60.507857142857141</v>
      </c>
      <c r="C30">
        <f>B30+(B30/100*5.5)</f>
        <v>63.835789285714284</v>
      </c>
      <c r="D30">
        <f>C30+(C30/100*11)</f>
        <v>70.857726107142852</v>
      </c>
      <c r="E30">
        <f>D30+(D30/100*11)</f>
        <v>78.652075978928565</v>
      </c>
      <c r="F30">
        <f>E30+(E30/100*11)</f>
        <v>87.30380433661071</v>
      </c>
    </row>
    <row r="31" spans="1:27" x14ac:dyDescent="0.3">
      <c r="A31" t="s">
        <v>3</v>
      </c>
      <c r="B31">
        <f ca="1">R5</f>
        <v>60</v>
      </c>
      <c r="C31">
        <f ca="1">B31+(B31/100*9.9)</f>
        <v>65.94</v>
      </c>
      <c r="D31">
        <f ca="1">C31+(C31/100*19.8)</f>
        <v>78.996119999999991</v>
      </c>
      <c r="E31">
        <f ca="1">D31+(D31/100*19.8)</f>
        <v>94.637351759999987</v>
      </c>
      <c r="F31">
        <f ca="1">E31+(E31/100*19.8)</f>
        <v>113.37554740847999</v>
      </c>
      <c r="N31" s="46" t="s">
        <v>104</v>
      </c>
      <c r="O31" s="46"/>
      <c r="P31" s="46"/>
      <c r="Q31" s="46"/>
      <c r="R31" s="46"/>
      <c r="S31" s="46"/>
      <c r="T31" s="46"/>
      <c r="U31" s="46"/>
      <c r="V31" s="46"/>
      <c r="W31" s="46"/>
      <c r="X31" s="46"/>
      <c r="Y31" s="46"/>
      <c r="Z31" s="46"/>
      <c r="AA31" s="46"/>
    </row>
    <row r="32" spans="1:27" ht="86.4" x14ac:dyDescent="0.3">
      <c r="A32" t="s">
        <v>4</v>
      </c>
      <c r="B32">
        <f>R6</f>
        <v>60</v>
      </c>
      <c r="C32">
        <f>B32+(B32/100*20)</f>
        <v>72</v>
      </c>
      <c r="D32">
        <f>C32+(C32/100*60)</f>
        <v>115.19999999999999</v>
      </c>
      <c r="E32">
        <f>D32+(D32/100*60)</f>
        <v>184.32</v>
      </c>
      <c r="F32">
        <f>E32+(E32/100*60)</f>
        <v>294.91199999999998</v>
      </c>
      <c r="N32" s="2" t="s">
        <v>103</v>
      </c>
      <c r="O32" s="2" t="s">
        <v>130</v>
      </c>
      <c r="P32" s="2"/>
      <c r="Q32" s="2" t="s">
        <v>103</v>
      </c>
      <c r="R32" s="2" t="s">
        <v>131</v>
      </c>
      <c r="S32" s="2"/>
      <c r="T32" s="2" t="s">
        <v>103</v>
      </c>
      <c r="U32" s="2" t="s">
        <v>132</v>
      </c>
      <c r="V32" s="2"/>
      <c r="W32" s="2" t="s">
        <v>103</v>
      </c>
      <c r="X32" s="2" t="s">
        <v>133</v>
      </c>
      <c r="Y32" s="2"/>
      <c r="Z32" s="2" t="s">
        <v>103</v>
      </c>
      <c r="AA32" s="2" t="s">
        <v>134</v>
      </c>
    </row>
    <row r="33" spans="1:27" x14ac:dyDescent="0.3">
      <c r="N33" s="2">
        <f>B27</f>
        <v>60</v>
      </c>
      <c r="O33" s="27">
        <f>R2</f>
        <v>60.000000000000007</v>
      </c>
      <c r="P33" s="2"/>
      <c r="Q33" s="2">
        <f>N33</f>
        <v>60</v>
      </c>
      <c r="R33" s="2">
        <f ca="1">R3</f>
        <v>60</v>
      </c>
      <c r="S33" s="2"/>
      <c r="T33" s="2">
        <f>N33</f>
        <v>60</v>
      </c>
      <c r="U33" s="2">
        <f>R4</f>
        <v>60.507857142857141</v>
      </c>
      <c r="V33" s="2"/>
      <c r="W33" s="2">
        <f>N33</f>
        <v>60</v>
      </c>
      <c r="X33" s="2">
        <f ca="1">R5</f>
        <v>60</v>
      </c>
      <c r="Y33" s="2"/>
      <c r="Z33" s="2">
        <f>N33</f>
        <v>60</v>
      </c>
      <c r="AA33">
        <f>R6</f>
        <v>60</v>
      </c>
    </row>
    <row r="34" spans="1:27" x14ac:dyDescent="0.3">
      <c r="N34" s="2">
        <f>N33+1</f>
        <v>61</v>
      </c>
      <c r="O34" s="2">
        <f>O33+(O33*0.0115)</f>
        <v>60.690000000000005</v>
      </c>
      <c r="P34" s="2"/>
      <c r="Q34" s="2">
        <f>Q33+1</f>
        <v>61</v>
      </c>
      <c r="R34" s="2">
        <f ca="1">R33+(R33*0.0123)</f>
        <v>60.738</v>
      </c>
      <c r="S34" s="2"/>
      <c r="T34" s="2">
        <f>T33+1</f>
        <v>61</v>
      </c>
      <c r="U34" s="2">
        <f t="shared" ref="U34:U43" si="3">U33+(U33*0.0055)</f>
        <v>60.840650357142856</v>
      </c>
      <c r="V34" s="2"/>
      <c r="W34" s="2">
        <f>W33+1</f>
        <v>61</v>
      </c>
      <c r="X34" s="2">
        <f ca="1">X33+(X33*0.0099)</f>
        <v>60.594000000000001</v>
      </c>
      <c r="Y34" s="2"/>
      <c r="Z34" s="2">
        <f>Z33+1</f>
        <v>61</v>
      </c>
      <c r="AA34">
        <f>AA33+(AA33*0.02)</f>
        <v>61.2</v>
      </c>
    </row>
    <row r="35" spans="1:27" x14ac:dyDescent="0.3">
      <c r="N35" s="2">
        <f t="shared" ref="N35:N43" si="4">N34+1</f>
        <v>62</v>
      </c>
      <c r="O35" s="2">
        <f t="shared" ref="O35:O43" si="5">O34+(O34*0.0115)</f>
        <v>61.387935000000006</v>
      </c>
      <c r="P35" s="2"/>
      <c r="Q35" s="2">
        <f t="shared" ref="Q35:Q43" si="6">Q34+1</f>
        <v>62</v>
      </c>
      <c r="R35" s="2">
        <f t="shared" ref="R35:R43" ca="1" si="7">R34+(R34*0.0123)</f>
        <v>61.485077400000002</v>
      </c>
      <c r="S35" s="2"/>
      <c r="T35" s="2">
        <f t="shared" ref="T35:T43" si="8">T34+1</f>
        <v>62</v>
      </c>
      <c r="U35" s="2">
        <f t="shared" si="3"/>
        <v>61.175273934107139</v>
      </c>
      <c r="V35" s="2"/>
      <c r="W35" s="2">
        <f t="shared" ref="W35:W43" si="9">W34+1</f>
        <v>62</v>
      </c>
      <c r="X35" s="2">
        <f t="shared" ref="X35:X43" ca="1" si="10">X34+(X34*0.0099)</f>
        <v>61.1938806</v>
      </c>
      <c r="Y35" s="2"/>
      <c r="Z35" s="2">
        <f t="shared" ref="Z35:Z43" si="11">Z34+1</f>
        <v>62</v>
      </c>
      <c r="AA35">
        <f t="shared" ref="AA35:AA43" si="12">AA34+(AA34*0.02)</f>
        <v>62.423999999999999</v>
      </c>
    </row>
    <row r="36" spans="1:27" x14ac:dyDescent="0.3">
      <c r="A36" t="s">
        <v>8</v>
      </c>
      <c r="N36" s="2">
        <f t="shared" si="4"/>
        <v>63</v>
      </c>
      <c r="O36" s="2">
        <f t="shared" si="5"/>
        <v>62.093896252500009</v>
      </c>
      <c r="P36" s="2"/>
      <c r="Q36" s="2">
        <f t="shared" si="6"/>
        <v>63</v>
      </c>
      <c r="R36" s="2">
        <f t="shared" ca="1" si="7"/>
        <v>62.241343852020002</v>
      </c>
      <c r="S36" s="2"/>
      <c r="T36" s="2">
        <f t="shared" si="8"/>
        <v>63</v>
      </c>
      <c r="U36" s="2">
        <f t="shared" si="3"/>
        <v>61.51173794074473</v>
      </c>
      <c r="V36" s="2"/>
      <c r="W36" s="2">
        <f t="shared" si="9"/>
        <v>63</v>
      </c>
      <c r="X36" s="2">
        <f t="shared" ca="1" si="10"/>
        <v>61.799700017939998</v>
      </c>
      <c r="Y36" s="2"/>
      <c r="Z36" s="2">
        <f t="shared" si="11"/>
        <v>63</v>
      </c>
      <c r="AA36">
        <f t="shared" si="12"/>
        <v>63.67248</v>
      </c>
    </row>
    <row r="37" spans="1:27" x14ac:dyDescent="0.3">
      <c r="A37" s="1">
        <f ca="1">(B28/100*20)+(B29/100*20)+(B30/100*25)+(B31/100*20)+(B32/100*15)</f>
        <v>60.12696428571428</v>
      </c>
      <c r="N37" s="2">
        <f t="shared" si="4"/>
        <v>64</v>
      </c>
      <c r="O37" s="2">
        <f t="shared" si="5"/>
        <v>62.807976059403757</v>
      </c>
      <c r="P37" s="2"/>
      <c r="Q37" s="2">
        <f t="shared" si="6"/>
        <v>64</v>
      </c>
      <c r="R37" s="2">
        <f t="shared" ca="1" si="7"/>
        <v>63.00691238139985</v>
      </c>
      <c r="S37" s="2"/>
      <c r="T37" s="2">
        <f t="shared" si="8"/>
        <v>64</v>
      </c>
      <c r="U37" s="2">
        <f t="shared" si="3"/>
        <v>61.85005249941883</v>
      </c>
      <c r="V37" s="2"/>
      <c r="W37" s="2">
        <f t="shared" si="9"/>
        <v>64</v>
      </c>
      <c r="X37" s="2">
        <f t="shared" ca="1" si="10"/>
        <v>62.411517048117602</v>
      </c>
      <c r="Y37" s="2"/>
      <c r="Z37" s="2">
        <f t="shared" si="11"/>
        <v>64</v>
      </c>
      <c r="AA37">
        <f t="shared" si="12"/>
        <v>64.945929599999999</v>
      </c>
    </row>
    <row r="38" spans="1:27" x14ac:dyDescent="0.3">
      <c r="N38" s="2">
        <f t="shared" si="4"/>
        <v>65</v>
      </c>
      <c r="O38" s="2">
        <f t="shared" si="5"/>
        <v>63.530267784086902</v>
      </c>
      <c r="P38" s="2"/>
      <c r="Q38" s="2">
        <f t="shared" si="6"/>
        <v>65</v>
      </c>
      <c r="R38" s="2">
        <f t="shared" ca="1" si="7"/>
        <v>63.781897403691069</v>
      </c>
      <c r="S38" s="2"/>
      <c r="T38" s="2">
        <f t="shared" si="8"/>
        <v>65</v>
      </c>
      <c r="U38" s="2">
        <f t="shared" si="3"/>
        <v>62.190227788165636</v>
      </c>
      <c r="V38" s="2"/>
      <c r="W38" s="2">
        <f t="shared" si="9"/>
        <v>65</v>
      </c>
      <c r="X38" s="2">
        <f t="shared" ca="1" si="10"/>
        <v>63.029391066893965</v>
      </c>
      <c r="Y38" s="2"/>
      <c r="Z38" s="2">
        <f t="shared" si="11"/>
        <v>65</v>
      </c>
      <c r="AA38">
        <f t="shared" si="12"/>
        <v>66.244848192000006</v>
      </c>
    </row>
    <row r="39" spans="1:27" x14ac:dyDescent="0.3">
      <c r="N39" s="2">
        <f t="shared" si="4"/>
        <v>66</v>
      </c>
      <c r="O39" s="2">
        <f t="shared" si="5"/>
        <v>64.260865863603897</v>
      </c>
      <c r="P39" s="2"/>
      <c r="Q39" s="2">
        <f t="shared" si="6"/>
        <v>66</v>
      </c>
      <c r="R39" s="2">
        <f t="shared" ca="1" si="7"/>
        <v>64.566414741756475</v>
      </c>
      <c r="S39" s="2"/>
      <c r="T39" s="2">
        <f t="shared" si="8"/>
        <v>66</v>
      </c>
      <c r="U39" s="2">
        <f t="shared" si="3"/>
        <v>62.532274041000548</v>
      </c>
      <c r="V39" s="2"/>
      <c r="W39" s="2">
        <f t="shared" si="9"/>
        <v>66</v>
      </c>
      <c r="X39" s="2">
        <f t="shared" ca="1" si="10"/>
        <v>63.653382038456215</v>
      </c>
      <c r="Y39" s="2"/>
      <c r="Z39" s="2">
        <f t="shared" si="11"/>
        <v>66</v>
      </c>
      <c r="AA39">
        <f t="shared" si="12"/>
        <v>67.56974515584001</v>
      </c>
    </row>
    <row r="40" spans="1:27" x14ac:dyDescent="0.3">
      <c r="N40" s="2">
        <f t="shared" si="4"/>
        <v>67</v>
      </c>
      <c r="O40" s="2">
        <f t="shared" si="5"/>
        <v>64.999865821035343</v>
      </c>
      <c r="P40" s="2"/>
      <c r="Q40" s="2">
        <f t="shared" si="6"/>
        <v>67</v>
      </c>
      <c r="R40" s="2">
        <f t="shared" ca="1" si="7"/>
        <v>65.360581643080081</v>
      </c>
      <c r="S40" s="2"/>
      <c r="T40" s="2">
        <f t="shared" si="8"/>
        <v>67</v>
      </c>
      <c r="U40" s="2">
        <f t="shared" si="3"/>
        <v>62.876201548226049</v>
      </c>
      <c r="V40" s="2"/>
      <c r="W40" s="2">
        <f t="shared" si="9"/>
        <v>67</v>
      </c>
      <c r="X40" s="2">
        <f t="shared" ca="1" si="10"/>
        <v>64.283550520636936</v>
      </c>
      <c r="Y40" s="2"/>
      <c r="Z40" s="2">
        <f t="shared" si="11"/>
        <v>67</v>
      </c>
      <c r="AA40">
        <f t="shared" si="12"/>
        <v>68.921140058956809</v>
      </c>
    </row>
    <row r="41" spans="1:27" x14ac:dyDescent="0.3">
      <c r="N41" s="2">
        <f t="shared" si="4"/>
        <v>68</v>
      </c>
      <c r="O41" s="2">
        <f t="shared" si="5"/>
        <v>65.747364277977255</v>
      </c>
      <c r="P41" s="2"/>
      <c r="Q41" s="2">
        <f t="shared" si="6"/>
        <v>68</v>
      </c>
      <c r="R41" s="2">
        <f t="shared" ca="1" si="7"/>
        <v>66.164516797289963</v>
      </c>
      <c r="S41" s="2"/>
      <c r="T41" s="2">
        <f t="shared" si="8"/>
        <v>68</v>
      </c>
      <c r="U41" s="2">
        <f t="shared" si="3"/>
        <v>63.222020656741293</v>
      </c>
      <c r="V41" s="2"/>
      <c r="W41" s="2">
        <f t="shared" si="9"/>
        <v>68</v>
      </c>
      <c r="X41" s="2">
        <f t="shared" ca="1" si="10"/>
        <v>64.919957670791248</v>
      </c>
      <c r="Y41" s="2"/>
      <c r="Z41" s="2">
        <f t="shared" si="11"/>
        <v>68</v>
      </c>
      <c r="AA41">
        <f t="shared" si="12"/>
        <v>70.29956286013595</v>
      </c>
    </row>
    <row r="42" spans="1:27" x14ac:dyDescent="0.3">
      <c r="B42" t="s">
        <v>12</v>
      </c>
      <c r="C42" t="s">
        <v>0</v>
      </c>
      <c r="D42" t="s">
        <v>12</v>
      </c>
      <c r="E42" t="s">
        <v>1</v>
      </c>
      <c r="F42" t="s">
        <v>12</v>
      </c>
      <c r="G42" t="s">
        <v>2</v>
      </c>
      <c r="H42" t="s">
        <v>12</v>
      </c>
      <c r="I42" t="s">
        <v>3</v>
      </c>
      <c r="J42" t="s">
        <v>12</v>
      </c>
      <c r="K42" t="s">
        <v>4</v>
      </c>
      <c r="N42" s="2">
        <f t="shared" si="4"/>
        <v>69</v>
      </c>
      <c r="O42" s="2">
        <f t="shared" si="5"/>
        <v>66.503458967173998</v>
      </c>
      <c r="P42" s="2"/>
      <c r="Q42" s="2">
        <f t="shared" si="6"/>
        <v>69</v>
      </c>
      <c r="R42" s="2">
        <f t="shared" ca="1" si="7"/>
        <v>66.978340353896627</v>
      </c>
      <c r="S42" s="2"/>
      <c r="T42" s="2">
        <f t="shared" si="8"/>
        <v>69</v>
      </c>
      <c r="U42" s="2">
        <f t="shared" si="3"/>
        <v>63.569741770353367</v>
      </c>
      <c r="V42" s="2"/>
      <c r="W42" s="2">
        <f t="shared" si="9"/>
        <v>69</v>
      </c>
      <c r="X42" s="2">
        <f t="shared" ca="1" si="10"/>
        <v>65.562665251732085</v>
      </c>
      <c r="Y42" s="2"/>
      <c r="Z42" s="2">
        <f t="shared" si="11"/>
        <v>69</v>
      </c>
      <c r="AA42">
        <f t="shared" si="12"/>
        <v>71.705554117338664</v>
      </c>
    </row>
    <row r="43" spans="1:27" x14ac:dyDescent="0.3">
      <c r="B43">
        <f>B27</f>
        <v>60</v>
      </c>
      <c r="C43">
        <f>B28</f>
        <v>60.000000000000007</v>
      </c>
      <c r="D43">
        <f>B43</f>
        <v>60</v>
      </c>
      <c r="E43">
        <f ca="1">B29</f>
        <v>60</v>
      </c>
      <c r="F43">
        <f>B27</f>
        <v>60</v>
      </c>
      <c r="G43">
        <f>B30</f>
        <v>60.507857142857141</v>
      </c>
      <c r="H43">
        <f>B27</f>
        <v>60</v>
      </c>
      <c r="I43">
        <f ca="1">B31</f>
        <v>60</v>
      </c>
      <c r="J43">
        <f>B27</f>
        <v>60</v>
      </c>
      <c r="K43">
        <f>B32</f>
        <v>60</v>
      </c>
      <c r="N43" s="2">
        <f t="shared" si="4"/>
        <v>70</v>
      </c>
      <c r="O43" s="2">
        <f t="shared" si="5"/>
        <v>67.268248745296503</v>
      </c>
      <c r="P43" s="2"/>
      <c r="Q43" s="2">
        <f t="shared" si="6"/>
        <v>70</v>
      </c>
      <c r="R43" s="2">
        <f t="shared" ca="1" si="7"/>
        <v>67.80217394024956</v>
      </c>
      <c r="S43" s="2"/>
      <c r="T43" s="2">
        <f t="shared" si="8"/>
        <v>70</v>
      </c>
      <c r="U43" s="2">
        <f t="shared" si="3"/>
        <v>63.919375350090313</v>
      </c>
      <c r="V43" s="2"/>
      <c r="W43" s="2">
        <f t="shared" si="9"/>
        <v>70</v>
      </c>
      <c r="X43" s="2">
        <f t="shared" ca="1" si="10"/>
        <v>66.211735637724232</v>
      </c>
      <c r="Y43" s="2"/>
      <c r="Z43" s="2">
        <f t="shared" si="11"/>
        <v>70</v>
      </c>
      <c r="AA43">
        <f t="shared" si="12"/>
        <v>73.139665199685439</v>
      </c>
    </row>
    <row r="44" spans="1:27" x14ac:dyDescent="0.3">
      <c r="B44">
        <f>C27</f>
        <v>70</v>
      </c>
      <c r="C44">
        <f>C28</f>
        <v>66.900000000000006</v>
      </c>
      <c r="D44">
        <f>B44</f>
        <v>70</v>
      </c>
      <c r="E44">
        <f ca="1">C29</f>
        <v>67.38</v>
      </c>
      <c r="F44">
        <f>C27</f>
        <v>70</v>
      </c>
      <c r="G44">
        <f>C30</f>
        <v>63.835789285714284</v>
      </c>
      <c r="H44">
        <f>C27</f>
        <v>70</v>
      </c>
      <c r="I44">
        <f ca="1">C31</f>
        <v>65.94</v>
      </c>
      <c r="J44">
        <f>C27</f>
        <v>70</v>
      </c>
      <c r="K44">
        <f>C32</f>
        <v>72</v>
      </c>
    </row>
    <row r="45" spans="1:27" x14ac:dyDescent="0.3">
      <c r="B45">
        <f>D27</f>
        <v>80</v>
      </c>
      <c r="C45">
        <f>D28</f>
        <v>88.441800000000001</v>
      </c>
      <c r="D45">
        <f>D27</f>
        <v>80</v>
      </c>
      <c r="E45">
        <f ca="1">D29</f>
        <v>88.133039999999994</v>
      </c>
      <c r="F45">
        <f>D27</f>
        <v>80</v>
      </c>
      <c r="G45">
        <f>D30</f>
        <v>70.857726107142852</v>
      </c>
      <c r="H45">
        <f>D27</f>
        <v>80</v>
      </c>
      <c r="I45">
        <f ca="1">D31</f>
        <v>78.996119999999991</v>
      </c>
      <c r="J45">
        <f>D27</f>
        <v>80</v>
      </c>
      <c r="K45">
        <f>D32</f>
        <v>115.19999999999999</v>
      </c>
    </row>
    <row r="46" spans="1:27" x14ac:dyDescent="0.3">
      <c r="B46">
        <f>E27</f>
        <v>90</v>
      </c>
      <c r="C46">
        <f>E28</f>
        <v>116.9200596</v>
      </c>
      <c r="D46">
        <f>E27</f>
        <v>90</v>
      </c>
      <c r="E46">
        <f ca="1">E29</f>
        <v>115.27801631999999</v>
      </c>
      <c r="F46">
        <f>E27</f>
        <v>90</v>
      </c>
      <c r="G46">
        <f>E30</f>
        <v>78.652075978928565</v>
      </c>
      <c r="H46">
        <f>E27</f>
        <v>90</v>
      </c>
      <c r="I46">
        <f ca="1">E31</f>
        <v>94.637351759999987</v>
      </c>
      <c r="J46">
        <f>E27</f>
        <v>90</v>
      </c>
      <c r="K46">
        <f>E32</f>
        <v>184.32</v>
      </c>
    </row>
    <row r="47" spans="1:27" x14ac:dyDescent="0.3">
      <c r="B47">
        <f>F27</f>
        <v>100</v>
      </c>
      <c r="C47">
        <f>F28</f>
        <v>154.5683187912</v>
      </c>
      <c r="D47">
        <f>F27</f>
        <v>100</v>
      </c>
      <c r="E47">
        <f ca="1">F29</f>
        <v>150.78364534655998</v>
      </c>
      <c r="F47">
        <f>F27</f>
        <v>100</v>
      </c>
      <c r="G47">
        <f ca="1">F31</f>
        <v>113.37554740847999</v>
      </c>
      <c r="H47">
        <f>F27</f>
        <v>100</v>
      </c>
      <c r="I47">
        <f ca="1">F31</f>
        <v>113.37554740847999</v>
      </c>
      <c r="J47">
        <f>F27</f>
        <v>100</v>
      </c>
      <c r="K47">
        <f>F32</f>
        <v>294.91199999999998</v>
      </c>
    </row>
  </sheetData>
  <mergeCells count="2">
    <mergeCell ref="A23:F23"/>
    <mergeCell ref="N31:AA3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7764-9733-4658-AC9A-E1A738271200}">
  <dimension ref="A1:AA47"/>
  <sheetViews>
    <sheetView topLeftCell="B1" zoomScale="75" zoomScaleNormal="75" workbookViewId="0">
      <selection activeCell="G28" sqref="G28: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22.8</v>
      </c>
      <c r="D2">
        <f t="shared" ref="D2:M2" si="0">C2-(C2/100*D1)</f>
        <v>22.571999999999999</v>
      </c>
      <c r="E2">
        <f t="shared" si="0"/>
        <v>22.120559999999998</v>
      </c>
      <c r="F2">
        <f t="shared" si="0"/>
        <v>21.456943199999998</v>
      </c>
      <c r="G2">
        <f t="shared" si="0"/>
        <v>20.598665471999997</v>
      </c>
      <c r="H2">
        <f t="shared" si="0"/>
        <v>19.568732198399996</v>
      </c>
      <c r="I2">
        <f t="shared" si="0"/>
        <v>18.394608266495997</v>
      </c>
      <c r="J2">
        <f t="shared" si="0"/>
        <v>17.106985687841277</v>
      </c>
      <c r="K2">
        <f t="shared" si="0"/>
        <v>15.738426832813975</v>
      </c>
      <c r="L2">
        <f t="shared" si="0"/>
        <v>14.321968417860717</v>
      </c>
      <c r="M2">
        <f t="shared" si="0"/>
        <v>12.889771576074645</v>
      </c>
      <c r="N2" s="8"/>
      <c r="O2" s="21"/>
      <c r="Q2" s="3" t="s">
        <v>0</v>
      </c>
      <c r="R2" s="16">
        <f>B27+ ((1 -((C2 / 22.8) * 0.7 )-((C3 / 100) * 0.3 )) * 100)</f>
        <v>60.000000000000007</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60</v>
      </c>
      <c r="T3" s="23" t="s">
        <v>8</v>
      </c>
    </row>
    <row r="4" spans="1:20" ht="18" customHeight="1" x14ac:dyDescent="0.3">
      <c r="A4" s="4" t="s">
        <v>17</v>
      </c>
      <c r="B4" s="4" t="s">
        <v>18</v>
      </c>
      <c r="C4" s="10">
        <v>25</v>
      </c>
      <c r="D4">
        <f>C4-(C4/100*D1)</f>
        <v>24.75</v>
      </c>
      <c r="E4">
        <f t="shared" ref="E4:M4" si="2">D4-(D4/100*E1)</f>
        <v>24.254999999999999</v>
      </c>
      <c r="F4">
        <f t="shared" si="2"/>
        <v>23.527349999999998</v>
      </c>
      <c r="G4">
        <f t="shared" si="2"/>
        <v>22.586255999999999</v>
      </c>
      <c r="H4">
        <f t="shared" si="2"/>
        <v>21.456943199999998</v>
      </c>
      <c r="I4">
        <f t="shared" si="2"/>
        <v>20.169526607999998</v>
      </c>
      <c r="J4">
        <f t="shared" si="2"/>
        <v>18.757659745439998</v>
      </c>
      <c r="K4">
        <f t="shared" si="2"/>
        <v>17.257046965804797</v>
      </c>
      <c r="L4">
        <f t="shared" si="2"/>
        <v>15.703912738882366</v>
      </c>
      <c r="M4">
        <f t="shared" si="2"/>
        <v>14.133521464994129</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60</v>
      </c>
      <c r="Q4" s="5" t="s">
        <v>2</v>
      </c>
      <c r="R4" s="5">
        <f>B27 - 9*R11</f>
        <v>60.007714285714286</v>
      </c>
      <c r="T4" s="1">
        <f ca="1">(R2/100*20)+(R3/100*20)+(R4/100*25)+(R5/100*20)+(R6/100*15)</f>
        <v>60.001928571428572</v>
      </c>
    </row>
    <row r="5" spans="1:20" x14ac:dyDescent="0.3">
      <c r="A5" s="4" t="s">
        <v>17</v>
      </c>
      <c r="B5" s="4" t="s">
        <v>19</v>
      </c>
      <c r="C5" s="10">
        <v>2.1</v>
      </c>
      <c r="L5" s="8"/>
      <c r="M5" s="8">
        <f>C5-(C5/100*12)</f>
        <v>1.8480000000000001</v>
      </c>
      <c r="N5" s="8"/>
      <c r="O5" s="18">
        <f ca="1">FORECAST(C5, OFFSET(Strength_Normative_Data!$O$3, MATCH(C5, Strength_Normative_Data!$Q$3:$Q$17, -1)-1, 0, 2), OFFSET(Strength_Normative_Data!$Q$3, MATCH(C5, Strength_Normative_Data!$Q$3:$Q$17, -1)-1, 0, 2))</f>
        <v>60.000000000000014</v>
      </c>
      <c r="Q5" s="6" t="s">
        <v>29</v>
      </c>
      <c r="R5" s="6">
        <f ca="1">((O14/100*30)+(O15/100*25)+(O16/100*30)+(O17/100*15))</f>
        <v>60</v>
      </c>
    </row>
    <row r="6" spans="1:20" x14ac:dyDescent="0.3">
      <c r="A6" s="4" t="s">
        <v>17</v>
      </c>
      <c r="B6" s="4" t="s">
        <v>20</v>
      </c>
      <c r="C6" s="10">
        <v>19</v>
      </c>
      <c r="L6" s="8"/>
      <c r="M6" s="8">
        <f>C6-(C6/100*12)</f>
        <v>16.72</v>
      </c>
      <c r="N6" s="8"/>
      <c r="O6" s="18">
        <f ca="1">FORECAST(C6, OFFSET(Strength_Normative_Data!$J$3, MATCH(C6, Strength_Normative_Data!$L$3:$L$16, -1)-1, 0, 2), OFFSET(Strength_Normative_Data!$L$3, MATCH(C6, Strength_Normative_Data!$L$3:$L$16, -1)-1, 0, 2))</f>
        <v>60</v>
      </c>
      <c r="Q6" s="7" t="s">
        <v>4</v>
      </c>
      <c r="R6" s="7">
        <f>((O18/100*60)+(O19/100*40))</f>
        <v>60</v>
      </c>
    </row>
    <row r="7" spans="1:20" x14ac:dyDescent="0.3">
      <c r="A7" s="5" t="s">
        <v>21</v>
      </c>
      <c r="B7" s="5" t="s">
        <v>22</v>
      </c>
      <c r="C7" s="11">
        <v>38</v>
      </c>
      <c r="L7" s="8"/>
      <c r="M7" s="8">
        <f>C7+(C7/100*6)</f>
        <v>40.28</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5.5</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2.6</v>
      </c>
      <c r="L11" s="8"/>
      <c r="M11" s="8">
        <f>C11+(C11/100*14)</f>
        <v>2.964</v>
      </c>
      <c r="N11" s="8"/>
      <c r="O11" s="5">
        <f xml:space="preserve">
IF(C11&lt;1.6,10*(C11/1.6),
IF(C11&lt;3,10+40*(C11-1.6)/1.4,
50+50*(MIN(C11,7)-3)/4))</f>
        <v>38.571428571428569</v>
      </c>
      <c r="Q11">
        <f>(0.3*P12)+(0.2*O8)+(0.15*O10)+(0.25*O11)+(0.1*O13)</f>
        <v>35.042857142857144</v>
      </c>
      <c r="R11">
        <f xml:space="preserve">
IF(Q11&lt;=10,1.5-0.1*Q11,
IF(Q11&lt;=60,0.5-0.02*(Q11-10),
-0.5-0.03*(Q11-60)))</f>
        <v>-8.5714285714288962E-4</v>
      </c>
    </row>
    <row r="12" spans="1:20" x14ac:dyDescent="0.3">
      <c r="A12" s="5" t="s">
        <v>21</v>
      </c>
      <c r="B12" s="5" t="s">
        <v>27</v>
      </c>
      <c r="C12" s="11">
        <v>1.05</v>
      </c>
      <c r="L12" s="8"/>
      <c r="M12" s="8">
        <f>C12+(C12/100*6)</f>
        <v>1.113</v>
      </c>
      <c r="N12" s="8"/>
      <c r="O12" s="5">
        <f>C12*100</f>
        <v>105</v>
      </c>
      <c r="P12" s="5">
        <f xml:space="preserve">
IF(O12&lt;80,5*(O12/80),
IF(O12&lt;100,10+20*(O12-80)/20,
IF(O12&lt;130,30+25*(O12-100)/30,
IF(O12&lt;160,55+25*(O12-130)/30,
IF(O12&lt;200,80+20*(O12-160)/40,100)))))</f>
        <v>34.166666666666664</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1.24</v>
      </c>
      <c r="L14" s="8"/>
      <c r="M14" s="8">
        <f>C14+(C14/100*6)</f>
        <v>1.3144</v>
      </c>
      <c r="N14" s="8"/>
      <c r="O14" s="12">
        <f ca="1">IFERROR(FORECAST(C14, OFFSET(Mobility_Normative_Data!$A$3, MATCH(C14, Mobility_Normative_Data!$C$3:$C$17, -1)-1, 0, 2), OFFSET(Mobility_Normative_Data!$C$3, MATCH(C14, Mobility_Normative_Data!$C$3:$C$17, -1)-1, 0, 2)), INDEX(Mobility_Normative_Data!$A$3:$A$17, MATCH(C14, Mobility_Normative_Data!$C$3:$C$17, -1)))</f>
        <v>60</v>
      </c>
    </row>
    <row r="15" spans="1:20" x14ac:dyDescent="0.3">
      <c r="A15" s="6" t="s">
        <v>29</v>
      </c>
      <c r="B15" s="6" t="s">
        <v>31</v>
      </c>
      <c r="C15" s="12">
        <v>8.5</v>
      </c>
      <c r="L15" s="8"/>
      <c r="M15" s="8">
        <f>C15+(C15/100*10)</f>
        <v>9.35</v>
      </c>
      <c r="N15" s="8"/>
      <c r="O15" s="12">
        <f ca="1">FORECAST(C15, OFFSET(Mobility_Normative_Data!$E$3, MATCH(C15, Mobility_Normative_Data!$G$3:$G$18, 1)-1, 0, 2), OFFSET(Mobility_Normative_Data!$G$3, MATCH(C15, Mobility_Normative_Data!$G$3:$G$18, 1)-1, 0, 2))</f>
        <v>60</v>
      </c>
    </row>
    <row r="16" spans="1:20" x14ac:dyDescent="0.3">
      <c r="A16" s="6" t="s">
        <v>29</v>
      </c>
      <c r="B16" s="6" t="s">
        <v>32</v>
      </c>
      <c r="C16" s="12">
        <v>29</v>
      </c>
      <c r="L16" s="8"/>
      <c r="M16" s="8">
        <f>C16+(C16/100*20)</f>
        <v>34.799999999999997</v>
      </c>
      <c r="N16" s="8"/>
      <c r="O16" s="12">
        <f ca="1">FORECAST(C16, OFFSET(Mobility_Normative_Data!$I$3, MATCH(C16, Mobility_Normative_Data!$K$3:$K$17, -1)-1, 0, 2), OFFSET(Mobility_Normative_Data!$K$3, MATCH(C16, Mobility_Normative_Data!$K$3:$K$17, -1)-1, 0, 2))</f>
        <v>60.000000000000007</v>
      </c>
    </row>
    <row r="17" spans="1:27" x14ac:dyDescent="0.3">
      <c r="A17" s="6" t="s">
        <v>29</v>
      </c>
      <c r="B17" s="6" t="s">
        <v>33</v>
      </c>
      <c r="C17" s="12">
        <v>31</v>
      </c>
      <c r="L17" s="8"/>
      <c r="M17" s="8">
        <f>C17+(C17/100*10)</f>
        <v>34.1</v>
      </c>
      <c r="N17" s="8"/>
      <c r="O17" s="12">
        <f ca="1">FORECAST(C17, OFFSET(Mobility_Normative_Data!$M$3, MATCH(C17, Mobility_Normative_Data!$O$3:$O$17, -1)-1, 0, 2), OFFSET(Mobility_Normative_Data!$O$3, MATCH(C17, Mobility_Normative_Data!$O$3:$O$17, -1)-1, 0, 2))</f>
        <v>60</v>
      </c>
    </row>
    <row r="18" spans="1:27" x14ac:dyDescent="0.3">
      <c r="A18" s="7" t="s">
        <v>34</v>
      </c>
      <c r="B18" s="7" t="s">
        <v>35</v>
      </c>
      <c r="C18" s="13">
        <v>0</v>
      </c>
      <c r="L18" s="8"/>
      <c r="M18" s="8">
        <f>C18 +(-0.2)</f>
        <v>-0.2</v>
      </c>
      <c r="N18" s="8"/>
      <c r="O18" s="20">
        <f>MAX(18,B27-(C18*25))</f>
        <v>60</v>
      </c>
    </row>
    <row r="19" spans="1:27" x14ac:dyDescent="0.3">
      <c r="A19" s="7" t="s">
        <v>34</v>
      </c>
      <c r="B19" s="7" t="s">
        <v>36</v>
      </c>
      <c r="C19" s="13">
        <v>0</v>
      </c>
      <c r="L19" s="8"/>
      <c r="M19" s="8">
        <f>C19+(-0.2)</f>
        <v>-0.2</v>
      </c>
      <c r="N19" s="8"/>
      <c r="O19" s="20">
        <f>MAX(18,B27-(J1925))</f>
        <v>60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60</v>
      </c>
      <c r="C27">
        <f>B27+10</f>
        <v>70</v>
      </c>
      <c r="D27">
        <f>C27+10</f>
        <v>80</v>
      </c>
      <c r="E27">
        <f>D27+10</f>
        <v>90</v>
      </c>
      <c r="F27">
        <f>E27+10</f>
        <v>100</v>
      </c>
    </row>
    <row r="28" spans="1:27" x14ac:dyDescent="0.3">
      <c r="A28" t="s">
        <v>0</v>
      </c>
      <c r="B28" s="24">
        <f>R2</f>
        <v>60.000000000000007</v>
      </c>
      <c r="C28">
        <f>B28+(B28/100*11.5)</f>
        <v>66.900000000000006</v>
      </c>
      <c r="D28">
        <f>C28+(C28/100*32.2)</f>
        <v>88.441800000000001</v>
      </c>
      <c r="E28">
        <f>D28+(D28/100*32.2)</f>
        <v>116.9200596</v>
      </c>
      <c r="F28">
        <f>E28+(E28/100*32.2)</f>
        <v>154.5683187912</v>
      </c>
    </row>
    <row r="29" spans="1:27" x14ac:dyDescent="0.3">
      <c r="A29" t="s">
        <v>1</v>
      </c>
      <c r="B29">
        <f ca="1">R3</f>
        <v>60</v>
      </c>
      <c r="C29">
        <f ca="1">B29+(B29/100*12.3)</f>
        <v>67.38</v>
      </c>
      <c r="D29">
        <f ca="1">C29+(C29/100*30.8)</f>
        <v>88.133039999999994</v>
      </c>
      <c r="E29">
        <f ca="1">D29+(D29/100*30.8)</f>
        <v>115.27801631999999</v>
      </c>
      <c r="F29">
        <f ca="1">E29+(E29/100*30.8)</f>
        <v>150.78364534655998</v>
      </c>
    </row>
    <row r="30" spans="1:27" x14ac:dyDescent="0.3">
      <c r="A30" t="s">
        <v>2</v>
      </c>
      <c r="B30">
        <f>R4</f>
        <v>60.007714285714286</v>
      </c>
      <c r="C30">
        <f>B30+(B30/100*5.5)</f>
        <v>63.308138571428572</v>
      </c>
      <c r="D30">
        <f>C30+(C30/100*11)</f>
        <v>70.27203381428572</v>
      </c>
      <c r="E30">
        <f>D30+(D30/100*11)</f>
        <v>78.001957533857151</v>
      </c>
      <c r="F30">
        <f>E30+(E30/100*11)</f>
        <v>86.582172862581444</v>
      </c>
    </row>
    <row r="31" spans="1:27" x14ac:dyDescent="0.3">
      <c r="A31" t="s">
        <v>3</v>
      </c>
      <c r="B31">
        <f ca="1">R5</f>
        <v>60</v>
      </c>
      <c r="C31">
        <f ca="1">B31+(B31/100*9.9)</f>
        <v>65.94</v>
      </c>
      <c r="D31">
        <f ca="1">C31+(C31/100*19.8)</f>
        <v>78.996119999999991</v>
      </c>
      <c r="E31">
        <f ca="1">D31+(D31/100*19.8)</f>
        <v>94.637351759999987</v>
      </c>
      <c r="F31">
        <f ca="1">E31+(E31/100*19.8)</f>
        <v>113.37554740847999</v>
      </c>
      <c r="N31" s="46" t="s">
        <v>104</v>
      </c>
      <c r="O31" s="46"/>
      <c r="P31" s="46"/>
      <c r="Q31" s="46"/>
      <c r="R31" s="46"/>
      <c r="S31" s="46"/>
      <c r="T31" s="46"/>
      <c r="U31" s="46"/>
      <c r="V31" s="46"/>
      <c r="W31" s="46"/>
      <c r="X31" s="46"/>
      <c r="Y31" s="46"/>
      <c r="Z31" s="46"/>
      <c r="AA31" s="46"/>
    </row>
    <row r="32" spans="1:27" ht="100.8" x14ac:dyDescent="0.3">
      <c r="A32" t="s">
        <v>4</v>
      </c>
      <c r="B32">
        <f>R6</f>
        <v>60</v>
      </c>
      <c r="C32">
        <f>B32+(B32/100*20)</f>
        <v>72</v>
      </c>
      <c r="D32">
        <f>C32+(C32/100*60)</f>
        <v>115.19999999999999</v>
      </c>
      <c r="E32">
        <f>D32+(D32/100*60)</f>
        <v>184.32</v>
      </c>
      <c r="F32">
        <f>E32+(E32/100*60)</f>
        <v>294.91199999999998</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60</v>
      </c>
      <c r="O33" s="27">
        <f>R2</f>
        <v>60.000000000000007</v>
      </c>
      <c r="P33" s="2"/>
      <c r="Q33" s="2">
        <f>N33</f>
        <v>60</v>
      </c>
      <c r="R33" s="2">
        <f ca="1">R3</f>
        <v>60</v>
      </c>
      <c r="S33" s="2"/>
      <c r="T33" s="2">
        <f>N33</f>
        <v>60</v>
      </c>
      <c r="U33" s="2">
        <f>R4</f>
        <v>60.007714285714286</v>
      </c>
      <c r="V33" s="2"/>
      <c r="W33" s="2">
        <f>N33</f>
        <v>60</v>
      </c>
      <c r="X33" s="2">
        <f ca="1">R5</f>
        <v>60</v>
      </c>
      <c r="Y33" s="2"/>
      <c r="Z33" s="2">
        <f>N33</f>
        <v>60</v>
      </c>
      <c r="AA33">
        <f>R6</f>
        <v>60</v>
      </c>
    </row>
    <row r="34" spans="1:27" x14ac:dyDescent="0.3">
      <c r="N34" s="2">
        <f>N33+1</f>
        <v>61</v>
      </c>
      <c r="O34" s="2">
        <f>O33+(O33*0.0115)</f>
        <v>60.690000000000005</v>
      </c>
      <c r="P34" s="2"/>
      <c r="Q34" s="2">
        <f>Q33+1</f>
        <v>61</v>
      </c>
      <c r="R34" s="2">
        <f ca="1">R33+(R33*0.0123)</f>
        <v>60.738</v>
      </c>
      <c r="S34" s="2"/>
      <c r="T34" s="2">
        <f>T33+1</f>
        <v>61</v>
      </c>
      <c r="U34" s="2">
        <f t="shared" ref="U34:U43" si="3">U33+(U33*0.0055)</f>
        <v>60.337756714285717</v>
      </c>
      <c r="V34" s="2"/>
      <c r="W34" s="2">
        <f>W33+1</f>
        <v>61</v>
      </c>
      <c r="X34" s="2">
        <f ca="1">X33+(X33*0.0099)</f>
        <v>60.594000000000001</v>
      </c>
      <c r="Y34" s="2"/>
      <c r="Z34" s="2">
        <f>Z33+1</f>
        <v>61</v>
      </c>
      <c r="AA34">
        <f>AA33+(AA33*0.02)</f>
        <v>61.2</v>
      </c>
    </row>
    <row r="35" spans="1:27" x14ac:dyDescent="0.3">
      <c r="N35" s="2">
        <f t="shared" ref="N35:N43" si="4">N34+1</f>
        <v>62</v>
      </c>
      <c r="O35" s="2">
        <f t="shared" ref="O35:O43" si="5">O34+(O34*0.0115)</f>
        <v>61.387935000000006</v>
      </c>
      <c r="P35" s="2"/>
      <c r="Q35" s="2">
        <f t="shared" ref="Q35:Q43" si="6">Q34+1</f>
        <v>62</v>
      </c>
      <c r="R35" s="2">
        <f t="shared" ref="R35:R43" ca="1" si="7">R34+(R34*0.0123)</f>
        <v>61.485077400000002</v>
      </c>
      <c r="S35" s="2"/>
      <c r="T35" s="2">
        <f t="shared" ref="T35:T43" si="8">T34+1</f>
        <v>62</v>
      </c>
      <c r="U35" s="2">
        <f t="shared" si="3"/>
        <v>60.669614376214291</v>
      </c>
      <c r="V35" s="2"/>
      <c r="W35" s="2">
        <f t="shared" ref="W35:W43" si="9">W34+1</f>
        <v>62</v>
      </c>
      <c r="X35" s="2">
        <f t="shared" ref="X35:X43" ca="1" si="10">X34+(X34*0.0099)</f>
        <v>61.1938806</v>
      </c>
      <c r="Y35" s="2"/>
      <c r="Z35" s="2">
        <f t="shared" ref="Z35:Z43" si="11">Z34+1</f>
        <v>62</v>
      </c>
      <c r="AA35">
        <f t="shared" ref="AA35:AA43" si="12">AA34+(AA34*0.02)</f>
        <v>62.423999999999999</v>
      </c>
    </row>
    <row r="36" spans="1:27" x14ac:dyDescent="0.3">
      <c r="A36" t="s">
        <v>8</v>
      </c>
      <c r="N36" s="2">
        <f t="shared" si="4"/>
        <v>63</v>
      </c>
      <c r="O36" s="2">
        <f t="shared" si="5"/>
        <v>62.093896252500009</v>
      </c>
      <c r="P36" s="2"/>
      <c r="Q36" s="2">
        <f t="shared" si="6"/>
        <v>63</v>
      </c>
      <c r="R36" s="2">
        <f t="shared" ca="1" si="7"/>
        <v>62.241343852020002</v>
      </c>
      <c r="S36" s="2"/>
      <c r="T36" s="2">
        <f t="shared" si="8"/>
        <v>63</v>
      </c>
      <c r="U36" s="2">
        <f t="shared" si="3"/>
        <v>61.003297255283471</v>
      </c>
      <c r="V36" s="2"/>
      <c r="W36" s="2">
        <f t="shared" si="9"/>
        <v>63</v>
      </c>
      <c r="X36" s="2">
        <f t="shared" ca="1" si="10"/>
        <v>61.799700017939998</v>
      </c>
      <c r="Y36" s="2"/>
      <c r="Z36" s="2">
        <f t="shared" si="11"/>
        <v>63</v>
      </c>
      <c r="AA36">
        <f t="shared" si="12"/>
        <v>63.67248</v>
      </c>
    </row>
    <row r="37" spans="1:27" x14ac:dyDescent="0.3">
      <c r="A37" s="1">
        <f ca="1">(B28/100*20)+(B29/100*20)+(B30/100*25)+(B31/100*20)+(B32/100*15)</f>
        <v>60.001928571428572</v>
      </c>
      <c r="N37" s="2">
        <f t="shared" si="4"/>
        <v>64</v>
      </c>
      <c r="O37" s="2">
        <f t="shared" si="5"/>
        <v>62.807976059403757</v>
      </c>
      <c r="P37" s="2"/>
      <c r="Q37" s="2">
        <f t="shared" si="6"/>
        <v>64</v>
      </c>
      <c r="R37" s="2">
        <f t="shared" ca="1" si="7"/>
        <v>63.00691238139985</v>
      </c>
      <c r="S37" s="2"/>
      <c r="T37" s="2">
        <f t="shared" si="8"/>
        <v>64</v>
      </c>
      <c r="U37" s="2">
        <f t="shared" si="3"/>
        <v>61.338815390187527</v>
      </c>
      <c r="V37" s="2"/>
      <c r="W37" s="2">
        <f t="shared" si="9"/>
        <v>64</v>
      </c>
      <c r="X37" s="2">
        <f t="shared" ca="1" si="10"/>
        <v>62.411517048117602</v>
      </c>
      <c r="Y37" s="2"/>
      <c r="Z37" s="2">
        <f t="shared" si="11"/>
        <v>64</v>
      </c>
      <c r="AA37">
        <f t="shared" si="12"/>
        <v>64.945929599999999</v>
      </c>
    </row>
    <row r="38" spans="1:27" x14ac:dyDescent="0.3">
      <c r="N38" s="2">
        <f t="shared" si="4"/>
        <v>65</v>
      </c>
      <c r="O38" s="2">
        <f t="shared" si="5"/>
        <v>63.530267784086902</v>
      </c>
      <c r="P38" s="2"/>
      <c r="Q38" s="2">
        <f t="shared" si="6"/>
        <v>65</v>
      </c>
      <c r="R38" s="2">
        <f t="shared" ca="1" si="7"/>
        <v>63.781897403691069</v>
      </c>
      <c r="S38" s="2"/>
      <c r="T38" s="2">
        <f t="shared" si="8"/>
        <v>65</v>
      </c>
      <c r="U38" s="2">
        <f t="shared" si="3"/>
        <v>61.67617887483356</v>
      </c>
      <c r="V38" s="2"/>
      <c r="W38" s="2">
        <f t="shared" si="9"/>
        <v>65</v>
      </c>
      <c r="X38" s="2">
        <f t="shared" ca="1" si="10"/>
        <v>63.029391066893965</v>
      </c>
      <c r="Y38" s="2"/>
      <c r="Z38" s="2">
        <f t="shared" si="11"/>
        <v>65</v>
      </c>
      <c r="AA38">
        <f t="shared" si="12"/>
        <v>66.244848192000006</v>
      </c>
    </row>
    <row r="39" spans="1:27" x14ac:dyDescent="0.3">
      <c r="N39" s="2">
        <f t="shared" si="4"/>
        <v>66</v>
      </c>
      <c r="O39" s="2">
        <f t="shared" si="5"/>
        <v>64.260865863603897</v>
      </c>
      <c r="P39" s="2"/>
      <c r="Q39" s="2">
        <f t="shared" si="6"/>
        <v>66</v>
      </c>
      <c r="R39" s="2">
        <f t="shared" ca="1" si="7"/>
        <v>64.566414741756475</v>
      </c>
      <c r="S39" s="2"/>
      <c r="T39" s="2">
        <f t="shared" si="8"/>
        <v>66</v>
      </c>
      <c r="U39" s="2">
        <f t="shared" si="3"/>
        <v>62.015397858645144</v>
      </c>
      <c r="V39" s="2"/>
      <c r="W39" s="2">
        <f t="shared" si="9"/>
        <v>66</v>
      </c>
      <c r="X39" s="2">
        <f t="shared" ca="1" si="10"/>
        <v>63.653382038456215</v>
      </c>
      <c r="Y39" s="2"/>
      <c r="Z39" s="2">
        <f t="shared" si="11"/>
        <v>66</v>
      </c>
      <c r="AA39">
        <f t="shared" si="12"/>
        <v>67.56974515584001</v>
      </c>
    </row>
    <row r="40" spans="1:27" x14ac:dyDescent="0.3">
      <c r="N40" s="2">
        <f t="shared" si="4"/>
        <v>67</v>
      </c>
      <c r="O40" s="2">
        <f t="shared" si="5"/>
        <v>64.999865821035343</v>
      </c>
      <c r="P40" s="2"/>
      <c r="Q40" s="2">
        <f t="shared" si="6"/>
        <v>67</v>
      </c>
      <c r="R40" s="2">
        <f t="shared" ca="1" si="7"/>
        <v>65.360581643080081</v>
      </c>
      <c r="S40" s="2"/>
      <c r="T40" s="2">
        <f t="shared" si="8"/>
        <v>67</v>
      </c>
      <c r="U40" s="2">
        <f t="shared" si="3"/>
        <v>62.356482546867696</v>
      </c>
      <c r="V40" s="2"/>
      <c r="W40" s="2">
        <f t="shared" si="9"/>
        <v>67</v>
      </c>
      <c r="X40" s="2">
        <f t="shared" ca="1" si="10"/>
        <v>64.283550520636936</v>
      </c>
      <c r="Y40" s="2"/>
      <c r="Z40" s="2">
        <f t="shared" si="11"/>
        <v>67</v>
      </c>
      <c r="AA40">
        <f t="shared" si="12"/>
        <v>68.921140058956809</v>
      </c>
    </row>
    <row r="41" spans="1:27" x14ac:dyDescent="0.3">
      <c r="N41" s="2">
        <f t="shared" si="4"/>
        <v>68</v>
      </c>
      <c r="O41" s="2">
        <f t="shared" si="5"/>
        <v>65.747364277977255</v>
      </c>
      <c r="P41" s="2"/>
      <c r="Q41" s="2">
        <f t="shared" si="6"/>
        <v>68</v>
      </c>
      <c r="R41" s="2">
        <f t="shared" ca="1" si="7"/>
        <v>66.164516797289963</v>
      </c>
      <c r="S41" s="2"/>
      <c r="T41" s="2">
        <f t="shared" si="8"/>
        <v>68</v>
      </c>
      <c r="U41" s="2">
        <f t="shared" si="3"/>
        <v>62.699443200875471</v>
      </c>
      <c r="V41" s="2"/>
      <c r="W41" s="2">
        <f t="shared" si="9"/>
        <v>68</v>
      </c>
      <c r="X41" s="2">
        <f t="shared" ca="1" si="10"/>
        <v>64.919957670791248</v>
      </c>
      <c r="Y41" s="2"/>
      <c r="Z41" s="2">
        <f t="shared" si="11"/>
        <v>68</v>
      </c>
      <c r="AA41">
        <f t="shared" si="12"/>
        <v>70.29956286013595</v>
      </c>
    </row>
    <row r="42" spans="1:27" x14ac:dyDescent="0.3">
      <c r="B42" t="s">
        <v>12</v>
      </c>
      <c r="C42" t="s">
        <v>0</v>
      </c>
      <c r="D42" t="s">
        <v>12</v>
      </c>
      <c r="E42" t="s">
        <v>1</v>
      </c>
      <c r="F42" t="s">
        <v>12</v>
      </c>
      <c r="G42" t="s">
        <v>2</v>
      </c>
      <c r="H42" t="s">
        <v>12</v>
      </c>
      <c r="I42" t="s">
        <v>3</v>
      </c>
      <c r="J42" t="s">
        <v>12</v>
      </c>
      <c r="K42" t="s">
        <v>4</v>
      </c>
      <c r="N42" s="2">
        <f t="shared" si="4"/>
        <v>69</v>
      </c>
      <c r="O42" s="2">
        <f t="shared" si="5"/>
        <v>66.503458967173998</v>
      </c>
      <c r="P42" s="2"/>
      <c r="Q42" s="2">
        <f t="shared" si="6"/>
        <v>69</v>
      </c>
      <c r="R42" s="2">
        <f t="shared" ca="1" si="7"/>
        <v>66.978340353896627</v>
      </c>
      <c r="S42" s="2"/>
      <c r="T42" s="2">
        <f t="shared" si="8"/>
        <v>69</v>
      </c>
      <c r="U42" s="2">
        <f t="shared" si="3"/>
        <v>63.044290138480285</v>
      </c>
      <c r="V42" s="2"/>
      <c r="W42" s="2">
        <f t="shared" si="9"/>
        <v>69</v>
      </c>
      <c r="X42" s="2">
        <f t="shared" ca="1" si="10"/>
        <v>65.562665251732085</v>
      </c>
      <c r="Y42" s="2"/>
      <c r="Z42" s="2">
        <f t="shared" si="11"/>
        <v>69</v>
      </c>
      <c r="AA42">
        <f t="shared" si="12"/>
        <v>71.705554117338664</v>
      </c>
    </row>
    <row r="43" spans="1:27" x14ac:dyDescent="0.3">
      <c r="B43">
        <f>B27</f>
        <v>60</v>
      </c>
      <c r="C43">
        <f>B28</f>
        <v>60.000000000000007</v>
      </c>
      <c r="D43">
        <f>B43</f>
        <v>60</v>
      </c>
      <c r="E43">
        <f ca="1">B29</f>
        <v>60</v>
      </c>
      <c r="F43">
        <f>B27</f>
        <v>60</v>
      </c>
      <c r="G43">
        <f>B30</f>
        <v>60.007714285714286</v>
      </c>
      <c r="H43">
        <f>B27</f>
        <v>60</v>
      </c>
      <c r="I43">
        <f ca="1">B31</f>
        <v>60</v>
      </c>
      <c r="J43">
        <f>B27</f>
        <v>60</v>
      </c>
      <c r="K43">
        <f>B32</f>
        <v>60</v>
      </c>
      <c r="N43" s="2">
        <f t="shared" si="4"/>
        <v>70</v>
      </c>
      <c r="O43" s="2">
        <f t="shared" si="5"/>
        <v>67.268248745296503</v>
      </c>
      <c r="P43" s="2"/>
      <c r="Q43" s="2">
        <f t="shared" si="6"/>
        <v>70</v>
      </c>
      <c r="R43" s="2">
        <f t="shared" ca="1" si="7"/>
        <v>67.80217394024956</v>
      </c>
      <c r="S43" s="2"/>
      <c r="T43" s="2">
        <f t="shared" si="8"/>
        <v>70</v>
      </c>
      <c r="U43" s="2">
        <f t="shared" si="3"/>
        <v>63.39103373424193</v>
      </c>
      <c r="V43" s="2"/>
      <c r="W43" s="2">
        <f t="shared" si="9"/>
        <v>70</v>
      </c>
      <c r="X43" s="2">
        <f t="shared" ca="1" si="10"/>
        <v>66.211735637724232</v>
      </c>
      <c r="Y43" s="2"/>
      <c r="Z43" s="2">
        <f t="shared" si="11"/>
        <v>70</v>
      </c>
      <c r="AA43">
        <f t="shared" si="12"/>
        <v>73.139665199685439</v>
      </c>
    </row>
    <row r="44" spans="1:27" x14ac:dyDescent="0.3">
      <c r="B44">
        <f>C27</f>
        <v>70</v>
      </c>
      <c r="C44">
        <f>C28</f>
        <v>66.900000000000006</v>
      </c>
      <c r="D44">
        <f>B44</f>
        <v>70</v>
      </c>
      <c r="E44">
        <f ca="1">C29</f>
        <v>67.38</v>
      </c>
      <c r="F44">
        <f>C27</f>
        <v>70</v>
      </c>
      <c r="G44">
        <f>C30</f>
        <v>63.308138571428572</v>
      </c>
      <c r="H44">
        <f>C27</f>
        <v>70</v>
      </c>
      <c r="I44">
        <f ca="1">C31</f>
        <v>65.94</v>
      </c>
      <c r="J44">
        <f>C27</f>
        <v>70</v>
      </c>
      <c r="K44">
        <f>C32</f>
        <v>72</v>
      </c>
    </row>
    <row r="45" spans="1:27" x14ac:dyDescent="0.3">
      <c r="B45">
        <f>D27</f>
        <v>80</v>
      </c>
      <c r="C45">
        <f>D28</f>
        <v>88.441800000000001</v>
      </c>
      <c r="D45">
        <f>D27</f>
        <v>80</v>
      </c>
      <c r="E45">
        <f ca="1">D29</f>
        <v>88.133039999999994</v>
      </c>
      <c r="F45">
        <f>D27</f>
        <v>80</v>
      </c>
      <c r="G45">
        <f>D30</f>
        <v>70.27203381428572</v>
      </c>
      <c r="H45">
        <f>D27</f>
        <v>80</v>
      </c>
      <c r="I45">
        <f ca="1">D31</f>
        <v>78.996119999999991</v>
      </c>
      <c r="J45">
        <f>D27</f>
        <v>80</v>
      </c>
      <c r="K45">
        <f>D32</f>
        <v>115.19999999999999</v>
      </c>
    </row>
    <row r="46" spans="1:27" x14ac:dyDescent="0.3">
      <c r="B46">
        <f>E27</f>
        <v>90</v>
      </c>
      <c r="C46">
        <f>E28</f>
        <v>116.9200596</v>
      </c>
      <c r="D46">
        <f>E27</f>
        <v>90</v>
      </c>
      <c r="E46">
        <f ca="1">E29</f>
        <v>115.27801631999999</v>
      </c>
      <c r="F46">
        <f>E27</f>
        <v>90</v>
      </c>
      <c r="G46">
        <f>E30</f>
        <v>78.001957533857151</v>
      </c>
      <c r="H46">
        <f>E27</f>
        <v>90</v>
      </c>
      <c r="I46">
        <f ca="1">E31</f>
        <v>94.637351759999987</v>
      </c>
      <c r="J46">
        <f>E27</f>
        <v>90</v>
      </c>
      <c r="K46">
        <f>E32</f>
        <v>184.32</v>
      </c>
    </row>
    <row r="47" spans="1:27" x14ac:dyDescent="0.3">
      <c r="B47">
        <f>F27</f>
        <v>100</v>
      </c>
      <c r="C47">
        <f>F28</f>
        <v>154.5683187912</v>
      </c>
      <c r="D47">
        <f>F27</f>
        <v>100</v>
      </c>
      <c r="E47">
        <f ca="1">F29</f>
        <v>150.78364534655998</v>
      </c>
      <c r="F47">
        <f>F27</f>
        <v>100</v>
      </c>
      <c r="G47">
        <f ca="1">F31</f>
        <v>113.37554740847999</v>
      </c>
      <c r="H47">
        <f>F27</f>
        <v>100</v>
      </c>
      <c r="I47">
        <f ca="1">F31</f>
        <v>113.37554740847999</v>
      </c>
      <c r="J47">
        <f>F27</f>
        <v>100</v>
      </c>
      <c r="K47">
        <f>F32</f>
        <v>294.91199999999998</v>
      </c>
    </row>
  </sheetData>
  <mergeCells count="2">
    <mergeCell ref="A23:F23"/>
    <mergeCell ref="N31:AA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6640-A5A1-4A76-A57B-F1642580098B}">
  <dimension ref="A1:AA47"/>
  <sheetViews>
    <sheetView zoomScale="83" zoomScaleNormal="83" workbookViewId="0">
      <selection activeCell="O3" sqref="O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30.2</v>
      </c>
      <c r="D2">
        <f t="shared" ref="D2:M2" si="0">C2-(C2/100*D1)</f>
        <v>29.898</v>
      </c>
      <c r="E2">
        <f t="shared" si="0"/>
        <v>29.300039999999999</v>
      </c>
      <c r="F2">
        <f t="shared" si="0"/>
        <v>28.421038799999998</v>
      </c>
      <c r="G2">
        <f t="shared" si="0"/>
        <v>27.284197247999998</v>
      </c>
      <c r="H2">
        <f t="shared" si="0"/>
        <v>25.919987385599999</v>
      </c>
      <c r="I2">
        <f t="shared" si="0"/>
        <v>24.364788142464</v>
      </c>
      <c r="J2">
        <f t="shared" si="0"/>
        <v>22.659252972491522</v>
      </c>
      <c r="K2">
        <f t="shared" si="0"/>
        <v>20.846512734692201</v>
      </c>
      <c r="L2">
        <f t="shared" si="0"/>
        <v>18.970326588569904</v>
      </c>
      <c r="M2">
        <f t="shared" si="0"/>
        <v>17.073293929712914</v>
      </c>
      <c r="N2" s="8"/>
      <c r="O2" s="21"/>
      <c r="Q2" s="3" t="s">
        <v>0</v>
      </c>
      <c r="R2" s="16">
        <f>B27+ ((1 -((C2 / 30.2) * 0.7 )-((C3 / 100) * 0.3 )) * 100)</f>
        <v>65</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65</v>
      </c>
      <c r="T3" s="23" t="s">
        <v>8</v>
      </c>
    </row>
    <row r="4" spans="1:20" ht="18" customHeight="1" x14ac:dyDescent="0.3">
      <c r="A4" s="4" t="s">
        <v>17</v>
      </c>
      <c r="B4" s="4" t="s">
        <v>18</v>
      </c>
      <c r="C4" s="10">
        <v>39</v>
      </c>
      <c r="D4">
        <f>C4-(C4/100*D1)</f>
        <v>38.61</v>
      </c>
      <c r="E4">
        <f t="shared" ref="E4:M4" si="2">D4-(D4/100*E1)</f>
        <v>37.837800000000001</v>
      </c>
      <c r="F4">
        <f t="shared" si="2"/>
        <v>36.702666000000001</v>
      </c>
      <c r="G4">
        <f t="shared" si="2"/>
        <v>35.234559359999999</v>
      </c>
      <c r="H4">
        <f t="shared" si="2"/>
        <v>33.472831391999996</v>
      </c>
      <c r="I4">
        <f t="shared" si="2"/>
        <v>31.464461508479996</v>
      </c>
      <c r="J4">
        <f t="shared" si="2"/>
        <v>29.261949202886395</v>
      </c>
      <c r="K4">
        <f t="shared" si="2"/>
        <v>26.920993266655483</v>
      </c>
      <c r="L4">
        <f t="shared" si="2"/>
        <v>24.49810387265649</v>
      </c>
      <c r="M4">
        <f t="shared" si="2"/>
        <v>22.04829348539084</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65</v>
      </c>
      <c r="Q4" s="5" t="s">
        <v>2</v>
      </c>
      <c r="R4" s="5">
        <f>B27 - 9*R11</f>
        <v>66.766999999999996</v>
      </c>
      <c r="T4" s="1">
        <f ca="1">(R2/100*20)+(R3/100*20)+(R4/100*25)+(R5/100*20)+(R6/100*15)</f>
        <v>65.441749999999999</v>
      </c>
    </row>
    <row r="5" spans="1:20" x14ac:dyDescent="0.3">
      <c r="A5" s="4" t="s">
        <v>17</v>
      </c>
      <c r="B5" s="4" t="s">
        <v>19</v>
      </c>
      <c r="C5" s="10">
        <v>2.5</v>
      </c>
      <c r="L5" s="8"/>
      <c r="M5" s="8">
        <f>C5-(C5/100*12)</f>
        <v>2.2000000000000002</v>
      </c>
      <c r="N5" s="8"/>
      <c r="O5" s="18">
        <f ca="1">FORECAST(C5, OFFSET(Strength_Normative_Data!$O$3, MATCH(C5, Strength_Normative_Data!$P$3:$P$17, -1)-1, 0, 2), OFFSET(Strength_Normative_Data!$P$3, MATCH(C5, Strength_Normative_Data!$P$3:$P$17, -1)-1, 0, 2))</f>
        <v>65</v>
      </c>
      <c r="Q5" s="6" t="s">
        <v>29</v>
      </c>
      <c r="R5" s="6">
        <f ca="1">((O14/100*30)+(O15/100*25)+(O16/100*30)+(O17/100*15))</f>
        <v>65</v>
      </c>
    </row>
    <row r="6" spans="1:20" x14ac:dyDescent="0.3">
      <c r="A6" s="4" t="s">
        <v>17</v>
      </c>
      <c r="B6" s="4" t="s">
        <v>20</v>
      </c>
      <c r="C6" s="10">
        <v>28.5</v>
      </c>
      <c r="L6" s="8"/>
      <c r="M6" s="8">
        <f>C6-(C6/100*12)</f>
        <v>25.08</v>
      </c>
      <c r="N6" s="8"/>
      <c r="O6" s="18">
        <f ca="1">FORECAST(C6, OFFSET(Strength_Normative_Data!$J$3, MATCH(C6, Strength_Normative_Data!$K$3:$K$16, -1)-1, 0, 2), OFFSET(Strength_Normative_Data!$K$3, MATCH(C6, Strength_Normative_Data!$K$3:$K$16, -1)-1, 0, 2))</f>
        <v>65</v>
      </c>
      <c r="Q6" s="7" t="s">
        <v>4</v>
      </c>
      <c r="R6" s="7">
        <f>((O18/100*60)+(O19/100*40))</f>
        <v>65</v>
      </c>
    </row>
    <row r="7" spans="1:20" x14ac:dyDescent="0.3">
      <c r="A7" s="5" t="s">
        <v>21</v>
      </c>
      <c r="B7" s="5" t="s">
        <v>22</v>
      </c>
      <c r="C7" s="11">
        <v>32</v>
      </c>
      <c r="L7" s="8"/>
      <c r="M7" s="8">
        <f>C7+(C7/100*6)</f>
        <v>33.92</v>
      </c>
      <c r="N7" s="8"/>
      <c r="O7" s="22"/>
    </row>
    <row r="8" spans="1:20" x14ac:dyDescent="0.3">
      <c r="A8" s="5" t="s">
        <v>21</v>
      </c>
      <c r="B8" s="5" t="s">
        <v>23</v>
      </c>
      <c r="C8" s="11">
        <v>0.62</v>
      </c>
      <c r="L8" s="8"/>
      <c r="M8" s="8">
        <f>C8+(C8/100*4)</f>
        <v>0.64480000000000004</v>
      </c>
      <c r="N8" s="8"/>
      <c r="O8" s="22">
        <f xml:space="preserve">
IF(C8&lt;=0.4,0,
IF(C8&lt;=0.5,20*(C8-0.4)/0.1,
IF(C8&lt;=0.6,20+40*(C8-0.5)/0.1,
60+40*(MIN(C8,0.75)-0.6)/0.15)))</f>
        <v>65.333333333333343</v>
      </c>
    </row>
    <row r="9" spans="1:20" x14ac:dyDescent="0.3">
      <c r="A9" s="5" t="s">
        <v>21</v>
      </c>
      <c r="B9" s="5" t="s">
        <v>24</v>
      </c>
      <c r="C9" s="11">
        <v>6</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3</v>
      </c>
      <c r="L11" s="8"/>
      <c r="M11" s="8">
        <f>C11+(C11/100*14)</f>
        <v>3.42</v>
      </c>
      <c r="N11" s="8"/>
      <c r="O11" s="5">
        <f xml:space="preserve">
IF(C11&lt;1.6,10*(C11/1.6),
IF(C11&lt;3,10+40*(C11-1.6)/1.4,
50+50*(MIN(C11,7)-3)/4))</f>
        <v>50</v>
      </c>
      <c r="Q11">
        <f>(0.3*P12)+(0.2*O8)+(0.15*O10)+(0.25*O11)+(0.1*O13)</f>
        <v>44.81666666666667</v>
      </c>
      <c r="R11">
        <f xml:space="preserve">
IF(Q11&lt;=10,1.5-0.1*Q11,
IF(Q11&lt;=60,0.5-0.02*(Q11-10),
-0.5-0.03*(Q11-60)))</f>
        <v>-0.19633333333333336</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2.5</v>
      </c>
      <c r="L13" s="8"/>
      <c r="M13" s="8">
        <f>C13+(C13/100*18)</f>
        <v>2.95</v>
      </c>
      <c r="N13" s="8"/>
      <c r="O13" s="5">
        <f xml:space="preserve">
IF(C13&lt;1,10*(C13/1),
IF(C13&lt;3,10+40*(C13-1)/2,
50+50*(MIN(C13,10)-3)/7))</f>
        <v>40</v>
      </c>
    </row>
    <row r="14" spans="1:20" x14ac:dyDescent="0.3">
      <c r="A14" s="6" t="s">
        <v>29</v>
      </c>
      <c r="B14" s="6" t="s">
        <v>30</v>
      </c>
      <c r="C14" s="12">
        <v>1.33</v>
      </c>
      <c r="L14" s="8"/>
      <c r="M14" s="8">
        <f>C14+(C14/100*6)</f>
        <v>1.4098000000000002</v>
      </c>
      <c r="N14" s="8"/>
      <c r="O14" s="12">
        <v>65</v>
      </c>
    </row>
    <row r="15" spans="1:20" x14ac:dyDescent="0.3">
      <c r="A15" s="6" t="s">
        <v>29</v>
      </c>
      <c r="B15" s="6" t="s">
        <v>31</v>
      </c>
      <c r="C15" s="12">
        <v>8.5</v>
      </c>
      <c r="L15" s="8"/>
      <c r="M15" s="8">
        <f>C15+(C15/100*10)</f>
        <v>9.35</v>
      </c>
      <c r="N15" s="8"/>
      <c r="O15" s="12">
        <f ca="1">FORECAST(C15, OFFSET(Mobility_Normative_Data!$E$3, MATCH(C15, Mobility_Normative_Data!$F$3:$F$18, 1)-1, 0, 2), OFFSET(Mobility_Normative_Data!$F$3, MATCH(C15, Mobility_Normative_Data!$F$3:$F$18, 1)-1, 0, 2))</f>
        <v>65</v>
      </c>
    </row>
    <row r="16" spans="1:20" x14ac:dyDescent="0.3">
      <c r="A16" s="6" t="s">
        <v>29</v>
      </c>
      <c r="B16" s="6" t="s">
        <v>32</v>
      </c>
      <c r="C16" s="12">
        <v>25</v>
      </c>
      <c r="L16" s="8"/>
      <c r="M16" s="8">
        <f>C16+(C16/100*20)</f>
        <v>30</v>
      </c>
      <c r="N16" s="8"/>
      <c r="O16" s="12">
        <f ca="1">FORECAST(C16, OFFSET(Mobility_Normative_Data!$I$3, MATCH(C16, Mobility_Normative_Data!$J$3:$J$17, -1)-1, 0, 2), OFFSET(Mobility_Normative_Data!$J$3, MATCH(C16, Mobility_Normative_Data!$J$3:$J$17, -1)-1, 0, 2))</f>
        <v>65</v>
      </c>
    </row>
    <row r="17" spans="1:27" x14ac:dyDescent="0.3">
      <c r="A17" s="6" t="s">
        <v>29</v>
      </c>
      <c r="B17" s="6" t="s">
        <v>33</v>
      </c>
      <c r="C17" s="12">
        <v>26.5</v>
      </c>
      <c r="L17" s="8"/>
      <c r="M17" s="8">
        <f>C17+(C17/100*10)</f>
        <v>29.15</v>
      </c>
      <c r="N17" s="8"/>
      <c r="O17" s="12">
        <f ca="1">FORECAST(C17, OFFSET(Mobility_Normative_Data!$M$3, MATCH(C17, Mobility_Normative_Data!$N$3:$N$17, -1)-1, 0, 2), OFFSET(Mobility_Normative_Data!$N$3, MATCH(C17, Mobility_Normative_Data!$N$3:$N$17, -1)-1, 0, 2))</f>
        <v>65</v>
      </c>
    </row>
    <row r="18" spans="1:27" x14ac:dyDescent="0.3">
      <c r="A18" s="7" t="s">
        <v>34</v>
      </c>
      <c r="B18" s="7" t="s">
        <v>35</v>
      </c>
      <c r="C18" s="13">
        <v>0</v>
      </c>
      <c r="L18" s="8"/>
      <c r="M18" s="8">
        <f>C18 +(-0.2)</f>
        <v>-0.2</v>
      </c>
      <c r="N18" s="8"/>
      <c r="O18" s="20">
        <f>MAX(18,B27-(C18*25))</f>
        <v>65</v>
      </c>
    </row>
    <row r="19" spans="1:27" x14ac:dyDescent="0.3">
      <c r="A19" s="7" t="s">
        <v>34</v>
      </c>
      <c r="B19" s="7" t="s">
        <v>36</v>
      </c>
      <c r="C19" s="13">
        <v>0</v>
      </c>
      <c r="L19" s="8"/>
      <c r="M19" s="8">
        <f>C19+(-0.2)</f>
        <v>-0.2</v>
      </c>
      <c r="N19" s="8"/>
      <c r="O19" s="20">
        <f>MAX(18,B27-(J1925))</f>
        <v>65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65</v>
      </c>
      <c r="C27">
        <f>B27+10</f>
        <v>75</v>
      </c>
      <c r="D27">
        <f>C27+10</f>
        <v>85</v>
      </c>
      <c r="E27">
        <f>D27+10</f>
        <v>95</v>
      </c>
      <c r="F27">
        <f>E27+10</f>
        <v>105</v>
      </c>
    </row>
    <row r="28" spans="1:27" x14ac:dyDescent="0.3">
      <c r="A28" t="s">
        <v>0</v>
      </c>
      <c r="B28" s="24">
        <f>R2</f>
        <v>65</v>
      </c>
      <c r="C28">
        <f>B28+(B28/100*11.5)</f>
        <v>72.474999999999994</v>
      </c>
      <c r="D28">
        <f>C28+(C28/100*32.2)</f>
        <v>95.811949999999996</v>
      </c>
      <c r="E28">
        <f>D28+(D28/100*32.2)</f>
        <v>126.66339790000001</v>
      </c>
      <c r="F28">
        <f>E28+(E28/100*32.2)</f>
        <v>167.44901202380001</v>
      </c>
    </row>
    <row r="29" spans="1:27" x14ac:dyDescent="0.3">
      <c r="A29" t="s">
        <v>1</v>
      </c>
      <c r="B29">
        <f ca="1">R3</f>
        <v>65</v>
      </c>
      <c r="C29">
        <f ca="1">B29+(B29/100*12.3)</f>
        <v>72.995000000000005</v>
      </c>
      <c r="D29">
        <f ca="1">C29+(C29/100*30.8)</f>
        <v>95.477460000000008</v>
      </c>
      <c r="E29">
        <f ca="1">D29+(D29/100*30.8)</f>
        <v>124.88451768000002</v>
      </c>
      <c r="F29">
        <f ca="1">E29+(E29/100*30.8)</f>
        <v>163.34894912544001</v>
      </c>
    </row>
    <row r="30" spans="1:27" x14ac:dyDescent="0.3">
      <c r="A30" t="s">
        <v>2</v>
      </c>
      <c r="B30">
        <f>R4</f>
        <v>66.766999999999996</v>
      </c>
      <c r="C30">
        <f>B30+(B30/100*5.5)</f>
        <v>70.439184999999995</v>
      </c>
      <c r="D30">
        <f>C30+(C30/100*11)</f>
        <v>78.187495349999992</v>
      </c>
      <c r="E30">
        <f>D30+(D30/100*11)</f>
        <v>86.788119838499995</v>
      </c>
      <c r="F30">
        <f>E30+(E30/100*11)</f>
        <v>96.334813020734998</v>
      </c>
    </row>
    <row r="31" spans="1:27" x14ac:dyDescent="0.3">
      <c r="A31" t="s">
        <v>3</v>
      </c>
      <c r="B31">
        <f ca="1">R5</f>
        <v>65</v>
      </c>
      <c r="C31">
        <f ca="1">B31+(B31/100*9.9)</f>
        <v>71.435000000000002</v>
      </c>
      <c r="D31">
        <f ca="1">C31+(C31/100*19.8)</f>
        <v>85.579130000000006</v>
      </c>
      <c r="E31">
        <f ca="1">D31+(D31/100*19.8)</f>
        <v>102.52379774000001</v>
      </c>
      <c r="F31">
        <f ca="1">E31+(E31/100*19.8)</f>
        <v>122.82350969252001</v>
      </c>
      <c r="N31" s="46" t="s">
        <v>104</v>
      </c>
      <c r="O31" s="46"/>
      <c r="P31" s="46"/>
      <c r="Q31" s="46"/>
      <c r="R31" s="46"/>
      <c r="S31" s="46"/>
      <c r="T31" s="46"/>
      <c r="U31" s="46"/>
      <c r="V31" s="46"/>
      <c r="W31" s="46"/>
      <c r="X31" s="46"/>
      <c r="Y31" s="46"/>
      <c r="Z31" s="46"/>
      <c r="AA31" s="46"/>
    </row>
    <row r="32" spans="1:27" ht="86.4" x14ac:dyDescent="0.3">
      <c r="A32" t="s">
        <v>4</v>
      </c>
      <c r="B32">
        <f>R6</f>
        <v>65</v>
      </c>
      <c r="C32">
        <f>B32+(B32/100*20)</f>
        <v>78</v>
      </c>
      <c r="D32">
        <f>C32+(C32/100*60)</f>
        <v>124.80000000000001</v>
      </c>
      <c r="E32">
        <f>D32+(D32/100*60)</f>
        <v>199.68</v>
      </c>
      <c r="F32">
        <f>E32+(E32/100*60)</f>
        <v>319.488</v>
      </c>
      <c r="N32" s="2" t="s">
        <v>103</v>
      </c>
      <c r="O32" s="2" t="s">
        <v>130</v>
      </c>
      <c r="P32" s="2"/>
      <c r="Q32" s="2" t="s">
        <v>103</v>
      </c>
      <c r="R32" s="2" t="s">
        <v>131</v>
      </c>
      <c r="S32" s="2"/>
      <c r="T32" s="2" t="s">
        <v>103</v>
      </c>
      <c r="U32" s="2" t="s">
        <v>132</v>
      </c>
      <c r="V32" s="2"/>
      <c r="W32" s="2" t="s">
        <v>103</v>
      </c>
      <c r="X32" s="2" t="s">
        <v>133</v>
      </c>
      <c r="Y32" s="2"/>
      <c r="Z32" s="2" t="s">
        <v>103</v>
      </c>
      <c r="AA32" s="2" t="s">
        <v>134</v>
      </c>
    </row>
    <row r="33" spans="1:27" x14ac:dyDescent="0.3">
      <c r="N33" s="2">
        <f>B27</f>
        <v>65</v>
      </c>
      <c r="O33" s="27">
        <f>R2</f>
        <v>65</v>
      </c>
      <c r="P33" s="2"/>
      <c r="Q33" s="2">
        <f>N33</f>
        <v>65</v>
      </c>
      <c r="R33" s="2">
        <f ca="1">R3</f>
        <v>65</v>
      </c>
      <c r="S33" s="2"/>
      <c r="T33" s="2">
        <f>N33</f>
        <v>65</v>
      </c>
      <c r="U33" s="2">
        <f>R4</f>
        <v>66.766999999999996</v>
      </c>
      <c r="V33" s="2"/>
      <c r="W33" s="2">
        <f>N33</f>
        <v>65</v>
      </c>
      <c r="X33" s="2">
        <f ca="1">R5</f>
        <v>65</v>
      </c>
      <c r="Y33" s="2"/>
      <c r="Z33" s="2">
        <f>N33</f>
        <v>65</v>
      </c>
      <c r="AA33">
        <f>R6</f>
        <v>65</v>
      </c>
    </row>
    <row r="34" spans="1:27" x14ac:dyDescent="0.3">
      <c r="N34" s="2">
        <f>N33+1</f>
        <v>66</v>
      </c>
      <c r="O34" s="2">
        <f>O33+(O33*0.0115)</f>
        <v>65.747500000000002</v>
      </c>
      <c r="P34" s="2"/>
      <c r="Q34" s="2">
        <f>Q33+1</f>
        <v>66</v>
      </c>
      <c r="R34" s="2">
        <f ca="1">R33+(R33*0.0123)</f>
        <v>65.799499999999995</v>
      </c>
      <c r="S34" s="2"/>
      <c r="T34" s="2">
        <f>T33+1</f>
        <v>66</v>
      </c>
      <c r="U34" s="2">
        <f t="shared" ref="U34:U43" si="3">U33+(U33*0.0055)</f>
        <v>67.134218500000003</v>
      </c>
      <c r="V34" s="2"/>
      <c r="W34" s="2">
        <f>W33+1</f>
        <v>66</v>
      </c>
      <c r="X34" s="2">
        <f ca="1">X33+(X33*0.0099)</f>
        <v>65.643500000000003</v>
      </c>
      <c r="Y34" s="2"/>
      <c r="Z34" s="2">
        <f>Z33+1</f>
        <v>66</v>
      </c>
      <c r="AA34">
        <f>AA33+(AA33*0.02)</f>
        <v>66.3</v>
      </c>
    </row>
    <row r="35" spans="1:27" x14ac:dyDescent="0.3">
      <c r="N35" s="2">
        <f t="shared" ref="N35:N43" si="4">N34+1</f>
        <v>67</v>
      </c>
      <c r="O35" s="2">
        <f t="shared" ref="O35:O43" si="5">O34+(O34*0.0115)</f>
        <v>66.503596250000001</v>
      </c>
      <c r="P35" s="2"/>
      <c r="Q35" s="2">
        <f t="shared" ref="Q35:Q43" si="6">Q34+1</f>
        <v>67</v>
      </c>
      <c r="R35" s="2">
        <f t="shared" ref="R35:R43" ca="1" si="7">R34+(R34*0.0123)</f>
        <v>66.608833849999996</v>
      </c>
      <c r="S35" s="2"/>
      <c r="T35" s="2">
        <f t="shared" ref="T35:T43" si="8">T34+1</f>
        <v>67</v>
      </c>
      <c r="U35" s="2">
        <f t="shared" si="3"/>
        <v>67.503456701749997</v>
      </c>
      <c r="V35" s="2"/>
      <c r="W35" s="2">
        <f t="shared" ref="W35:W43" si="9">W34+1</f>
        <v>67</v>
      </c>
      <c r="X35" s="2">
        <f t="shared" ref="X35:X43" ca="1" si="10">X34+(X34*0.0099)</f>
        <v>66.29337065</v>
      </c>
      <c r="Y35" s="2"/>
      <c r="Z35" s="2">
        <f t="shared" ref="Z35:Z43" si="11">Z34+1</f>
        <v>67</v>
      </c>
      <c r="AA35">
        <f t="shared" ref="AA35:AA43" si="12">AA34+(AA34*0.02)</f>
        <v>67.625999999999991</v>
      </c>
    </row>
    <row r="36" spans="1:27" x14ac:dyDescent="0.3">
      <c r="A36" t="s">
        <v>8</v>
      </c>
      <c r="N36" s="2">
        <f t="shared" si="4"/>
        <v>68</v>
      </c>
      <c r="O36" s="2">
        <f t="shared" si="5"/>
        <v>67.268387606874995</v>
      </c>
      <c r="P36" s="2"/>
      <c r="Q36" s="2">
        <f t="shared" si="6"/>
        <v>68</v>
      </c>
      <c r="R36" s="2">
        <f t="shared" ca="1" si="7"/>
        <v>67.428122506354995</v>
      </c>
      <c r="S36" s="2"/>
      <c r="T36" s="2">
        <f t="shared" si="8"/>
        <v>68</v>
      </c>
      <c r="U36" s="2">
        <f t="shared" si="3"/>
        <v>67.874725713609621</v>
      </c>
      <c r="V36" s="2"/>
      <c r="W36" s="2">
        <f t="shared" si="9"/>
        <v>68</v>
      </c>
      <c r="X36" s="2">
        <f t="shared" ca="1" si="10"/>
        <v>66.949675019435006</v>
      </c>
      <c r="Y36" s="2"/>
      <c r="Z36" s="2">
        <f t="shared" si="11"/>
        <v>68</v>
      </c>
      <c r="AA36">
        <f t="shared" si="12"/>
        <v>68.978519999999989</v>
      </c>
    </row>
    <row r="37" spans="1:27" x14ac:dyDescent="0.3">
      <c r="A37" s="1">
        <f ca="1">(B28/100*20)+(B29/100*20)+(B30/100*25)+(B31/100*20)+(B32/100*15)</f>
        <v>65.441749999999999</v>
      </c>
      <c r="N37" s="2">
        <f t="shared" si="4"/>
        <v>69</v>
      </c>
      <c r="O37" s="2">
        <f t="shared" si="5"/>
        <v>68.041974064354051</v>
      </c>
      <c r="P37" s="2"/>
      <c r="Q37" s="2">
        <f t="shared" si="6"/>
        <v>69</v>
      </c>
      <c r="R37" s="2">
        <f t="shared" ca="1" si="7"/>
        <v>68.257488413183168</v>
      </c>
      <c r="S37" s="2"/>
      <c r="T37" s="2">
        <f t="shared" si="8"/>
        <v>69</v>
      </c>
      <c r="U37" s="2">
        <f t="shared" si="3"/>
        <v>68.24803670503448</v>
      </c>
      <c r="V37" s="2"/>
      <c r="W37" s="2">
        <f t="shared" si="9"/>
        <v>69</v>
      </c>
      <c r="X37" s="2">
        <f t="shared" ca="1" si="10"/>
        <v>67.612476802127418</v>
      </c>
      <c r="Y37" s="2"/>
      <c r="Z37" s="2">
        <f t="shared" si="11"/>
        <v>69</v>
      </c>
      <c r="AA37">
        <f t="shared" si="12"/>
        <v>70.358090399999995</v>
      </c>
    </row>
    <row r="38" spans="1:27" x14ac:dyDescent="0.3">
      <c r="N38" s="2">
        <f t="shared" si="4"/>
        <v>70</v>
      </c>
      <c r="O38" s="2">
        <f t="shared" si="5"/>
        <v>68.824456766094116</v>
      </c>
      <c r="P38" s="2"/>
      <c r="Q38" s="2">
        <f t="shared" si="6"/>
        <v>70</v>
      </c>
      <c r="R38" s="2">
        <f t="shared" ca="1" si="7"/>
        <v>69.097055520665322</v>
      </c>
      <c r="S38" s="2"/>
      <c r="T38" s="2">
        <f t="shared" si="8"/>
        <v>70</v>
      </c>
      <c r="U38" s="2">
        <f t="shared" si="3"/>
        <v>68.623400906912167</v>
      </c>
      <c r="V38" s="2"/>
      <c r="W38" s="2">
        <f t="shared" si="9"/>
        <v>70</v>
      </c>
      <c r="X38" s="2">
        <f t="shared" ca="1" si="10"/>
        <v>68.281840322468483</v>
      </c>
      <c r="Y38" s="2"/>
      <c r="Z38" s="2">
        <f t="shared" si="11"/>
        <v>70</v>
      </c>
      <c r="AA38">
        <f t="shared" si="12"/>
        <v>71.765252207999993</v>
      </c>
    </row>
    <row r="39" spans="1:27" x14ac:dyDescent="0.3">
      <c r="N39" s="2">
        <f t="shared" si="4"/>
        <v>71</v>
      </c>
      <c r="O39" s="2">
        <f t="shared" si="5"/>
        <v>69.615938018904203</v>
      </c>
      <c r="P39" s="2"/>
      <c r="Q39" s="2">
        <f t="shared" si="6"/>
        <v>71</v>
      </c>
      <c r="R39" s="2">
        <f t="shared" ca="1" si="7"/>
        <v>69.946949303569511</v>
      </c>
      <c r="S39" s="2"/>
      <c r="T39" s="2">
        <f t="shared" si="8"/>
        <v>71</v>
      </c>
      <c r="U39" s="2">
        <f t="shared" si="3"/>
        <v>69.000829611900187</v>
      </c>
      <c r="V39" s="2"/>
      <c r="W39" s="2">
        <f t="shared" si="9"/>
        <v>71</v>
      </c>
      <c r="X39" s="2">
        <f t="shared" ca="1" si="10"/>
        <v>68.957830541660925</v>
      </c>
      <c r="Y39" s="2"/>
      <c r="Z39" s="2">
        <f t="shared" si="11"/>
        <v>71</v>
      </c>
      <c r="AA39">
        <f t="shared" si="12"/>
        <v>73.200557252159996</v>
      </c>
    </row>
    <row r="40" spans="1:27" x14ac:dyDescent="0.3">
      <c r="N40" s="2">
        <f t="shared" si="4"/>
        <v>72</v>
      </c>
      <c r="O40" s="2">
        <f t="shared" si="5"/>
        <v>70.416521306121595</v>
      </c>
      <c r="P40" s="2"/>
      <c r="Q40" s="2">
        <f t="shared" si="6"/>
        <v>72</v>
      </c>
      <c r="R40" s="2">
        <f t="shared" ca="1" si="7"/>
        <v>70.807296780003412</v>
      </c>
      <c r="S40" s="2"/>
      <c r="T40" s="2">
        <f t="shared" si="8"/>
        <v>72</v>
      </c>
      <c r="U40" s="2">
        <f t="shared" si="3"/>
        <v>69.380334174765636</v>
      </c>
      <c r="V40" s="2"/>
      <c r="W40" s="2">
        <f t="shared" si="9"/>
        <v>72</v>
      </c>
      <c r="X40" s="2">
        <f t="shared" ca="1" si="10"/>
        <v>69.640513064023366</v>
      </c>
      <c r="Y40" s="2"/>
      <c r="Z40" s="2">
        <f t="shared" si="11"/>
        <v>72</v>
      </c>
      <c r="AA40">
        <f t="shared" si="12"/>
        <v>74.664568397203197</v>
      </c>
    </row>
    <row r="41" spans="1:27" x14ac:dyDescent="0.3">
      <c r="N41" s="2">
        <f t="shared" si="4"/>
        <v>73</v>
      </c>
      <c r="O41" s="2">
        <f t="shared" si="5"/>
        <v>71.22631130114199</v>
      </c>
      <c r="P41" s="2"/>
      <c r="Q41" s="2">
        <f t="shared" si="6"/>
        <v>73</v>
      </c>
      <c r="R41" s="2">
        <f t="shared" ca="1" si="7"/>
        <v>71.678226530397453</v>
      </c>
      <c r="S41" s="2"/>
      <c r="T41" s="2">
        <f t="shared" si="8"/>
        <v>73</v>
      </c>
      <c r="U41" s="2">
        <f t="shared" si="3"/>
        <v>69.761926012726846</v>
      </c>
      <c r="V41" s="2"/>
      <c r="W41" s="2">
        <f t="shared" si="9"/>
        <v>73</v>
      </c>
      <c r="X41" s="2">
        <f t="shared" ca="1" si="10"/>
        <v>70.329954143357199</v>
      </c>
      <c r="Y41" s="2"/>
      <c r="Z41" s="2">
        <f t="shared" si="11"/>
        <v>73</v>
      </c>
      <c r="AA41">
        <f t="shared" si="12"/>
        <v>76.157859765147265</v>
      </c>
    </row>
    <row r="42" spans="1:27" x14ac:dyDescent="0.3">
      <c r="B42" t="s">
        <v>12</v>
      </c>
      <c r="C42" t="s">
        <v>0</v>
      </c>
      <c r="D42" t="s">
        <v>12</v>
      </c>
      <c r="E42" t="s">
        <v>1</v>
      </c>
      <c r="F42" t="s">
        <v>12</v>
      </c>
      <c r="G42" t="s">
        <v>2</v>
      </c>
      <c r="H42" t="s">
        <v>12</v>
      </c>
      <c r="I42" t="s">
        <v>3</v>
      </c>
      <c r="J42" t="s">
        <v>12</v>
      </c>
      <c r="K42" t="s">
        <v>4</v>
      </c>
      <c r="N42" s="2">
        <f t="shared" si="4"/>
        <v>74</v>
      </c>
      <c r="O42" s="2">
        <f t="shared" si="5"/>
        <v>72.045413881105119</v>
      </c>
      <c r="P42" s="2"/>
      <c r="Q42" s="2">
        <f t="shared" si="6"/>
        <v>74</v>
      </c>
      <c r="R42" s="2">
        <f t="shared" ca="1" si="7"/>
        <v>72.55986871672134</v>
      </c>
      <c r="S42" s="2"/>
      <c r="T42" s="2">
        <f t="shared" si="8"/>
        <v>74</v>
      </c>
      <c r="U42" s="2">
        <f t="shared" si="3"/>
        <v>70.145616605796846</v>
      </c>
      <c r="V42" s="2"/>
      <c r="W42" s="2">
        <f t="shared" si="9"/>
        <v>74</v>
      </c>
      <c r="X42" s="2">
        <f t="shared" ca="1" si="10"/>
        <v>71.02622068937643</v>
      </c>
      <c r="Y42" s="2"/>
      <c r="Z42" s="2">
        <f t="shared" si="11"/>
        <v>74</v>
      </c>
      <c r="AA42">
        <f t="shared" si="12"/>
        <v>77.681016960450208</v>
      </c>
    </row>
    <row r="43" spans="1:27" x14ac:dyDescent="0.3">
      <c r="B43">
        <f>B27</f>
        <v>65</v>
      </c>
      <c r="C43">
        <f>B28</f>
        <v>65</v>
      </c>
      <c r="D43">
        <f>B43</f>
        <v>65</v>
      </c>
      <c r="E43">
        <f ca="1">B29</f>
        <v>65</v>
      </c>
      <c r="F43">
        <f>B27</f>
        <v>65</v>
      </c>
      <c r="G43">
        <f>B30</f>
        <v>66.766999999999996</v>
      </c>
      <c r="H43">
        <f>B27</f>
        <v>65</v>
      </c>
      <c r="I43">
        <f ca="1">B31</f>
        <v>65</v>
      </c>
      <c r="J43">
        <f>B27</f>
        <v>65</v>
      </c>
      <c r="K43">
        <f>B32</f>
        <v>65</v>
      </c>
      <c r="N43" s="2">
        <f t="shared" si="4"/>
        <v>75</v>
      </c>
      <c r="O43" s="2">
        <f t="shared" si="5"/>
        <v>72.873936140737825</v>
      </c>
      <c r="P43" s="2"/>
      <c r="Q43" s="2">
        <f t="shared" si="6"/>
        <v>75</v>
      </c>
      <c r="R43" s="2">
        <f t="shared" ca="1" si="7"/>
        <v>73.452355101937016</v>
      </c>
      <c r="S43" s="2"/>
      <c r="T43" s="2">
        <f t="shared" si="8"/>
        <v>75</v>
      </c>
      <c r="U43" s="2">
        <f t="shared" si="3"/>
        <v>70.531417497128729</v>
      </c>
      <c r="V43" s="2"/>
      <c r="W43" s="2">
        <f t="shared" si="9"/>
        <v>75</v>
      </c>
      <c r="X43" s="2">
        <f t="shared" ca="1" si="10"/>
        <v>71.729380274201262</v>
      </c>
      <c r="Y43" s="2"/>
      <c r="Z43" s="2">
        <f t="shared" si="11"/>
        <v>75</v>
      </c>
      <c r="AA43">
        <f t="shared" si="12"/>
        <v>79.234637299659212</v>
      </c>
    </row>
    <row r="44" spans="1:27" x14ac:dyDescent="0.3">
      <c r="B44">
        <f>C27</f>
        <v>75</v>
      </c>
      <c r="C44">
        <f>C28</f>
        <v>72.474999999999994</v>
      </c>
      <c r="D44">
        <f>B44</f>
        <v>75</v>
      </c>
      <c r="E44">
        <f ca="1">C29</f>
        <v>72.995000000000005</v>
      </c>
      <c r="F44">
        <f>C27</f>
        <v>75</v>
      </c>
      <c r="G44">
        <f>C30</f>
        <v>70.439184999999995</v>
      </c>
      <c r="H44">
        <f>C27</f>
        <v>75</v>
      </c>
      <c r="I44">
        <f ca="1">C31</f>
        <v>71.435000000000002</v>
      </c>
      <c r="J44">
        <f>C27</f>
        <v>75</v>
      </c>
      <c r="K44">
        <f>C32</f>
        <v>78</v>
      </c>
    </row>
    <row r="45" spans="1:27" x14ac:dyDescent="0.3">
      <c r="B45">
        <f>D27</f>
        <v>85</v>
      </c>
      <c r="C45">
        <f>D28</f>
        <v>95.811949999999996</v>
      </c>
      <c r="D45">
        <f>D27</f>
        <v>85</v>
      </c>
      <c r="E45">
        <f ca="1">D29</f>
        <v>95.477460000000008</v>
      </c>
      <c r="F45">
        <f>D27</f>
        <v>85</v>
      </c>
      <c r="G45">
        <f>D30</f>
        <v>78.187495349999992</v>
      </c>
      <c r="H45">
        <f>D27</f>
        <v>85</v>
      </c>
      <c r="I45">
        <f ca="1">D31</f>
        <v>85.579130000000006</v>
      </c>
      <c r="J45">
        <f>D27</f>
        <v>85</v>
      </c>
      <c r="K45">
        <f>D32</f>
        <v>124.80000000000001</v>
      </c>
    </row>
    <row r="46" spans="1:27" x14ac:dyDescent="0.3">
      <c r="B46">
        <f>E27</f>
        <v>95</v>
      </c>
      <c r="C46">
        <f>E28</f>
        <v>126.66339790000001</v>
      </c>
      <c r="D46">
        <f>E27</f>
        <v>95</v>
      </c>
      <c r="E46">
        <f ca="1">E29</f>
        <v>124.88451768000002</v>
      </c>
      <c r="F46">
        <f>E27</f>
        <v>95</v>
      </c>
      <c r="G46">
        <f>E30</f>
        <v>86.788119838499995</v>
      </c>
      <c r="H46">
        <f>E27</f>
        <v>95</v>
      </c>
      <c r="I46">
        <f ca="1">E31</f>
        <v>102.52379774000001</v>
      </c>
      <c r="J46">
        <f>E27</f>
        <v>95</v>
      </c>
      <c r="K46">
        <f>E32</f>
        <v>199.68</v>
      </c>
    </row>
    <row r="47" spans="1:27" x14ac:dyDescent="0.3">
      <c r="B47">
        <f>F27</f>
        <v>105</v>
      </c>
      <c r="C47">
        <f>F28</f>
        <v>167.44901202380001</v>
      </c>
      <c r="D47">
        <f>F27</f>
        <v>105</v>
      </c>
      <c r="E47">
        <f ca="1">F29</f>
        <v>163.34894912544001</v>
      </c>
      <c r="F47">
        <f>F27</f>
        <v>105</v>
      </c>
      <c r="G47">
        <f ca="1">F31</f>
        <v>122.82350969252001</v>
      </c>
      <c r="H47">
        <f>F27</f>
        <v>105</v>
      </c>
      <c r="I47">
        <f ca="1">F31</f>
        <v>122.82350969252001</v>
      </c>
      <c r="J47">
        <f>F27</f>
        <v>105</v>
      </c>
      <c r="K47">
        <f>F32</f>
        <v>319.488</v>
      </c>
    </row>
  </sheetData>
  <mergeCells count="2">
    <mergeCell ref="A23:F23"/>
    <mergeCell ref="N31:AA3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5510-0821-47BD-ADAF-7884D906E948}">
  <dimension ref="A1:AA47"/>
  <sheetViews>
    <sheetView zoomScale="75" zoomScaleNormal="75" workbookViewId="0">
      <selection activeCell="G28" sqref="G28"/>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22.8</v>
      </c>
      <c r="D2">
        <f t="shared" ref="D2:M2" si="0">C2-(C2/100*D1)</f>
        <v>22.571999999999999</v>
      </c>
      <c r="E2">
        <f t="shared" si="0"/>
        <v>22.120559999999998</v>
      </c>
      <c r="F2">
        <f t="shared" si="0"/>
        <v>21.456943199999998</v>
      </c>
      <c r="G2">
        <f t="shared" si="0"/>
        <v>20.598665471999997</v>
      </c>
      <c r="H2">
        <f t="shared" si="0"/>
        <v>19.568732198399996</v>
      </c>
      <c r="I2">
        <f t="shared" si="0"/>
        <v>18.394608266495997</v>
      </c>
      <c r="J2">
        <f t="shared" si="0"/>
        <v>17.106985687841277</v>
      </c>
      <c r="K2">
        <f t="shared" si="0"/>
        <v>15.738426832813975</v>
      </c>
      <c r="L2">
        <f t="shared" si="0"/>
        <v>14.321968417860717</v>
      </c>
      <c r="M2">
        <f t="shared" si="0"/>
        <v>12.889771576074645</v>
      </c>
      <c r="N2" s="8"/>
      <c r="O2" s="21"/>
      <c r="Q2" s="3" t="s">
        <v>0</v>
      </c>
      <c r="R2" s="16">
        <f>B27+ ((1 -((C2 / 22.8) * 0.7 )-((C3 / 100) * 0.3 )) * 100)</f>
        <v>65</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65</v>
      </c>
      <c r="T3" s="23" t="s">
        <v>8</v>
      </c>
    </row>
    <row r="4" spans="1:20" ht="18" customHeight="1" x14ac:dyDescent="0.3">
      <c r="A4" s="4" t="s">
        <v>17</v>
      </c>
      <c r="B4" s="4" t="s">
        <v>18</v>
      </c>
      <c r="C4" s="10">
        <v>23</v>
      </c>
      <c r="D4">
        <f>C4-(C4/100*D1)</f>
        <v>22.77</v>
      </c>
      <c r="E4">
        <f t="shared" ref="E4:M4" si="2">D4-(D4/100*E1)</f>
        <v>22.314599999999999</v>
      </c>
      <c r="F4">
        <f t="shared" si="2"/>
        <v>21.645161999999999</v>
      </c>
      <c r="G4">
        <f t="shared" si="2"/>
        <v>20.779355519999999</v>
      </c>
      <c r="H4">
        <f t="shared" si="2"/>
        <v>19.740387744</v>
      </c>
      <c r="I4">
        <f t="shared" si="2"/>
        <v>18.55596447936</v>
      </c>
      <c r="J4">
        <f t="shared" si="2"/>
        <v>17.2570469658048</v>
      </c>
      <c r="K4">
        <f t="shared" si="2"/>
        <v>15.876483208540417</v>
      </c>
      <c r="L4">
        <f t="shared" si="2"/>
        <v>14.44759971977178</v>
      </c>
      <c r="M4">
        <f t="shared" si="2"/>
        <v>13.002839747794603</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65</v>
      </c>
      <c r="Q4" s="5" t="s">
        <v>2</v>
      </c>
      <c r="R4" s="5">
        <f>B27 - 9*R11</f>
        <v>66.342285714285708</v>
      </c>
      <c r="T4" s="1">
        <f ca="1">(R2/100*20)+(R3/100*20)+(R4/100*25)+(R5/100*20)+(R6/100*15)</f>
        <v>65.471935064935067</v>
      </c>
    </row>
    <row r="5" spans="1:20" x14ac:dyDescent="0.3">
      <c r="A5" s="4" t="s">
        <v>17</v>
      </c>
      <c r="B5" s="4" t="s">
        <v>19</v>
      </c>
      <c r="C5" s="10">
        <v>1.95</v>
      </c>
      <c r="L5" s="8"/>
      <c r="M5" s="8">
        <f>C5-(C5/100*12)</f>
        <v>1.716</v>
      </c>
      <c r="N5" s="8"/>
      <c r="O5" s="18">
        <f ca="1">FORECAST(C5, OFFSET(Strength_Normative_Data!$O$3, MATCH(C5, Strength_Normative_Data!$Q$3:$Q$17, -1)-1, 0, 2), OFFSET(Strength_Normative_Data!$Q$3, MATCH(C5, Strength_Normative_Data!$Q$3:$Q$17, -1)-1, 0, 2))</f>
        <v>65</v>
      </c>
      <c r="Q5" s="6" t="s">
        <v>29</v>
      </c>
      <c r="R5" s="6">
        <f ca="1">((O14/100*30)+(O15/100*25)+(O16/100*30)+(O17/100*15))</f>
        <v>65.681818181818187</v>
      </c>
    </row>
    <row r="6" spans="1:20" x14ac:dyDescent="0.3">
      <c r="A6" s="4" t="s">
        <v>17</v>
      </c>
      <c r="B6" s="4" t="s">
        <v>20</v>
      </c>
      <c r="C6" s="10">
        <v>16.5</v>
      </c>
      <c r="L6" s="8"/>
      <c r="M6" s="8">
        <f>C6-(C6/100*12)</f>
        <v>14.52</v>
      </c>
      <c r="N6" s="8"/>
      <c r="O6" s="18">
        <f ca="1">FORECAST(C6, OFFSET(Strength_Normative_Data!$J$3, MATCH(C6, Strength_Normative_Data!$L$3:$L$16, -1)-1, 0, 2), OFFSET(Strength_Normative_Data!$L$3, MATCH(C6, Strength_Normative_Data!$L$3:$L$16, -1)-1, 0, 2))</f>
        <v>65</v>
      </c>
      <c r="Q6" s="7" t="s">
        <v>4</v>
      </c>
      <c r="R6" s="7">
        <f>((O18/100*60)+(O19/100*40))</f>
        <v>65</v>
      </c>
    </row>
    <row r="7" spans="1:20" x14ac:dyDescent="0.3">
      <c r="A7" s="5" t="s">
        <v>21</v>
      </c>
      <c r="B7" s="5" t="s">
        <v>22</v>
      </c>
      <c r="C7" s="11">
        <v>42</v>
      </c>
      <c r="L7" s="8"/>
      <c r="M7" s="8">
        <f>C7+(C7/100*6)</f>
        <v>44.52</v>
      </c>
      <c r="N7" s="8"/>
      <c r="O7" s="22"/>
    </row>
    <row r="8" spans="1:20" x14ac:dyDescent="0.3">
      <c r="A8" s="5" t="s">
        <v>21</v>
      </c>
      <c r="B8" s="5" t="s">
        <v>23</v>
      </c>
      <c r="C8" s="11">
        <v>0.63</v>
      </c>
      <c r="L8" s="8"/>
      <c r="M8" s="8">
        <f>C8+(C8/100*4)</f>
        <v>0.6552</v>
      </c>
      <c r="N8" s="8"/>
      <c r="O8" s="22">
        <f xml:space="preserve">
IF(C8&lt;=0.4,0,
IF(C8&lt;=0.5,20*(C8-0.4)/0.1,
IF(C8&lt;=0.6,20+40*(C8-0.5)/0.1,
60+40*(MIN(C8,0.75)-0.6)/0.15)))</f>
        <v>68</v>
      </c>
    </row>
    <row r="9" spans="1:20" x14ac:dyDescent="0.3">
      <c r="A9" s="5" t="s">
        <v>21</v>
      </c>
      <c r="B9" s="5" t="s">
        <v>24</v>
      </c>
      <c r="C9" s="11">
        <v>5.7</v>
      </c>
      <c r="L9" s="8"/>
      <c r="M9" s="8"/>
      <c r="N9" s="8"/>
      <c r="O9" s="22"/>
    </row>
    <row r="10" spans="1:20" x14ac:dyDescent="0.3">
      <c r="A10" s="5" t="s">
        <v>21</v>
      </c>
      <c r="B10" s="5" t="s">
        <v>25</v>
      </c>
      <c r="C10" s="11">
        <v>5.9</v>
      </c>
      <c r="L10" s="8"/>
      <c r="M10" s="8">
        <f>C10+(C10/100*5)</f>
        <v>6.1950000000000003</v>
      </c>
      <c r="N10" s="8"/>
      <c r="O10" s="22">
        <f xml:space="preserve">
IF(C10&lt;5.7,10*(C10/5.7),
IF(C10&lt;6.5,10+40*(C10-5.7)/0.8,
50+50*(MIN(C10,9)-6.5)/2.5))</f>
        <v>20.000000000000007</v>
      </c>
      <c r="Q10" t="s">
        <v>89</v>
      </c>
      <c r="R10" t="s">
        <v>90</v>
      </c>
    </row>
    <row r="11" spans="1:20" x14ac:dyDescent="0.3">
      <c r="A11" s="5" t="s">
        <v>21</v>
      </c>
      <c r="B11" s="5" t="s">
        <v>26</v>
      </c>
      <c r="C11" s="11">
        <v>2.7</v>
      </c>
      <c r="L11" s="8"/>
      <c r="M11" s="8">
        <f>C11+(C11/100*14)</f>
        <v>3.0780000000000003</v>
      </c>
      <c r="N11" s="8"/>
      <c r="O11" s="5">
        <f xml:space="preserve">
IF(C11&lt;1.6,10*(C11/1.6),
IF(C11&lt;3,10+40*(C11-1.6)/1.4,
50+50*(MIN(C11,7)-3)/4))</f>
        <v>41.428571428571431</v>
      </c>
      <c r="Q11">
        <f>(0.3*P12)+(0.2*O8)+(0.15*O10)+(0.25*O11)+(0.1*O13)</f>
        <v>42.457142857142856</v>
      </c>
      <c r="R11">
        <f xml:space="preserve">
IF(Q11&lt;=10,1.5-0.1*Q11,
IF(Q11&lt;=60,0.5-0.02*(Q11-10),
-0.5-0.03*(Q11-60)))</f>
        <v>-0.14914285714285713</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2.5</v>
      </c>
      <c r="L13" s="8"/>
      <c r="M13" s="8">
        <f>C13+(C13/100*18)</f>
        <v>2.95</v>
      </c>
      <c r="N13" s="8"/>
      <c r="O13" s="5">
        <f xml:space="preserve">
IF(C13&lt;1,10*(C13/1),
IF(C13&lt;3,10+40*(C13-1)/2,
50+50*(MIN(C13,10)-3)/7))</f>
        <v>40</v>
      </c>
    </row>
    <row r="14" spans="1:20" x14ac:dyDescent="0.3">
      <c r="A14" s="6" t="s">
        <v>29</v>
      </c>
      <c r="B14" s="6" t="s">
        <v>30</v>
      </c>
      <c r="C14" s="12">
        <v>1.19</v>
      </c>
      <c r="L14" s="8"/>
      <c r="M14" s="8">
        <f>C14+(C14/100*6)</f>
        <v>1.2613999999999999</v>
      </c>
      <c r="N14" s="8"/>
      <c r="O14" s="12">
        <f ca="1">IFERROR(FORECAST(C14, OFFSET(Mobility_Normative_Data!$A$3, MATCH(C14, Mobility_Normative_Data!$C$3:$C$17, -1)-1, 0, 2), OFFSET(Mobility_Normative_Data!$C$3, MATCH(C14, Mobility_Normative_Data!$C$3:$C$17, -1)-1, 0, 2)), INDEX(Mobility_Normative_Data!$A$3:$A$17, MATCH(C14, Mobility_Normative_Data!$C$3:$C$17, -1)))</f>
        <v>67.27272727272728</v>
      </c>
    </row>
    <row r="15" spans="1:20" x14ac:dyDescent="0.3">
      <c r="A15" s="6" t="s">
        <v>29</v>
      </c>
      <c r="B15" s="6" t="s">
        <v>31</v>
      </c>
      <c r="C15" s="12">
        <v>9</v>
      </c>
      <c r="L15" s="8"/>
      <c r="M15" s="8">
        <f>C15+(C15/100*10)</f>
        <v>9.9</v>
      </c>
      <c r="N15" s="8"/>
      <c r="O15" s="12">
        <f ca="1">FORECAST(C15, OFFSET(Mobility_Normative_Data!$E$3, MATCH(C15, Mobility_Normative_Data!$G$3:$G$18, 1)-1, 0, 2), OFFSET(Mobility_Normative_Data!$G$3, MATCH(C15, Mobility_Normative_Data!$G$3:$G$18, 1)-1, 0, 2))</f>
        <v>65</v>
      </c>
    </row>
    <row r="16" spans="1:20" x14ac:dyDescent="0.3">
      <c r="A16" s="6" t="s">
        <v>29</v>
      </c>
      <c r="B16" s="6" t="s">
        <v>32</v>
      </c>
      <c r="C16" s="12">
        <v>22</v>
      </c>
      <c r="L16" s="8"/>
      <c r="M16" s="8">
        <f>C16+(C16/100*20)</f>
        <v>26.4</v>
      </c>
      <c r="N16" s="8"/>
      <c r="O16" s="12">
        <f ca="1">FORECAST(C16, OFFSET(Mobility_Normative_Data!$I$3, MATCH(C16, Mobility_Normative_Data!$K$3:$K$17, -1)-1, 0, 2), OFFSET(Mobility_Normative_Data!$K$3, MATCH(C16, Mobility_Normative_Data!$K$3:$K$17, -1)-1, 0, 2))</f>
        <v>65</v>
      </c>
    </row>
    <row r="17" spans="1:27" x14ac:dyDescent="0.3">
      <c r="A17" s="6" t="s">
        <v>29</v>
      </c>
      <c r="B17" s="6" t="s">
        <v>33</v>
      </c>
      <c r="C17" s="12">
        <v>30</v>
      </c>
      <c r="L17" s="8"/>
      <c r="M17" s="8">
        <f>C17+(C17/100*10)</f>
        <v>33</v>
      </c>
      <c r="N17" s="8"/>
      <c r="O17" s="12">
        <f ca="1">FORECAST(C17, OFFSET(Mobility_Normative_Data!$M$3, MATCH(C17, Mobility_Normative_Data!$O$3:$O$17, -1)-1, 0, 2), OFFSET(Mobility_Normative_Data!$O$3, MATCH(C17, Mobility_Normative_Data!$O$3:$O$17, -1)-1, 0, 2))</f>
        <v>65</v>
      </c>
    </row>
    <row r="18" spans="1:27" x14ac:dyDescent="0.3">
      <c r="A18" s="7" t="s">
        <v>34</v>
      </c>
      <c r="B18" s="7" t="s">
        <v>35</v>
      </c>
      <c r="C18" s="13">
        <v>0</v>
      </c>
      <c r="L18" s="8"/>
      <c r="M18" s="8">
        <f>C18 +(-0.2)</f>
        <v>-0.2</v>
      </c>
      <c r="N18" s="8"/>
      <c r="O18" s="20">
        <f>MAX(18,B27-(C18*25))</f>
        <v>65</v>
      </c>
    </row>
    <row r="19" spans="1:27" x14ac:dyDescent="0.3">
      <c r="A19" s="7" t="s">
        <v>34</v>
      </c>
      <c r="B19" s="7" t="s">
        <v>36</v>
      </c>
      <c r="C19" s="13">
        <v>0</v>
      </c>
      <c r="L19" s="8"/>
      <c r="M19" s="8">
        <f>C19+(-0.2)</f>
        <v>-0.2</v>
      </c>
      <c r="N19" s="8"/>
      <c r="O19" s="20">
        <f>MAX(18,B27-(J1925))</f>
        <v>65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65</v>
      </c>
      <c r="C27">
        <f>B27+10</f>
        <v>75</v>
      </c>
      <c r="D27">
        <f>C27+10</f>
        <v>85</v>
      </c>
      <c r="E27">
        <f>D27+10</f>
        <v>95</v>
      </c>
      <c r="F27">
        <f>E27+10</f>
        <v>105</v>
      </c>
    </row>
    <row r="28" spans="1:27" x14ac:dyDescent="0.3">
      <c r="A28" t="s">
        <v>0</v>
      </c>
      <c r="B28" s="24">
        <f>R2</f>
        <v>65</v>
      </c>
      <c r="C28">
        <f>B28+(B28/100*11.5)</f>
        <v>72.474999999999994</v>
      </c>
      <c r="D28">
        <f>C28+(C28/100*32.2)</f>
        <v>95.811949999999996</v>
      </c>
      <c r="E28">
        <f>D28+(D28/100*32.2)</f>
        <v>126.66339790000001</v>
      </c>
      <c r="F28">
        <f>E28+(E28/100*32.2)</f>
        <v>167.44901202380001</v>
      </c>
    </row>
    <row r="29" spans="1:27" x14ac:dyDescent="0.3">
      <c r="A29" t="s">
        <v>1</v>
      </c>
      <c r="B29">
        <f ca="1">R3</f>
        <v>65</v>
      </c>
      <c r="C29">
        <f ca="1">B29+(B29/100*12.3)</f>
        <v>72.995000000000005</v>
      </c>
      <c r="D29">
        <f ca="1">C29+(C29/100*30.8)</f>
        <v>95.477460000000008</v>
      </c>
      <c r="E29">
        <f ca="1">D29+(D29/100*30.8)</f>
        <v>124.88451768000002</v>
      </c>
      <c r="F29">
        <f ca="1">E29+(E29/100*30.8)</f>
        <v>163.34894912544001</v>
      </c>
    </row>
    <row r="30" spans="1:27" x14ac:dyDescent="0.3">
      <c r="A30" t="s">
        <v>2</v>
      </c>
      <c r="B30">
        <f>R4</f>
        <v>66.342285714285708</v>
      </c>
      <c r="C30">
        <f>B30+(B30/100*5.5)</f>
        <v>69.991111428571429</v>
      </c>
      <c r="D30">
        <f>C30+(C30/100*11)</f>
        <v>77.690133685714287</v>
      </c>
      <c r="E30">
        <f>D30+(D30/100*11)</f>
        <v>86.236048391142859</v>
      </c>
      <c r="F30">
        <f>E30+(E30/100*11)</f>
        <v>95.722013714168568</v>
      </c>
    </row>
    <row r="31" spans="1:27" x14ac:dyDescent="0.3">
      <c r="A31" t="s">
        <v>3</v>
      </c>
      <c r="B31">
        <f ca="1">R5</f>
        <v>65.681818181818187</v>
      </c>
      <c r="C31">
        <f ca="1">B31+(B31/100*9.9)</f>
        <v>72.184318181818185</v>
      </c>
      <c r="D31">
        <f ca="1">C31+(C31/100*19.8)</f>
        <v>86.476813181818187</v>
      </c>
      <c r="E31">
        <f ca="1">D31+(D31/100*19.8)</f>
        <v>103.59922219181819</v>
      </c>
      <c r="F31">
        <f ca="1">E31+(E31/100*19.8)</f>
        <v>124.11186818579819</v>
      </c>
      <c r="N31" s="46" t="s">
        <v>104</v>
      </c>
      <c r="O31" s="46"/>
      <c r="P31" s="46"/>
      <c r="Q31" s="46"/>
      <c r="R31" s="46"/>
      <c r="S31" s="46"/>
      <c r="T31" s="46"/>
      <c r="U31" s="46"/>
      <c r="V31" s="46"/>
      <c r="W31" s="46"/>
      <c r="X31" s="46"/>
      <c r="Y31" s="46"/>
      <c r="Z31" s="46"/>
      <c r="AA31" s="46"/>
    </row>
    <row r="32" spans="1:27" ht="100.8" x14ac:dyDescent="0.3">
      <c r="A32" t="s">
        <v>4</v>
      </c>
      <c r="B32">
        <f>R6</f>
        <v>65</v>
      </c>
      <c r="C32">
        <f>B32+(B32/100*20)</f>
        <v>78</v>
      </c>
      <c r="D32">
        <f>C32+(C32/100*60)</f>
        <v>124.80000000000001</v>
      </c>
      <c r="E32">
        <f>D32+(D32/100*60)</f>
        <v>199.68</v>
      </c>
      <c r="F32">
        <f>E32+(E32/100*60)</f>
        <v>319.488</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65</v>
      </c>
      <c r="O33" s="27">
        <f>R2</f>
        <v>65</v>
      </c>
      <c r="P33" s="2"/>
      <c r="Q33" s="2">
        <f>N33</f>
        <v>65</v>
      </c>
      <c r="R33" s="2">
        <f ca="1">R3</f>
        <v>65</v>
      </c>
      <c r="S33" s="2"/>
      <c r="T33" s="2">
        <f>N33</f>
        <v>65</v>
      </c>
      <c r="U33" s="2">
        <f>R4</f>
        <v>66.342285714285708</v>
      </c>
      <c r="V33" s="2"/>
      <c r="W33" s="2">
        <f>N33</f>
        <v>65</v>
      </c>
      <c r="X33" s="2">
        <f ca="1">R5</f>
        <v>65.681818181818187</v>
      </c>
      <c r="Y33" s="2"/>
      <c r="Z33" s="2">
        <f>N33</f>
        <v>65</v>
      </c>
      <c r="AA33">
        <f>R6</f>
        <v>65</v>
      </c>
    </row>
    <row r="34" spans="1:27" x14ac:dyDescent="0.3">
      <c r="N34" s="2">
        <f>N33+1</f>
        <v>66</v>
      </c>
      <c r="O34" s="2">
        <f>O33+(O33*0.0115)</f>
        <v>65.747500000000002</v>
      </c>
      <c r="P34" s="2"/>
      <c r="Q34" s="2">
        <f>Q33+1</f>
        <v>66</v>
      </c>
      <c r="R34" s="2">
        <f ca="1">R33+(R33*0.0123)</f>
        <v>65.799499999999995</v>
      </c>
      <c r="S34" s="2"/>
      <c r="T34" s="2">
        <f>T33+1</f>
        <v>66</v>
      </c>
      <c r="U34" s="2">
        <f t="shared" ref="U34:U43" si="3">U33+(U33*0.0055)</f>
        <v>66.707168285714275</v>
      </c>
      <c r="V34" s="2"/>
      <c r="W34" s="2">
        <f>W33+1</f>
        <v>66</v>
      </c>
      <c r="X34" s="2">
        <f ca="1">X33+(X33*0.0099)</f>
        <v>66.332068181818187</v>
      </c>
      <c r="Y34" s="2"/>
      <c r="Z34" s="2">
        <f>Z33+1</f>
        <v>66</v>
      </c>
      <c r="AA34">
        <f>AA33+(AA33*0.02)</f>
        <v>66.3</v>
      </c>
    </row>
    <row r="35" spans="1:27" x14ac:dyDescent="0.3">
      <c r="N35" s="2">
        <f t="shared" ref="N35:N43" si="4">N34+1</f>
        <v>67</v>
      </c>
      <c r="O35" s="2">
        <f t="shared" ref="O35:O43" si="5">O34+(O34*0.0115)</f>
        <v>66.503596250000001</v>
      </c>
      <c r="P35" s="2"/>
      <c r="Q35" s="2">
        <f t="shared" ref="Q35:Q43" si="6">Q34+1</f>
        <v>67</v>
      </c>
      <c r="R35" s="2">
        <f t="shared" ref="R35:R43" ca="1" si="7">R34+(R34*0.0123)</f>
        <v>66.608833849999996</v>
      </c>
      <c r="S35" s="2"/>
      <c r="T35" s="2">
        <f t="shared" ref="T35:T43" si="8">T34+1</f>
        <v>67</v>
      </c>
      <c r="U35" s="2">
        <f t="shared" si="3"/>
        <v>67.074057711285704</v>
      </c>
      <c r="V35" s="2"/>
      <c r="W35" s="2">
        <f t="shared" ref="W35:W43" si="9">W34+1</f>
        <v>67</v>
      </c>
      <c r="X35" s="2">
        <f t="shared" ref="X35:X43" ca="1" si="10">X34+(X34*0.0099)</f>
        <v>66.988755656818185</v>
      </c>
      <c r="Y35" s="2"/>
      <c r="Z35" s="2">
        <f t="shared" ref="Z35:Z43" si="11">Z34+1</f>
        <v>67</v>
      </c>
      <c r="AA35">
        <f t="shared" ref="AA35:AA43" si="12">AA34+(AA34*0.02)</f>
        <v>67.625999999999991</v>
      </c>
    </row>
    <row r="36" spans="1:27" x14ac:dyDescent="0.3">
      <c r="A36" t="s">
        <v>8</v>
      </c>
      <c r="N36" s="2">
        <f t="shared" si="4"/>
        <v>68</v>
      </c>
      <c r="O36" s="2">
        <f t="shared" si="5"/>
        <v>67.268387606874995</v>
      </c>
      <c r="P36" s="2"/>
      <c r="Q36" s="2">
        <f t="shared" si="6"/>
        <v>68</v>
      </c>
      <c r="R36" s="2">
        <f t="shared" ca="1" si="7"/>
        <v>67.428122506354995</v>
      </c>
      <c r="S36" s="2"/>
      <c r="T36" s="2">
        <f t="shared" si="8"/>
        <v>68</v>
      </c>
      <c r="U36" s="2">
        <f t="shared" si="3"/>
        <v>67.44296502869777</v>
      </c>
      <c r="V36" s="2"/>
      <c r="W36" s="2">
        <f t="shared" si="9"/>
        <v>68</v>
      </c>
      <c r="X36" s="2">
        <f t="shared" ca="1" si="10"/>
        <v>67.65194433782068</v>
      </c>
      <c r="Y36" s="2"/>
      <c r="Z36" s="2">
        <f t="shared" si="11"/>
        <v>68</v>
      </c>
      <c r="AA36">
        <f t="shared" si="12"/>
        <v>68.978519999999989</v>
      </c>
    </row>
    <row r="37" spans="1:27" x14ac:dyDescent="0.3">
      <c r="A37" s="1">
        <f ca="1">(B28/100*20)+(B29/100*20)+(B30/100*25)+(B31/100*20)+(B32/100*15)</f>
        <v>65.471935064935067</v>
      </c>
      <c r="N37" s="2">
        <f t="shared" si="4"/>
        <v>69</v>
      </c>
      <c r="O37" s="2">
        <f t="shared" si="5"/>
        <v>68.041974064354051</v>
      </c>
      <c r="P37" s="2"/>
      <c r="Q37" s="2">
        <f t="shared" si="6"/>
        <v>69</v>
      </c>
      <c r="R37" s="2">
        <f t="shared" ca="1" si="7"/>
        <v>68.257488413183168</v>
      </c>
      <c r="S37" s="2"/>
      <c r="T37" s="2">
        <f t="shared" si="8"/>
        <v>69</v>
      </c>
      <c r="U37" s="2">
        <f t="shared" si="3"/>
        <v>67.813901336355613</v>
      </c>
      <c r="V37" s="2"/>
      <c r="W37" s="2">
        <f t="shared" si="9"/>
        <v>69</v>
      </c>
      <c r="X37" s="2">
        <f t="shared" ca="1" si="10"/>
        <v>68.321698586765109</v>
      </c>
      <c r="Y37" s="2"/>
      <c r="Z37" s="2">
        <f t="shared" si="11"/>
        <v>69</v>
      </c>
      <c r="AA37">
        <f t="shared" si="12"/>
        <v>70.358090399999995</v>
      </c>
    </row>
    <row r="38" spans="1:27" x14ac:dyDescent="0.3">
      <c r="N38" s="2">
        <f t="shared" si="4"/>
        <v>70</v>
      </c>
      <c r="O38" s="2">
        <f t="shared" si="5"/>
        <v>68.824456766094116</v>
      </c>
      <c r="P38" s="2"/>
      <c r="Q38" s="2">
        <f t="shared" si="6"/>
        <v>70</v>
      </c>
      <c r="R38" s="2">
        <f t="shared" ca="1" si="7"/>
        <v>69.097055520665322</v>
      </c>
      <c r="S38" s="2"/>
      <c r="T38" s="2">
        <f t="shared" si="8"/>
        <v>70</v>
      </c>
      <c r="U38" s="2">
        <f t="shared" si="3"/>
        <v>68.186877793705563</v>
      </c>
      <c r="V38" s="2"/>
      <c r="W38" s="2">
        <f t="shared" si="9"/>
        <v>70</v>
      </c>
      <c r="X38" s="2">
        <f t="shared" ca="1" si="10"/>
        <v>68.998083402774085</v>
      </c>
      <c r="Y38" s="2"/>
      <c r="Z38" s="2">
        <f t="shared" si="11"/>
        <v>70</v>
      </c>
      <c r="AA38">
        <f t="shared" si="12"/>
        <v>71.765252207999993</v>
      </c>
    </row>
    <row r="39" spans="1:27" x14ac:dyDescent="0.3">
      <c r="N39" s="2">
        <f t="shared" si="4"/>
        <v>71</v>
      </c>
      <c r="O39" s="2">
        <f t="shared" si="5"/>
        <v>69.615938018904203</v>
      </c>
      <c r="P39" s="2"/>
      <c r="Q39" s="2">
        <f t="shared" si="6"/>
        <v>71</v>
      </c>
      <c r="R39" s="2">
        <f t="shared" ca="1" si="7"/>
        <v>69.946949303569511</v>
      </c>
      <c r="S39" s="2"/>
      <c r="T39" s="2">
        <f t="shared" si="8"/>
        <v>71</v>
      </c>
      <c r="U39" s="2">
        <f t="shared" si="3"/>
        <v>68.561905621570943</v>
      </c>
      <c r="V39" s="2"/>
      <c r="W39" s="2">
        <f t="shared" si="9"/>
        <v>71</v>
      </c>
      <c r="X39" s="2">
        <f t="shared" ca="1" si="10"/>
        <v>69.681164428461543</v>
      </c>
      <c r="Y39" s="2"/>
      <c r="Z39" s="2">
        <f t="shared" si="11"/>
        <v>71</v>
      </c>
      <c r="AA39">
        <f t="shared" si="12"/>
        <v>73.200557252159996</v>
      </c>
    </row>
    <row r="40" spans="1:27" x14ac:dyDescent="0.3">
      <c r="N40" s="2">
        <f t="shared" si="4"/>
        <v>72</v>
      </c>
      <c r="O40" s="2">
        <f t="shared" si="5"/>
        <v>70.416521306121595</v>
      </c>
      <c r="P40" s="2"/>
      <c r="Q40" s="2">
        <f t="shared" si="6"/>
        <v>72</v>
      </c>
      <c r="R40" s="2">
        <f t="shared" ca="1" si="7"/>
        <v>70.807296780003412</v>
      </c>
      <c r="S40" s="2"/>
      <c r="T40" s="2">
        <f t="shared" si="8"/>
        <v>72</v>
      </c>
      <c r="U40" s="2">
        <f t="shared" si="3"/>
        <v>68.938996102489583</v>
      </c>
      <c r="V40" s="2"/>
      <c r="W40" s="2">
        <f t="shared" si="9"/>
        <v>72</v>
      </c>
      <c r="X40" s="2">
        <f t="shared" ca="1" si="10"/>
        <v>70.371007956303316</v>
      </c>
      <c r="Y40" s="2"/>
      <c r="Z40" s="2">
        <f t="shared" si="11"/>
        <v>72</v>
      </c>
      <c r="AA40">
        <f t="shared" si="12"/>
        <v>74.664568397203197</v>
      </c>
    </row>
    <row r="41" spans="1:27" x14ac:dyDescent="0.3">
      <c r="N41" s="2">
        <f t="shared" si="4"/>
        <v>73</v>
      </c>
      <c r="O41" s="2">
        <f t="shared" si="5"/>
        <v>71.22631130114199</v>
      </c>
      <c r="P41" s="2"/>
      <c r="Q41" s="2">
        <f t="shared" si="6"/>
        <v>73</v>
      </c>
      <c r="R41" s="2">
        <f t="shared" ca="1" si="7"/>
        <v>71.678226530397453</v>
      </c>
      <c r="S41" s="2"/>
      <c r="T41" s="2">
        <f t="shared" si="8"/>
        <v>73</v>
      </c>
      <c r="U41" s="2">
        <f t="shared" si="3"/>
        <v>69.318160581053277</v>
      </c>
      <c r="V41" s="2"/>
      <c r="W41" s="2">
        <f t="shared" si="9"/>
        <v>73</v>
      </c>
      <c r="X41" s="2">
        <f t="shared" ca="1" si="10"/>
        <v>71.067680935070726</v>
      </c>
      <c r="Y41" s="2"/>
      <c r="Z41" s="2">
        <f t="shared" si="11"/>
        <v>73</v>
      </c>
      <c r="AA41">
        <f t="shared" si="12"/>
        <v>76.157859765147265</v>
      </c>
    </row>
    <row r="42" spans="1:27" x14ac:dyDescent="0.3">
      <c r="B42" t="s">
        <v>12</v>
      </c>
      <c r="C42" t="s">
        <v>0</v>
      </c>
      <c r="D42" t="s">
        <v>12</v>
      </c>
      <c r="E42" t="s">
        <v>1</v>
      </c>
      <c r="F42" t="s">
        <v>12</v>
      </c>
      <c r="G42" t="s">
        <v>2</v>
      </c>
      <c r="H42" t="s">
        <v>12</v>
      </c>
      <c r="I42" t="s">
        <v>3</v>
      </c>
      <c r="J42" t="s">
        <v>12</v>
      </c>
      <c r="K42" t="s">
        <v>4</v>
      </c>
      <c r="N42" s="2">
        <f t="shared" si="4"/>
        <v>74</v>
      </c>
      <c r="O42" s="2">
        <f t="shared" si="5"/>
        <v>72.045413881105119</v>
      </c>
      <c r="P42" s="2"/>
      <c r="Q42" s="2">
        <f t="shared" si="6"/>
        <v>74</v>
      </c>
      <c r="R42" s="2">
        <f t="shared" ca="1" si="7"/>
        <v>72.55986871672134</v>
      </c>
      <c r="S42" s="2"/>
      <c r="T42" s="2">
        <f t="shared" si="8"/>
        <v>74</v>
      </c>
      <c r="U42" s="2">
        <f t="shared" si="3"/>
        <v>69.69941046424907</v>
      </c>
      <c r="V42" s="2"/>
      <c r="W42" s="2">
        <f t="shared" si="9"/>
        <v>74</v>
      </c>
      <c r="X42" s="2">
        <f t="shared" ca="1" si="10"/>
        <v>71.77125097632792</v>
      </c>
      <c r="Y42" s="2"/>
      <c r="Z42" s="2">
        <f t="shared" si="11"/>
        <v>74</v>
      </c>
      <c r="AA42">
        <f t="shared" si="12"/>
        <v>77.681016960450208</v>
      </c>
    </row>
    <row r="43" spans="1:27" x14ac:dyDescent="0.3">
      <c r="B43">
        <f>B27</f>
        <v>65</v>
      </c>
      <c r="C43">
        <f>B28</f>
        <v>65</v>
      </c>
      <c r="D43">
        <f>B43</f>
        <v>65</v>
      </c>
      <c r="E43">
        <f ca="1">B29</f>
        <v>65</v>
      </c>
      <c r="F43">
        <f>B27</f>
        <v>65</v>
      </c>
      <c r="G43">
        <f>B30</f>
        <v>66.342285714285708</v>
      </c>
      <c r="H43">
        <f>B27</f>
        <v>65</v>
      </c>
      <c r="I43">
        <f ca="1">B31</f>
        <v>65.681818181818187</v>
      </c>
      <c r="J43">
        <f>B27</f>
        <v>65</v>
      </c>
      <c r="K43">
        <f>B32</f>
        <v>65</v>
      </c>
      <c r="N43" s="2">
        <f t="shared" si="4"/>
        <v>75</v>
      </c>
      <c r="O43" s="2">
        <f t="shared" si="5"/>
        <v>72.873936140737825</v>
      </c>
      <c r="P43" s="2"/>
      <c r="Q43" s="2">
        <f t="shared" si="6"/>
        <v>75</v>
      </c>
      <c r="R43" s="2">
        <f t="shared" ca="1" si="7"/>
        <v>73.452355101937016</v>
      </c>
      <c r="S43" s="2"/>
      <c r="T43" s="2">
        <f t="shared" si="8"/>
        <v>75</v>
      </c>
      <c r="U43" s="2">
        <f t="shared" si="3"/>
        <v>70.082757221802439</v>
      </c>
      <c r="V43" s="2"/>
      <c r="W43" s="2">
        <f t="shared" si="9"/>
        <v>75</v>
      </c>
      <c r="X43" s="2">
        <f t="shared" ca="1" si="10"/>
        <v>72.481786360993567</v>
      </c>
      <c r="Y43" s="2"/>
      <c r="Z43" s="2">
        <f t="shared" si="11"/>
        <v>75</v>
      </c>
      <c r="AA43">
        <f t="shared" si="12"/>
        <v>79.234637299659212</v>
      </c>
    </row>
    <row r="44" spans="1:27" x14ac:dyDescent="0.3">
      <c r="B44">
        <f>C27</f>
        <v>75</v>
      </c>
      <c r="C44">
        <f>C28</f>
        <v>72.474999999999994</v>
      </c>
      <c r="D44">
        <f>B44</f>
        <v>75</v>
      </c>
      <c r="E44">
        <f ca="1">C29</f>
        <v>72.995000000000005</v>
      </c>
      <c r="F44">
        <f>C27</f>
        <v>75</v>
      </c>
      <c r="G44">
        <f>C30</f>
        <v>69.991111428571429</v>
      </c>
      <c r="H44">
        <f>C27</f>
        <v>75</v>
      </c>
      <c r="I44">
        <f ca="1">C31</f>
        <v>72.184318181818185</v>
      </c>
      <c r="J44">
        <f>C27</f>
        <v>75</v>
      </c>
      <c r="K44">
        <f>C32</f>
        <v>78</v>
      </c>
    </row>
    <row r="45" spans="1:27" x14ac:dyDescent="0.3">
      <c r="B45">
        <f>D27</f>
        <v>85</v>
      </c>
      <c r="C45">
        <f>D28</f>
        <v>95.811949999999996</v>
      </c>
      <c r="D45">
        <f>D27</f>
        <v>85</v>
      </c>
      <c r="E45">
        <f ca="1">D29</f>
        <v>95.477460000000008</v>
      </c>
      <c r="F45">
        <f>D27</f>
        <v>85</v>
      </c>
      <c r="G45">
        <f>D30</f>
        <v>77.690133685714287</v>
      </c>
      <c r="H45">
        <f>D27</f>
        <v>85</v>
      </c>
      <c r="I45">
        <f ca="1">D31</f>
        <v>86.476813181818187</v>
      </c>
      <c r="J45">
        <f>D27</f>
        <v>85</v>
      </c>
      <c r="K45">
        <f>D32</f>
        <v>124.80000000000001</v>
      </c>
    </row>
    <row r="46" spans="1:27" x14ac:dyDescent="0.3">
      <c r="B46">
        <f>E27</f>
        <v>95</v>
      </c>
      <c r="C46">
        <f>E28</f>
        <v>126.66339790000001</v>
      </c>
      <c r="D46">
        <f>E27</f>
        <v>95</v>
      </c>
      <c r="E46">
        <f ca="1">E29</f>
        <v>124.88451768000002</v>
      </c>
      <c r="F46">
        <f>E27</f>
        <v>95</v>
      </c>
      <c r="G46">
        <f>E30</f>
        <v>86.236048391142859</v>
      </c>
      <c r="H46">
        <f>E27</f>
        <v>95</v>
      </c>
      <c r="I46">
        <f ca="1">E31</f>
        <v>103.59922219181819</v>
      </c>
      <c r="J46">
        <f>E27</f>
        <v>95</v>
      </c>
      <c r="K46">
        <f>E32</f>
        <v>199.68</v>
      </c>
    </row>
    <row r="47" spans="1:27" x14ac:dyDescent="0.3">
      <c r="B47">
        <f>F27</f>
        <v>105</v>
      </c>
      <c r="C47">
        <f>F28</f>
        <v>167.44901202380001</v>
      </c>
      <c r="D47">
        <f>F27</f>
        <v>105</v>
      </c>
      <c r="E47">
        <f ca="1">F29</f>
        <v>163.34894912544001</v>
      </c>
      <c r="F47">
        <f>F27</f>
        <v>105</v>
      </c>
      <c r="G47">
        <f ca="1">F31</f>
        <v>124.11186818579819</v>
      </c>
      <c r="H47">
        <f>F27</f>
        <v>105</v>
      </c>
      <c r="I47">
        <f ca="1">F31</f>
        <v>124.11186818579819</v>
      </c>
      <c r="J47">
        <f>F27</f>
        <v>105</v>
      </c>
      <c r="K47">
        <f>F32</f>
        <v>319.488</v>
      </c>
    </row>
  </sheetData>
  <mergeCells count="2">
    <mergeCell ref="A23:F23"/>
    <mergeCell ref="N31:AA3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202FF-38A7-4CCE-AFC0-3D85E946BB74}">
  <dimension ref="A1:AA47"/>
  <sheetViews>
    <sheetView topLeftCell="B9" zoomScale="85" zoomScaleNormal="85" workbookViewId="0">
      <selection activeCell="U33" sqref="U33:U4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25.2</v>
      </c>
      <c r="D2">
        <f t="shared" ref="D2:M2" si="0">C2-(C2/100*D1)</f>
        <v>24.948</v>
      </c>
      <c r="E2">
        <f t="shared" si="0"/>
        <v>24.44904</v>
      </c>
      <c r="F2">
        <f t="shared" si="0"/>
        <v>23.7155688</v>
      </c>
      <c r="G2">
        <f t="shared" si="0"/>
        <v>22.766946048000001</v>
      </c>
      <c r="H2">
        <f t="shared" si="0"/>
        <v>21.628598745600002</v>
      </c>
      <c r="I2">
        <f t="shared" si="0"/>
        <v>20.330882820864002</v>
      </c>
      <c r="J2">
        <f t="shared" si="0"/>
        <v>18.907721023403521</v>
      </c>
      <c r="K2">
        <f t="shared" si="0"/>
        <v>17.395103341531239</v>
      </c>
      <c r="L2">
        <f t="shared" si="0"/>
        <v>15.829544040793428</v>
      </c>
      <c r="M2">
        <f t="shared" si="0"/>
        <v>14.246589636714084</v>
      </c>
      <c r="N2" s="8"/>
      <c r="O2" s="21"/>
      <c r="Q2" s="3" t="s">
        <v>0</v>
      </c>
      <c r="R2" s="16">
        <f>B27+ ((1 -((C2 / 25.2) * 0.7 )-((C3 / 100) * 0.3 )) * 100)</f>
        <v>70</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70</v>
      </c>
      <c r="T3" s="23" t="s">
        <v>8</v>
      </c>
    </row>
    <row r="4" spans="1:20" ht="18" customHeight="1" x14ac:dyDescent="0.3">
      <c r="A4" s="4" t="s">
        <v>17</v>
      </c>
      <c r="B4" s="4" t="s">
        <v>18</v>
      </c>
      <c r="C4" s="10">
        <v>36</v>
      </c>
      <c r="D4">
        <f>C4-(C4/100*D1)</f>
        <v>35.64</v>
      </c>
      <c r="E4">
        <f t="shared" ref="E4:M4" si="2">D4-(D4/100*E1)</f>
        <v>34.927199999999999</v>
      </c>
      <c r="F4">
        <f t="shared" si="2"/>
        <v>33.879384000000002</v>
      </c>
      <c r="G4">
        <f t="shared" si="2"/>
        <v>32.524208640000005</v>
      </c>
      <c r="H4">
        <f t="shared" si="2"/>
        <v>30.897998208000004</v>
      </c>
      <c r="I4">
        <f t="shared" si="2"/>
        <v>29.044118315520002</v>
      </c>
      <c r="J4">
        <f t="shared" si="2"/>
        <v>27.011030033433602</v>
      </c>
      <c r="K4">
        <f t="shared" si="2"/>
        <v>24.850147630758915</v>
      </c>
      <c r="L4">
        <f t="shared" si="2"/>
        <v>22.613634343990611</v>
      </c>
      <c r="M4">
        <f t="shared" si="2"/>
        <v>20.352270909591549</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70</v>
      </c>
      <c r="Q4" s="5" t="s">
        <v>2</v>
      </c>
      <c r="R4" s="5">
        <f>B27 - 9*R11</f>
        <v>70.507857142857148</v>
      </c>
      <c r="T4" s="1">
        <f ca="1">(R2/100*20)+(R3/100*20)+(R4/100*25)+(R5/100*20)+(R6/100*15)</f>
        <v>70.12696428571428</v>
      </c>
    </row>
    <row r="5" spans="1:20" x14ac:dyDescent="0.3">
      <c r="A5" s="4" t="s">
        <v>17</v>
      </c>
      <c r="B5" s="4" t="s">
        <v>19</v>
      </c>
      <c r="C5" s="10">
        <v>2.2999999999999998</v>
      </c>
      <c r="L5" s="8"/>
      <c r="M5" s="8">
        <f>C5-(C5/100*12)</f>
        <v>2.024</v>
      </c>
      <c r="N5" s="8"/>
      <c r="O5" s="18">
        <f ca="1">FORECAST(C5, OFFSET(Strength_Normative_Data!$O$3, MATCH(C5, Strength_Normative_Data!$P$3:$P$17, -1)-1, 0, 2), OFFSET(Strength_Normative_Data!$P$3, MATCH(C5, Strength_Normative_Data!$P$3:$P$17, -1)-1, 0, 2))</f>
        <v>70.000000000000014</v>
      </c>
      <c r="Q5" s="6" t="s">
        <v>29</v>
      </c>
      <c r="R5" s="6">
        <f ca="1">((O14/100*30)+(O15/100*25)+(O16/100*30)+(O17/100*15))</f>
        <v>70</v>
      </c>
    </row>
    <row r="6" spans="1:20" x14ac:dyDescent="0.3">
      <c r="A6" s="4" t="s">
        <v>17</v>
      </c>
      <c r="B6" s="4" t="s">
        <v>20</v>
      </c>
      <c r="C6" s="10">
        <v>25</v>
      </c>
      <c r="L6" s="8"/>
      <c r="M6" s="8">
        <f>C6-(C6/100*12)</f>
        <v>22</v>
      </c>
      <c r="N6" s="8"/>
      <c r="O6" s="18">
        <f ca="1">FORECAST(C6, OFFSET(Strength_Normative_Data!$J$3, MATCH(C6, Strength_Normative_Data!$K$3:$K$16, -1)-1, 0, 2), OFFSET(Strength_Normative_Data!$K$3, MATCH(C6, Strength_Normative_Data!$K$3:$K$16, -1)-1, 0, 2))</f>
        <v>70</v>
      </c>
      <c r="Q6" s="7" t="s">
        <v>4</v>
      </c>
      <c r="R6" s="7">
        <f>((O18/100*60)+(O19/100*40))</f>
        <v>70</v>
      </c>
    </row>
    <row r="7" spans="1:20" x14ac:dyDescent="0.3">
      <c r="A7" s="5" t="s">
        <v>21</v>
      </c>
      <c r="B7" s="5" t="s">
        <v>22</v>
      </c>
      <c r="C7" s="11">
        <v>27</v>
      </c>
      <c r="L7" s="8"/>
      <c r="M7" s="8">
        <f>C7+(C7/100*6)</f>
        <v>28.62</v>
      </c>
      <c r="N7" s="8"/>
      <c r="O7" s="22"/>
    </row>
    <row r="8" spans="1:20" x14ac:dyDescent="0.3">
      <c r="A8" s="5" t="s">
        <v>21</v>
      </c>
      <c r="B8" s="5" t="s">
        <v>23</v>
      </c>
      <c r="C8" s="11">
        <v>0.56999999999999995</v>
      </c>
      <c r="L8" s="8"/>
      <c r="M8" s="8">
        <f>C8+(C8/100*4)</f>
        <v>0.59279999999999999</v>
      </c>
      <c r="N8" s="8"/>
      <c r="O8" s="22">
        <f xml:space="preserve">
IF(C8&lt;=0.4,0,
IF(C8&lt;=0.5,20*(C8-0.4)/0.1,
IF(C8&lt;=0.6,20+40*(C8-0.5)/0.1,
60+40*(MIN(C8,0.75)-0.6)/0.15)))</f>
        <v>47.999999999999979</v>
      </c>
    </row>
    <row r="9" spans="1:20" x14ac:dyDescent="0.3">
      <c r="A9" s="5" t="s">
        <v>21</v>
      </c>
      <c r="B9" s="5" t="s">
        <v>24</v>
      </c>
      <c r="C9" s="11">
        <v>5.6</v>
      </c>
      <c r="L9" s="8"/>
      <c r="M9" s="8"/>
      <c r="N9" s="8"/>
      <c r="O9" s="22"/>
    </row>
    <row r="10" spans="1:20" x14ac:dyDescent="0.3">
      <c r="A10" s="5" t="s">
        <v>21</v>
      </c>
      <c r="B10" s="5" t="s">
        <v>25</v>
      </c>
      <c r="C10" s="11">
        <v>5.8</v>
      </c>
      <c r="L10" s="8"/>
      <c r="M10" s="8">
        <f>C10+(C10/100*5)</f>
        <v>6.09</v>
      </c>
      <c r="N10" s="8"/>
      <c r="O10" s="22">
        <f xml:space="preserve">
IF(C10&lt;5.7,10*(C10/5.7),
IF(C10&lt;6.5,10+40*(C10-5.7)/0.8,
50+50*(MIN(C10,9)-6.5)/2.5))</f>
        <v>14.999999999999982</v>
      </c>
      <c r="Q10" t="s">
        <v>89</v>
      </c>
      <c r="R10" t="s">
        <v>90</v>
      </c>
    </row>
    <row r="11" spans="1:20" x14ac:dyDescent="0.3">
      <c r="A11" s="5" t="s">
        <v>21</v>
      </c>
      <c r="B11" s="5" t="s">
        <v>26</v>
      </c>
      <c r="C11" s="11">
        <v>2.8</v>
      </c>
      <c r="L11" s="8"/>
      <c r="M11" s="8">
        <f>C11+(C11/100*14)</f>
        <v>3.1919999999999997</v>
      </c>
      <c r="N11" s="8"/>
      <c r="O11" s="5">
        <f xml:space="preserve">
IF(C11&lt;1.6,10*(C11/1.6),
IF(C11&lt;3,10+40*(C11-1.6)/1.4,
50+50*(MIN(C11,7)-3)/4))</f>
        <v>44.285714285714278</v>
      </c>
      <c r="Q11">
        <f>(0.3*P12)+(0.2*O8)+(0.15*O10)+(0.25*O11)+(0.1*O13)</f>
        <v>37.821428571428562</v>
      </c>
      <c r="R11">
        <f xml:space="preserve">
IF(Q11&lt;=10,1.5-0.1*Q11,
IF(Q11&lt;=60,0.5-0.02*(Q11-10),
-0.5-0.03*(Q11-60)))</f>
        <v>-5.6428571428571273E-2</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2.2000000000000002</v>
      </c>
      <c r="L13" s="8"/>
      <c r="M13" s="8">
        <f>C13+(C13/100*18)</f>
        <v>2.5960000000000001</v>
      </c>
      <c r="N13" s="8"/>
      <c r="O13" s="5">
        <f xml:space="preserve">
IF(C13&lt;1,10*(C13/1),
IF(C13&lt;3,10+40*(C13-1)/2,
50+50*(MIN(C13,10)-3)/7))</f>
        <v>34</v>
      </c>
    </row>
    <row r="14" spans="1:20" x14ac:dyDescent="0.3">
      <c r="A14" s="6" t="s">
        <v>29</v>
      </c>
      <c r="B14" s="6" t="s">
        <v>30</v>
      </c>
      <c r="C14" s="12">
        <v>1.26</v>
      </c>
      <c r="L14" s="8"/>
      <c r="M14" s="8">
        <f>C14+(C14/100*6)</f>
        <v>1.3355999999999999</v>
      </c>
      <c r="N14" s="8"/>
      <c r="O14" s="12">
        <v>70</v>
      </c>
    </row>
    <row r="15" spans="1:20" x14ac:dyDescent="0.3">
      <c r="A15" s="6" t="s">
        <v>29</v>
      </c>
      <c r="B15" s="6" t="s">
        <v>31</v>
      </c>
      <c r="C15" s="12">
        <v>9</v>
      </c>
      <c r="L15" s="8"/>
      <c r="M15" s="8">
        <f>C15+(C15/100*10)</f>
        <v>9.9</v>
      </c>
      <c r="N15" s="8"/>
      <c r="O15" s="12">
        <f ca="1">FORECAST(C15, OFFSET(Mobility_Normative_Data!$E$3, MATCH(C15, Mobility_Normative_Data!$F$3:$F$18, 1)-1, 0, 2), OFFSET(Mobility_Normative_Data!$F$3, MATCH(C15, Mobility_Normative_Data!$F$3:$F$18, 1)-1, 0, 2))</f>
        <v>70</v>
      </c>
    </row>
    <row r="16" spans="1:20" x14ac:dyDescent="0.3">
      <c r="A16" s="6" t="s">
        <v>29</v>
      </c>
      <c r="B16" s="6" t="s">
        <v>32</v>
      </c>
      <c r="C16" s="12">
        <v>20</v>
      </c>
      <c r="L16" s="8"/>
      <c r="M16" s="8">
        <f>C16+(C16/100*20)</f>
        <v>24</v>
      </c>
      <c r="N16" s="8"/>
      <c r="O16" s="12">
        <f ca="1">FORECAST(C16, OFFSET(Mobility_Normative_Data!$I$3, MATCH(C16, Mobility_Normative_Data!$J$3:$J$17, -1)-1, 0, 2), OFFSET(Mobility_Normative_Data!$J$3, MATCH(C16, Mobility_Normative_Data!$J$3:$J$17, -1)-1, 0, 2))</f>
        <v>70</v>
      </c>
    </row>
    <row r="17" spans="1:27" x14ac:dyDescent="0.3">
      <c r="A17" s="6" t="s">
        <v>29</v>
      </c>
      <c r="B17" s="6" t="s">
        <v>33</v>
      </c>
      <c r="C17" s="12">
        <v>25</v>
      </c>
      <c r="L17" s="8"/>
      <c r="M17" s="8">
        <f>C17+(C17/100*10)</f>
        <v>27.5</v>
      </c>
      <c r="N17" s="8"/>
      <c r="O17" s="12">
        <f ca="1">FORECAST(C17, OFFSET(Mobility_Normative_Data!$M$3, MATCH(C17, Mobility_Normative_Data!$N$3:$N$17, -1)-1, 0, 2), OFFSET(Mobility_Normative_Data!$N$3, MATCH(C17, Mobility_Normative_Data!$N$3:$N$17, -1)-1, 0, 2))</f>
        <v>70</v>
      </c>
    </row>
    <row r="18" spans="1:27" x14ac:dyDescent="0.3">
      <c r="A18" s="7" t="s">
        <v>34</v>
      </c>
      <c r="B18" s="7" t="s">
        <v>35</v>
      </c>
      <c r="C18" s="13">
        <v>0</v>
      </c>
      <c r="L18" s="8"/>
      <c r="M18" s="8">
        <f>C18 +(-0.2)</f>
        <v>-0.2</v>
      </c>
      <c r="N18" s="8"/>
      <c r="O18" s="20">
        <f>MAX(18,B27-(C18*25))</f>
        <v>70</v>
      </c>
    </row>
    <row r="19" spans="1:27" x14ac:dyDescent="0.3">
      <c r="A19" s="7" t="s">
        <v>34</v>
      </c>
      <c r="B19" s="7" t="s">
        <v>36</v>
      </c>
      <c r="C19" s="13">
        <v>0</v>
      </c>
      <c r="L19" s="8"/>
      <c r="M19" s="8">
        <f>C19+(-0.2)</f>
        <v>-0.2</v>
      </c>
      <c r="N19" s="8"/>
      <c r="O19" s="20">
        <f>MAX(18,B27-(J1925))</f>
        <v>70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70</v>
      </c>
      <c r="C27">
        <f>B27+10</f>
        <v>80</v>
      </c>
      <c r="D27">
        <f>C27+10</f>
        <v>90</v>
      </c>
      <c r="E27">
        <f>D27+10</f>
        <v>100</v>
      </c>
      <c r="F27">
        <f>E27+10</f>
        <v>110</v>
      </c>
    </row>
    <row r="28" spans="1:27" x14ac:dyDescent="0.3">
      <c r="A28" t="s">
        <v>0</v>
      </c>
      <c r="B28" s="24">
        <f>R2</f>
        <v>70</v>
      </c>
      <c r="C28">
        <f>B28+(B28/100*11.5)</f>
        <v>78.05</v>
      </c>
      <c r="D28">
        <f>C28+(C28/100*32.2)</f>
        <v>103.18209999999999</v>
      </c>
      <c r="E28">
        <f>D28+(D28/100*32.2)</f>
        <v>136.40673619999998</v>
      </c>
      <c r="F28">
        <f>E28+(E28/100*32.2)</f>
        <v>180.32970525639999</v>
      </c>
    </row>
    <row r="29" spans="1:27" x14ac:dyDescent="0.3">
      <c r="A29" t="s">
        <v>1</v>
      </c>
      <c r="B29">
        <f ca="1">R3</f>
        <v>70</v>
      </c>
      <c r="C29">
        <f ca="1">B29+(B29/100*12.3)</f>
        <v>78.61</v>
      </c>
      <c r="D29">
        <f ca="1">C29+(C29/100*30.8)</f>
        <v>102.82187999999999</v>
      </c>
      <c r="E29">
        <f ca="1">D29+(D29/100*30.8)</f>
        <v>134.49101904</v>
      </c>
      <c r="F29">
        <f ca="1">E29+(E29/100*30.8)</f>
        <v>175.91425290431999</v>
      </c>
    </row>
    <row r="30" spans="1:27" x14ac:dyDescent="0.3">
      <c r="A30" t="s">
        <v>2</v>
      </c>
      <c r="B30">
        <f>R4</f>
        <v>70.507857142857148</v>
      </c>
      <c r="C30">
        <f>B30+(B30/100*5.5)</f>
        <v>74.385789285714296</v>
      </c>
      <c r="D30">
        <f>C30+(C30/100*11)</f>
        <v>82.568226107142863</v>
      </c>
      <c r="E30">
        <f>D30+(D30/100*11)</f>
        <v>91.650730978928578</v>
      </c>
      <c r="F30">
        <f>E30+(E30/100*11)</f>
        <v>101.73231138661072</v>
      </c>
    </row>
    <row r="31" spans="1:27" x14ac:dyDescent="0.3">
      <c r="A31" t="s">
        <v>3</v>
      </c>
      <c r="B31">
        <f ca="1">R5</f>
        <v>70</v>
      </c>
      <c r="C31">
        <f ca="1">B31+(B31/100*9.9)</f>
        <v>76.930000000000007</v>
      </c>
      <c r="D31">
        <f ca="1">C31+(C31/100*19.8)</f>
        <v>92.162140000000008</v>
      </c>
      <c r="E31">
        <f ca="1">D31+(D31/100*19.8)</f>
        <v>110.41024372000001</v>
      </c>
      <c r="F31">
        <f ca="1">E31+(E31/100*19.8)</f>
        <v>132.27147197656001</v>
      </c>
      <c r="N31" s="46" t="s">
        <v>104</v>
      </c>
      <c r="O31" s="46"/>
      <c r="P31" s="46"/>
      <c r="Q31" s="46"/>
      <c r="R31" s="46"/>
      <c r="S31" s="46"/>
      <c r="T31" s="46"/>
      <c r="U31" s="46"/>
      <c r="V31" s="46"/>
      <c r="W31" s="46"/>
      <c r="X31" s="46"/>
      <c r="Y31" s="46"/>
      <c r="Z31" s="46"/>
      <c r="AA31" s="46"/>
    </row>
    <row r="32" spans="1:27" ht="86.4" x14ac:dyDescent="0.3">
      <c r="A32" t="s">
        <v>4</v>
      </c>
      <c r="B32">
        <f>R6</f>
        <v>70</v>
      </c>
      <c r="C32">
        <f>B32+(B32/100*20)</f>
        <v>84</v>
      </c>
      <c r="D32">
        <f>C32+(C32/100*60)</f>
        <v>134.4</v>
      </c>
      <c r="E32">
        <f>D32+(D32/100*60)</f>
        <v>215.04000000000002</v>
      </c>
      <c r="F32">
        <f>E32+(E32/100*60)</f>
        <v>344.06400000000008</v>
      </c>
      <c r="N32" s="2" t="s">
        <v>103</v>
      </c>
      <c r="O32" s="2" t="s">
        <v>130</v>
      </c>
      <c r="P32" s="2"/>
      <c r="Q32" s="2" t="s">
        <v>103</v>
      </c>
      <c r="R32" s="2" t="s">
        <v>131</v>
      </c>
      <c r="S32" s="2"/>
      <c r="T32" s="2" t="s">
        <v>103</v>
      </c>
      <c r="U32" s="2" t="s">
        <v>132</v>
      </c>
      <c r="V32" s="2"/>
      <c r="W32" s="2" t="s">
        <v>103</v>
      </c>
      <c r="X32" s="2" t="s">
        <v>133</v>
      </c>
      <c r="Y32" s="2"/>
      <c r="Z32" s="2" t="s">
        <v>103</v>
      </c>
      <c r="AA32" s="2" t="s">
        <v>134</v>
      </c>
    </row>
    <row r="33" spans="1:27" x14ac:dyDescent="0.3">
      <c r="N33" s="2">
        <f>B27</f>
        <v>70</v>
      </c>
      <c r="O33" s="27">
        <f>R2</f>
        <v>70</v>
      </c>
      <c r="P33" s="2"/>
      <c r="Q33" s="2">
        <f>N33</f>
        <v>70</v>
      </c>
      <c r="R33" s="2">
        <f ca="1">R3</f>
        <v>70</v>
      </c>
      <c r="S33" s="2"/>
      <c r="T33" s="2">
        <f>N33</f>
        <v>70</v>
      </c>
      <c r="U33" s="2">
        <f>R4</f>
        <v>70.507857142857148</v>
      </c>
      <c r="V33" s="2"/>
      <c r="W33" s="2">
        <f>N33</f>
        <v>70</v>
      </c>
      <c r="X33" s="2">
        <f ca="1">R5</f>
        <v>70</v>
      </c>
      <c r="Y33" s="2"/>
      <c r="Z33" s="2">
        <f>N33</f>
        <v>70</v>
      </c>
      <c r="AA33">
        <f>R6</f>
        <v>70</v>
      </c>
    </row>
    <row r="34" spans="1:27" x14ac:dyDescent="0.3">
      <c r="N34" s="2">
        <f>N33+1</f>
        <v>71</v>
      </c>
      <c r="O34" s="2">
        <f>O33+(O33*0.0115)</f>
        <v>70.805000000000007</v>
      </c>
      <c r="P34" s="2"/>
      <c r="Q34" s="2">
        <f>Q33+1</f>
        <v>71</v>
      </c>
      <c r="R34" s="2">
        <f ca="1">R33+(R33*0.0123)</f>
        <v>70.861000000000004</v>
      </c>
      <c r="S34" s="2"/>
      <c r="T34" s="2">
        <f>T33+1</f>
        <v>71</v>
      </c>
      <c r="U34" s="2">
        <f t="shared" ref="U34:U43" si="3">U33+(U33*0.0055)</f>
        <v>70.895650357142856</v>
      </c>
      <c r="V34" s="2"/>
      <c r="W34" s="2">
        <f>W33+1</f>
        <v>71</v>
      </c>
      <c r="X34" s="2">
        <f ca="1">X33+(X33*0.0099)</f>
        <v>70.692999999999998</v>
      </c>
      <c r="Y34" s="2"/>
      <c r="Z34" s="2">
        <f>Z33+1</f>
        <v>71</v>
      </c>
      <c r="AA34">
        <f>AA33+(AA33*0.02)</f>
        <v>71.400000000000006</v>
      </c>
    </row>
    <row r="35" spans="1:27" x14ac:dyDescent="0.3">
      <c r="N35" s="2">
        <f t="shared" ref="N35:N43" si="4">N34+1</f>
        <v>72</v>
      </c>
      <c r="O35" s="2">
        <f t="shared" ref="O35:O43" si="5">O34+(O34*0.0115)</f>
        <v>71.619257500000003</v>
      </c>
      <c r="P35" s="2"/>
      <c r="Q35" s="2">
        <f t="shared" ref="Q35:Q43" si="6">Q34+1</f>
        <v>72</v>
      </c>
      <c r="R35" s="2">
        <f t="shared" ref="R35:R43" ca="1" si="7">R34+(R34*0.0123)</f>
        <v>71.732590299999998</v>
      </c>
      <c r="S35" s="2"/>
      <c r="T35" s="2">
        <f t="shared" ref="T35:T43" si="8">T34+1</f>
        <v>72</v>
      </c>
      <c r="U35" s="2">
        <f t="shared" si="3"/>
        <v>71.285576434107142</v>
      </c>
      <c r="V35" s="2"/>
      <c r="W35" s="2">
        <f t="shared" ref="W35:W43" si="9">W34+1</f>
        <v>72</v>
      </c>
      <c r="X35" s="2">
        <f t="shared" ref="X35:X43" ca="1" si="10">X34+(X34*0.0099)</f>
        <v>71.3928607</v>
      </c>
      <c r="Y35" s="2"/>
      <c r="Z35" s="2">
        <f t="shared" ref="Z35:Z43" si="11">Z34+1</f>
        <v>72</v>
      </c>
      <c r="AA35">
        <f t="shared" ref="AA35:AA43" si="12">AA34+(AA34*0.02)</f>
        <v>72.828000000000003</v>
      </c>
    </row>
    <row r="36" spans="1:27" x14ac:dyDescent="0.3">
      <c r="A36" t="s">
        <v>8</v>
      </c>
      <c r="N36" s="2">
        <f t="shared" si="4"/>
        <v>73</v>
      </c>
      <c r="O36" s="2">
        <f t="shared" si="5"/>
        <v>72.442878961250003</v>
      </c>
      <c r="P36" s="2"/>
      <c r="Q36" s="2">
        <f t="shared" si="6"/>
        <v>73</v>
      </c>
      <c r="R36" s="2">
        <f t="shared" ca="1" si="7"/>
        <v>72.614901160689996</v>
      </c>
      <c r="S36" s="2"/>
      <c r="T36" s="2">
        <f t="shared" si="8"/>
        <v>73</v>
      </c>
      <c r="U36" s="2">
        <f t="shared" si="3"/>
        <v>71.677647104494724</v>
      </c>
      <c r="V36" s="2"/>
      <c r="W36" s="2">
        <f t="shared" si="9"/>
        <v>73</v>
      </c>
      <c r="X36" s="2">
        <f t="shared" ca="1" si="10"/>
        <v>72.09965002093</v>
      </c>
      <c r="Y36" s="2"/>
      <c r="Z36" s="2">
        <f t="shared" si="11"/>
        <v>73</v>
      </c>
      <c r="AA36">
        <f t="shared" si="12"/>
        <v>74.284559999999999</v>
      </c>
    </row>
    <row r="37" spans="1:27" x14ac:dyDescent="0.3">
      <c r="A37" s="1">
        <f ca="1">(B28/100*20)+(B29/100*20)+(B30/100*25)+(B31/100*20)+(B32/100*15)</f>
        <v>70.12696428571428</v>
      </c>
      <c r="N37" s="2">
        <f t="shared" si="4"/>
        <v>74</v>
      </c>
      <c r="O37" s="2">
        <f t="shared" si="5"/>
        <v>73.275972069304373</v>
      </c>
      <c r="P37" s="2"/>
      <c r="Q37" s="2">
        <f t="shared" si="6"/>
        <v>74</v>
      </c>
      <c r="R37" s="2">
        <f t="shared" ca="1" si="7"/>
        <v>73.508064444966479</v>
      </c>
      <c r="S37" s="2"/>
      <c r="T37" s="2">
        <f t="shared" si="8"/>
        <v>74</v>
      </c>
      <c r="U37" s="2">
        <f t="shared" si="3"/>
        <v>72.071874163569447</v>
      </c>
      <c r="V37" s="2"/>
      <c r="W37" s="2">
        <f t="shared" si="9"/>
        <v>74</v>
      </c>
      <c r="X37" s="2">
        <f t="shared" ca="1" si="10"/>
        <v>72.813436556137205</v>
      </c>
      <c r="Y37" s="2"/>
      <c r="Z37" s="2">
        <f t="shared" si="11"/>
        <v>74</v>
      </c>
      <c r="AA37">
        <f t="shared" si="12"/>
        <v>75.770251200000004</v>
      </c>
    </row>
    <row r="38" spans="1:27" x14ac:dyDescent="0.3">
      <c r="N38" s="2">
        <f t="shared" si="4"/>
        <v>75</v>
      </c>
      <c r="O38" s="2">
        <f t="shared" si="5"/>
        <v>74.118645748101372</v>
      </c>
      <c r="P38" s="2"/>
      <c r="Q38" s="2">
        <f t="shared" si="6"/>
        <v>75</v>
      </c>
      <c r="R38" s="2">
        <f t="shared" ca="1" si="7"/>
        <v>74.412213637639567</v>
      </c>
      <c r="S38" s="2"/>
      <c r="T38" s="2">
        <f t="shared" si="8"/>
        <v>75</v>
      </c>
      <c r="U38" s="2">
        <f t="shared" si="3"/>
        <v>72.468269471469085</v>
      </c>
      <c r="V38" s="2"/>
      <c r="W38" s="2">
        <f t="shared" si="9"/>
        <v>75</v>
      </c>
      <c r="X38" s="2">
        <f t="shared" ca="1" si="10"/>
        <v>73.534289578042959</v>
      </c>
      <c r="Y38" s="2"/>
      <c r="Z38" s="2">
        <f t="shared" si="11"/>
        <v>75</v>
      </c>
      <c r="AA38">
        <f t="shared" si="12"/>
        <v>77.285656224000007</v>
      </c>
    </row>
    <row r="39" spans="1:27" x14ac:dyDescent="0.3">
      <c r="N39" s="2">
        <f t="shared" si="4"/>
        <v>76</v>
      </c>
      <c r="O39" s="2">
        <f t="shared" si="5"/>
        <v>74.971010174204537</v>
      </c>
      <c r="P39" s="2"/>
      <c r="Q39" s="2">
        <f t="shared" si="6"/>
        <v>76</v>
      </c>
      <c r="R39" s="2">
        <f t="shared" ca="1" si="7"/>
        <v>75.327483865382533</v>
      </c>
      <c r="S39" s="2"/>
      <c r="T39" s="2">
        <f t="shared" si="8"/>
        <v>76</v>
      </c>
      <c r="U39" s="2">
        <f t="shared" si="3"/>
        <v>72.866844953562165</v>
      </c>
      <c r="V39" s="2"/>
      <c r="W39" s="2">
        <f t="shared" si="9"/>
        <v>76</v>
      </c>
      <c r="X39" s="2">
        <f t="shared" ca="1" si="10"/>
        <v>74.262279044865579</v>
      </c>
      <c r="Y39" s="2"/>
      <c r="Z39" s="2">
        <f t="shared" si="11"/>
        <v>76</v>
      </c>
      <c r="AA39">
        <f t="shared" si="12"/>
        <v>78.83136934848001</v>
      </c>
    </row>
    <row r="40" spans="1:27" x14ac:dyDescent="0.3">
      <c r="N40" s="2">
        <f t="shared" si="4"/>
        <v>77</v>
      </c>
      <c r="O40" s="2">
        <f t="shared" si="5"/>
        <v>75.83317679120789</v>
      </c>
      <c r="P40" s="2"/>
      <c r="Q40" s="2">
        <f t="shared" si="6"/>
        <v>77</v>
      </c>
      <c r="R40" s="2">
        <f t="shared" ca="1" si="7"/>
        <v>76.254011916926743</v>
      </c>
      <c r="S40" s="2"/>
      <c r="T40" s="2">
        <f t="shared" si="8"/>
        <v>77</v>
      </c>
      <c r="U40" s="2">
        <f t="shared" si="3"/>
        <v>73.267612600806757</v>
      </c>
      <c r="V40" s="2"/>
      <c r="W40" s="2">
        <f t="shared" si="9"/>
        <v>77</v>
      </c>
      <c r="X40" s="2">
        <f t="shared" ca="1" si="10"/>
        <v>74.997475607409754</v>
      </c>
      <c r="Y40" s="2"/>
      <c r="Z40" s="2">
        <f t="shared" si="11"/>
        <v>77</v>
      </c>
      <c r="AA40">
        <f t="shared" si="12"/>
        <v>80.407996735449615</v>
      </c>
    </row>
    <row r="41" spans="1:27" x14ac:dyDescent="0.3">
      <c r="N41" s="2">
        <f t="shared" si="4"/>
        <v>78</v>
      </c>
      <c r="O41" s="2">
        <f t="shared" si="5"/>
        <v>76.705258324306783</v>
      </c>
      <c r="P41" s="2"/>
      <c r="Q41" s="2">
        <f t="shared" si="6"/>
        <v>78</v>
      </c>
      <c r="R41" s="2">
        <f t="shared" ca="1" si="7"/>
        <v>77.191936263504942</v>
      </c>
      <c r="S41" s="2"/>
      <c r="T41" s="2">
        <f t="shared" si="8"/>
        <v>78</v>
      </c>
      <c r="U41" s="2">
        <f t="shared" si="3"/>
        <v>73.670584470111194</v>
      </c>
      <c r="V41" s="2"/>
      <c r="W41" s="2">
        <f t="shared" si="9"/>
        <v>78</v>
      </c>
      <c r="X41" s="2">
        <f t="shared" ca="1" si="10"/>
        <v>75.739950615923107</v>
      </c>
      <c r="Y41" s="2"/>
      <c r="Z41" s="2">
        <f t="shared" si="11"/>
        <v>78</v>
      </c>
      <c r="AA41">
        <f t="shared" si="12"/>
        <v>82.016156670158608</v>
      </c>
    </row>
    <row r="42" spans="1:27" x14ac:dyDescent="0.3">
      <c r="B42" t="s">
        <v>12</v>
      </c>
      <c r="C42" t="s">
        <v>0</v>
      </c>
      <c r="D42" t="s">
        <v>12</v>
      </c>
      <c r="E42" t="s">
        <v>1</v>
      </c>
      <c r="F42" t="s">
        <v>12</v>
      </c>
      <c r="G42" t="s">
        <v>2</v>
      </c>
      <c r="H42" t="s">
        <v>12</v>
      </c>
      <c r="I42" t="s">
        <v>3</v>
      </c>
      <c r="J42" t="s">
        <v>12</v>
      </c>
      <c r="K42" t="s">
        <v>4</v>
      </c>
      <c r="N42" s="2">
        <f t="shared" si="4"/>
        <v>79</v>
      </c>
      <c r="O42" s="2">
        <f t="shared" si="5"/>
        <v>77.587368795036312</v>
      </c>
      <c r="P42" s="2"/>
      <c r="Q42" s="2">
        <f t="shared" si="6"/>
        <v>79</v>
      </c>
      <c r="R42" s="2">
        <f t="shared" ca="1" si="7"/>
        <v>78.141397079546053</v>
      </c>
      <c r="S42" s="2"/>
      <c r="T42" s="2">
        <f t="shared" si="8"/>
        <v>79</v>
      </c>
      <c r="U42" s="2">
        <f t="shared" si="3"/>
        <v>74.075772684696801</v>
      </c>
      <c r="V42" s="2"/>
      <c r="W42" s="2">
        <f t="shared" si="9"/>
        <v>79</v>
      </c>
      <c r="X42" s="2">
        <f t="shared" ca="1" si="10"/>
        <v>76.489776127020747</v>
      </c>
      <c r="Y42" s="2"/>
      <c r="Z42" s="2">
        <f t="shared" si="11"/>
        <v>79</v>
      </c>
      <c r="AA42">
        <f t="shared" si="12"/>
        <v>83.65647980356178</v>
      </c>
    </row>
    <row r="43" spans="1:27" x14ac:dyDescent="0.3">
      <c r="B43">
        <f>B27</f>
        <v>70</v>
      </c>
      <c r="C43">
        <f>B28</f>
        <v>70</v>
      </c>
      <c r="D43">
        <f>B43</f>
        <v>70</v>
      </c>
      <c r="E43">
        <f ca="1">B29</f>
        <v>70</v>
      </c>
      <c r="F43">
        <f>B27</f>
        <v>70</v>
      </c>
      <c r="G43">
        <f>B30</f>
        <v>70.507857142857148</v>
      </c>
      <c r="H43">
        <f>B27</f>
        <v>70</v>
      </c>
      <c r="I43">
        <f ca="1">B31</f>
        <v>70</v>
      </c>
      <c r="J43">
        <f>B27</f>
        <v>70</v>
      </c>
      <c r="K43">
        <f>B32</f>
        <v>70</v>
      </c>
      <c r="N43" s="2">
        <f t="shared" si="4"/>
        <v>80</v>
      </c>
      <c r="O43" s="2">
        <f t="shared" si="5"/>
        <v>78.479623536179233</v>
      </c>
      <c r="P43" s="2"/>
      <c r="Q43" s="2">
        <f t="shared" si="6"/>
        <v>80</v>
      </c>
      <c r="R43" s="2">
        <f t="shared" ca="1" si="7"/>
        <v>79.102536263624472</v>
      </c>
      <c r="S43" s="2"/>
      <c r="T43" s="2">
        <f t="shared" si="8"/>
        <v>80</v>
      </c>
      <c r="U43" s="2">
        <f t="shared" si="3"/>
        <v>74.483189434462631</v>
      </c>
      <c r="V43" s="2"/>
      <c r="W43" s="2">
        <f t="shared" si="9"/>
        <v>80</v>
      </c>
      <c r="X43" s="2">
        <f t="shared" ca="1" si="10"/>
        <v>77.247024910678249</v>
      </c>
      <c r="Y43" s="2"/>
      <c r="Z43" s="2">
        <f t="shared" si="11"/>
        <v>80</v>
      </c>
      <c r="AA43">
        <f t="shared" si="12"/>
        <v>85.329609399633014</v>
      </c>
    </row>
    <row r="44" spans="1:27" x14ac:dyDescent="0.3">
      <c r="B44">
        <f>C27</f>
        <v>80</v>
      </c>
      <c r="C44">
        <f>C28</f>
        <v>78.05</v>
      </c>
      <c r="D44">
        <f>B44</f>
        <v>80</v>
      </c>
      <c r="E44">
        <f ca="1">C29</f>
        <v>78.61</v>
      </c>
      <c r="F44">
        <f>C27</f>
        <v>80</v>
      </c>
      <c r="G44">
        <f>C30</f>
        <v>74.385789285714296</v>
      </c>
      <c r="H44">
        <f>C27</f>
        <v>80</v>
      </c>
      <c r="I44">
        <f ca="1">C31</f>
        <v>76.930000000000007</v>
      </c>
      <c r="J44">
        <f>C27</f>
        <v>80</v>
      </c>
      <c r="K44">
        <f>C32</f>
        <v>84</v>
      </c>
    </row>
    <row r="45" spans="1:27" x14ac:dyDescent="0.3">
      <c r="B45">
        <f>D27</f>
        <v>90</v>
      </c>
      <c r="C45">
        <f>D28</f>
        <v>103.18209999999999</v>
      </c>
      <c r="D45">
        <f>D27</f>
        <v>90</v>
      </c>
      <c r="E45">
        <f ca="1">D29</f>
        <v>102.82187999999999</v>
      </c>
      <c r="F45">
        <f>D27</f>
        <v>90</v>
      </c>
      <c r="G45">
        <f>D30</f>
        <v>82.568226107142863</v>
      </c>
      <c r="H45">
        <f>D27</f>
        <v>90</v>
      </c>
      <c r="I45">
        <f ca="1">D31</f>
        <v>92.162140000000008</v>
      </c>
      <c r="J45">
        <f>D27</f>
        <v>90</v>
      </c>
      <c r="K45">
        <f>D32</f>
        <v>134.4</v>
      </c>
    </row>
    <row r="46" spans="1:27" x14ac:dyDescent="0.3">
      <c r="B46">
        <f>E27</f>
        <v>100</v>
      </c>
      <c r="C46">
        <f>E28</f>
        <v>136.40673619999998</v>
      </c>
      <c r="D46">
        <f>E27</f>
        <v>100</v>
      </c>
      <c r="E46">
        <f ca="1">E29</f>
        <v>134.49101904</v>
      </c>
      <c r="F46">
        <f>E27</f>
        <v>100</v>
      </c>
      <c r="G46">
        <f>E30</f>
        <v>91.650730978928578</v>
      </c>
      <c r="H46">
        <f>E27</f>
        <v>100</v>
      </c>
      <c r="I46">
        <f ca="1">E31</f>
        <v>110.41024372000001</v>
      </c>
      <c r="J46">
        <f>E27</f>
        <v>100</v>
      </c>
      <c r="K46">
        <f>E32</f>
        <v>215.04000000000002</v>
      </c>
    </row>
    <row r="47" spans="1:27" x14ac:dyDescent="0.3">
      <c r="B47">
        <f>F27</f>
        <v>110</v>
      </c>
      <c r="C47">
        <f>F28</f>
        <v>180.32970525639999</v>
      </c>
      <c r="D47">
        <f>F27</f>
        <v>110</v>
      </c>
      <c r="E47">
        <f ca="1">F29</f>
        <v>175.91425290431999</v>
      </c>
      <c r="F47">
        <f>F27</f>
        <v>110</v>
      </c>
      <c r="G47">
        <f ca="1">F31</f>
        <v>132.27147197656001</v>
      </c>
      <c r="H47">
        <f>F27</f>
        <v>110</v>
      </c>
      <c r="I47">
        <f ca="1">F31</f>
        <v>132.27147197656001</v>
      </c>
      <c r="J47">
        <f>F27</f>
        <v>110</v>
      </c>
      <c r="K47">
        <f>F32</f>
        <v>344.06400000000008</v>
      </c>
    </row>
  </sheetData>
  <mergeCells count="2">
    <mergeCell ref="A23:F23"/>
    <mergeCell ref="N31:AA3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9FA7-6011-462E-B7A3-FD4563964829}">
  <dimension ref="A1:AA47"/>
  <sheetViews>
    <sheetView topLeftCell="C12" zoomScale="75" zoomScaleNormal="75" workbookViewId="0">
      <selection activeCell="U33" sqref="U33:U4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20.399999999999999</v>
      </c>
      <c r="D2">
        <f t="shared" ref="D2:M2" si="0">C2-(C2/100*D1)</f>
        <v>20.195999999999998</v>
      </c>
      <c r="E2">
        <f t="shared" si="0"/>
        <v>19.792079999999999</v>
      </c>
      <c r="F2">
        <f t="shared" si="0"/>
        <v>19.198317599999999</v>
      </c>
      <c r="G2">
        <f t="shared" si="0"/>
        <v>18.430384896</v>
      </c>
      <c r="H2">
        <f t="shared" si="0"/>
        <v>17.508865651200001</v>
      </c>
      <c r="I2">
        <f t="shared" si="0"/>
        <v>16.458333712128002</v>
      </c>
      <c r="J2">
        <f t="shared" si="0"/>
        <v>15.306250352279042</v>
      </c>
      <c r="K2">
        <f t="shared" si="0"/>
        <v>14.081750324096719</v>
      </c>
      <c r="L2">
        <f t="shared" si="0"/>
        <v>12.814392794928015</v>
      </c>
      <c r="M2">
        <f t="shared" si="0"/>
        <v>11.532953515435214</v>
      </c>
      <c r="N2" s="8"/>
      <c r="O2" s="21"/>
      <c r="Q2" s="3" t="s">
        <v>0</v>
      </c>
      <c r="R2" s="16">
        <f>B27+ ((1 -((C2 / 20.4) * 0.7 )-((C3 / 100) * 0.3 )) * 100)</f>
        <v>70</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70</v>
      </c>
      <c r="T3" s="23" t="s">
        <v>8</v>
      </c>
    </row>
    <row r="4" spans="1:20" ht="18" customHeight="1" x14ac:dyDescent="0.3">
      <c r="A4" s="4" t="s">
        <v>17</v>
      </c>
      <c r="B4" s="4" t="s">
        <v>18</v>
      </c>
      <c r="C4" s="10">
        <v>21</v>
      </c>
      <c r="D4">
        <f>C4-(C4/100*D1)</f>
        <v>20.79</v>
      </c>
      <c r="E4">
        <f t="shared" ref="E4:M4" si="2">D4-(D4/100*E1)</f>
        <v>20.374199999999998</v>
      </c>
      <c r="F4">
        <f t="shared" si="2"/>
        <v>19.762974</v>
      </c>
      <c r="G4">
        <f t="shared" si="2"/>
        <v>18.97245504</v>
      </c>
      <c r="H4">
        <f t="shared" si="2"/>
        <v>18.023832288000001</v>
      </c>
      <c r="I4">
        <f t="shared" si="2"/>
        <v>16.942402350720002</v>
      </c>
      <c r="J4">
        <f t="shared" si="2"/>
        <v>15.756434186169601</v>
      </c>
      <c r="K4">
        <f t="shared" si="2"/>
        <v>14.495919451276032</v>
      </c>
      <c r="L4">
        <f t="shared" si="2"/>
        <v>13.191286700661189</v>
      </c>
      <c r="M4">
        <f t="shared" si="2"/>
        <v>11.87215803059507</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70</v>
      </c>
      <c r="Q4" s="5" t="s">
        <v>2</v>
      </c>
      <c r="R4" s="5">
        <f>B27 - 9*R11</f>
        <v>70.11571428571429</v>
      </c>
      <c r="T4" s="1">
        <f ca="1">(R2/100*20)+(R3/100*20)+(R4/100*25)+(R5/100*20)+(R6/100*15)</f>
        <v>70.028928571428565</v>
      </c>
    </row>
    <row r="5" spans="1:20" x14ac:dyDescent="0.3">
      <c r="A5" s="4" t="s">
        <v>17</v>
      </c>
      <c r="B5" s="4" t="s">
        <v>19</v>
      </c>
      <c r="C5" s="10">
        <v>1.8</v>
      </c>
      <c r="L5" s="8"/>
      <c r="M5" s="8">
        <f>C5-(C5/100*12)</f>
        <v>1.5840000000000001</v>
      </c>
      <c r="N5" s="8"/>
      <c r="O5" s="18">
        <f ca="1">FORECAST(C5, OFFSET(Strength_Normative_Data!$O$3, MATCH(C5, Strength_Normative_Data!$Q$3:$Q$17, -1)-1, 0, 2), OFFSET(Strength_Normative_Data!$Q$3, MATCH(C5, Strength_Normative_Data!$Q$3:$Q$17, -1)-1, 0, 2))</f>
        <v>70</v>
      </c>
      <c r="Q5" s="6" t="s">
        <v>29</v>
      </c>
      <c r="R5" s="6">
        <f ca="1">((O14/100*30)+(O15/100*25)+(O16/100*30)+(O17/100*15))</f>
        <v>70</v>
      </c>
    </row>
    <row r="6" spans="1:20" x14ac:dyDescent="0.3">
      <c r="A6" s="4" t="s">
        <v>17</v>
      </c>
      <c r="B6" s="4" t="s">
        <v>20</v>
      </c>
      <c r="C6" s="10">
        <v>14</v>
      </c>
      <c r="L6" s="8"/>
      <c r="M6" s="8">
        <f>C6-(C6/100*12)</f>
        <v>12.32</v>
      </c>
      <c r="N6" s="8"/>
      <c r="O6" s="18">
        <f ca="1">FORECAST(C6, OFFSET(Strength_Normative_Data!$J$3, MATCH(C6, Strength_Normative_Data!$L$3:$L$16, -1)-1, 0, 2), OFFSET(Strength_Normative_Data!$L$3, MATCH(C6, Strength_Normative_Data!$L$3:$L$16, -1)-1, 0, 2))</f>
        <v>70</v>
      </c>
      <c r="Q6" s="7" t="s">
        <v>4</v>
      </c>
      <c r="R6" s="7">
        <f>((O18/100*60)+(O19/100*40))</f>
        <v>70</v>
      </c>
    </row>
    <row r="7" spans="1:20" x14ac:dyDescent="0.3">
      <c r="A7" s="5" t="s">
        <v>21</v>
      </c>
      <c r="B7" s="5" t="s">
        <v>22</v>
      </c>
      <c r="C7" s="11">
        <v>38</v>
      </c>
      <c r="L7" s="8"/>
      <c r="M7" s="8">
        <f>C7+(C7/100*6)</f>
        <v>40.28</v>
      </c>
      <c r="N7" s="8"/>
      <c r="O7" s="22"/>
    </row>
    <row r="8" spans="1:20" x14ac:dyDescent="0.3">
      <c r="A8" s="5" t="s">
        <v>21</v>
      </c>
      <c r="B8" s="5" t="s">
        <v>23</v>
      </c>
      <c r="C8" s="11">
        <v>0.55000000000000004</v>
      </c>
      <c r="L8" s="8"/>
      <c r="M8" s="8">
        <f>C8+(C8/100*4)</f>
        <v>0.57200000000000006</v>
      </c>
      <c r="N8" s="8"/>
      <c r="O8" s="22">
        <f xml:space="preserve">
IF(C8&lt;=0.4,0,
IF(C8&lt;=0.5,20*(C8-0.4)/0.1,
IF(C8&lt;=0.6,20+40*(C8-0.5)/0.1,
60+40*(MIN(C8,0.75)-0.6)/0.15)))</f>
        <v>40.000000000000014</v>
      </c>
    </row>
    <row r="9" spans="1:20" x14ac:dyDescent="0.3">
      <c r="A9" s="5" t="s">
        <v>21</v>
      </c>
      <c r="B9" s="5" t="s">
        <v>24</v>
      </c>
      <c r="C9" s="11">
        <v>5.5</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2.6</v>
      </c>
      <c r="L11" s="8"/>
      <c r="M11" s="8">
        <f>C11+(C11/100*14)</f>
        <v>2.964</v>
      </c>
      <c r="N11" s="8"/>
      <c r="O11" s="5">
        <f xml:space="preserve">
IF(C11&lt;1.6,10*(C11/1.6),
IF(C11&lt;3,10+40*(C11-1.6)/1.4,
50+50*(MIN(C11,7)-3)/4))</f>
        <v>38.571428571428569</v>
      </c>
      <c r="Q11">
        <f>(0.3*P12)+(0.2*O8)+(0.15*O10)+(0.25*O11)+(0.1*O13)</f>
        <v>35.642857142857139</v>
      </c>
      <c r="R11">
        <f xml:space="preserve">
IF(Q11&lt;=10,1.5-0.1*Q11,
IF(Q11&lt;=60,0.5-0.02*(Q11-10),
-0.5-0.03*(Q11-60)))</f>
        <v>-1.2857142857142789E-2</v>
      </c>
    </row>
    <row r="12" spans="1:20" x14ac:dyDescent="0.3">
      <c r="A12" s="5" t="s">
        <v>21</v>
      </c>
      <c r="B12" s="5" t="s">
        <v>27</v>
      </c>
      <c r="C12" s="11">
        <v>1.05</v>
      </c>
      <c r="L12" s="8"/>
      <c r="M12" s="8">
        <f>C12+(C12/100*6)</f>
        <v>1.113</v>
      </c>
      <c r="N12" s="8"/>
      <c r="O12" s="5">
        <f>C12*100</f>
        <v>105</v>
      </c>
      <c r="P12" s="5">
        <f xml:space="preserve">
IF(O12&lt;80,5*(O12/80),
IF(O12&lt;100,10+20*(O12-80)/20,
IF(O12&lt;130,30+25*(O12-100)/30,
IF(O12&lt;160,55+25*(O12-130)/30,
IF(O12&lt;200,80+20*(O12-160)/40,100)))))</f>
        <v>34.166666666666664</v>
      </c>
    </row>
    <row r="13" spans="1:20" x14ac:dyDescent="0.3">
      <c r="A13" s="5" t="s">
        <v>21</v>
      </c>
      <c r="B13" s="5" t="s">
        <v>28</v>
      </c>
      <c r="C13" s="11">
        <v>2.5</v>
      </c>
      <c r="L13" s="8"/>
      <c r="M13" s="8">
        <f>C13+(C13/100*18)</f>
        <v>2.95</v>
      </c>
      <c r="N13" s="8"/>
      <c r="O13" s="5">
        <f xml:space="preserve">
IF(C13&lt;1,10*(C13/1),
IF(C13&lt;3,10+40*(C13-1)/2,
50+50*(MIN(C13,10)-3)/7))</f>
        <v>40</v>
      </c>
    </row>
    <row r="14" spans="1:20" x14ac:dyDescent="0.3">
      <c r="A14" s="6" t="s">
        <v>29</v>
      </c>
      <c r="B14" s="6" t="s">
        <v>30</v>
      </c>
      <c r="C14" s="12">
        <v>1.1299999999999999</v>
      </c>
      <c r="L14" s="8"/>
      <c r="M14" s="8">
        <f>C14+(C14/100*6)</f>
        <v>1.1978</v>
      </c>
      <c r="N14" s="8"/>
      <c r="O14" s="12">
        <f ca="1">IFERROR(FORECAST(C14, OFFSET(Mobility_Normative_Data!$A$3, MATCH(C14, Mobility_Normative_Data!$C$3:$C$17, -1)-1, 0, 2), OFFSET(Mobility_Normative_Data!$C$3, MATCH(C14, Mobility_Normative_Data!$C$3:$C$17, -1)-1, 0, 2)), INDEX(Mobility_Normative_Data!$A$3:$A$17, MATCH(C14, Mobility_Normative_Data!$C$3:$C$17, -1)))</f>
        <v>70</v>
      </c>
    </row>
    <row r="15" spans="1:20" x14ac:dyDescent="0.3">
      <c r="A15" s="6" t="s">
        <v>29</v>
      </c>
      <c r="B15" s="6" t="s">
        <v>31</v>
      </c>
      <c r="C15" s="12">
        <v>9.5</v>
      </c>
      <c r="L15" s="8"/>
      <c r="M15" s="8">
        <f>C15+(C15/100*10)</f>
        <v>10.45</v>
      </c>
      <c r="N15" s="8"/>
      <c r="O15" s="12">
        <f ca="1">FORECAST(C15, OFFSET(Mobility_Normative_Data!$E$3, MATCH(C15, Mobility_Normative_Data!$G$3:$G$18, 1)-1, 0, 2), OFFSET(Mobility_Normative_Data!$G$3, MATCH(C15, Mobility_Normative_Data!$G$3:$G$18, 1)-1, 0, 2))</f>
        <v>70</v>
      </c>
    </row>
    <row r="16" spans="1:20" x14ac:dyDescent="0.3">
      <c r="A16" s="6" t="s">
        <v>29</v>
      </c>
      <c r="B16" s="6" t="s">
        <v>32</v>
      </c>
      <c r="C16" s="12">
        <v>16</v>
      </c>
      <c r="L16" s="8"/>
      <c r="M16" s="8">
        <f>C16+(C16/100*20)</f>
        <v>19.2</v>
      </c>
      <c r="N16" s="8"/>
      <c r="O16" s="12">
        <f ca="1">FORECAST(C16, OFFSET(Mobility_Normative_Data!$I$3, MATCH(C16, Mobility_Normative_Data!$K$3:$K$17, -1)-1, 0, 2), OFFSET(Mobility_Normative_Data!$K$3, MATCH(C16, Mobility_Normative_Data!$K$3:$K$17, -1)-1, 0, 2))</f>
        <v>70</v>
      </c>
    </row>
    <row r="17" spans="1:27" x14ac:dyDescent="0.3">
      <c r="A17" s="6" t="s">
        <v>29</v>
      </c>
      <c r="B17" s="6" t="s">
        <v>33</v>
      </c>
      <c r="C17" s="12">
        <v>29</v>
      </c>
      <c r="L17" s="8"/>
      <c r="M17" s="8">
        <f>C17+(C17/100*10)</f>
        <v>31.9</v>
      </c>
      <c r="N17" s="8"/>
      <c r="O17" s="12">
        <f ca="1">FORECAST(C17, OFFSET(Mobility_Normative_Data!$M$3, MATCH(C17, Mobility_Normative_Data!$O$3:$O$17, -1)-1, 0, 2), OFFSET(Mobility_Normative_Data!$O$3, MATCH(C17, Mobility_Normative_Data!$O$3:$O$17, -1)-1, 0, 2))</f>
        <v>70.000000000000014</v>
      </c>
    </row>
    <row r="18" spans="1:27" x14ac:dyDescent="0.3">
      <c r="A18" s="7" t="s">
        <v>34</v>
      </c>
      <c r="B18" s="7" t="s">
        <v>35</v>
      </c>
      <c r="C18" s="13">
        <v>0</v>
      </c>
      <c r="L18" s="8"/>
      <c r="M18" s="8">
        <f>C18 +(-0.2)</f>
        <v>-0.2</v>
      </c>
      <c r="N18" s="8"/>
      <c r="O18" s="20">
        <f>MAX(18,B27-(C18*25))</f>
        <v>70</v>
      </c>
    </row>
    <row r="19" spans="1:27" x14ac:dyDescent="0.3">
      <c r="A19" s="7" t="s">
        <v>34</v>
      </c>
      <c r="B19" s="7" t="s">
        <v>36</v>
      </c>
      <c r="C19" s="13">
        <v>0</v>
      </c>
      <c r="L19" s="8"/>
      <c r="M19" s="8">
        <f>C19+(-0.2)</f>
        <v>-0.2</v>
      </c>
      <c r="N19" s="8"/>
      <c r="O19" s="20">
        <f>MAX(18,B27-(J1925))</f>
        <v>70</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70</v>
      </c>
      <c r="C27">
        <f>B27+10</f>
        <v>80</v>
      </c>
      <c r="D27">
        <f>C27+10</f>
        <v>90</v>
      </c>
      <c r="E27">
        <f>D27+10</f>
        <v>100</v>
      </c>
      <c r="F27">
        <f>E27+10</f>
        <v>110</v>
      </c>
    </row>
    <row r="28" spans="1:27" x14ac:dyDescent="0.3">
      <c r="A28" t="s">
        <v>0</v>
      </c>
      <c r="B28" s="24">
        <f>R2</f>
        <v>70</v>
      </c>
      <c r="C28">
        <f>B28+(B28/100*11.5)</f>
        <v>78.05</v>
      </c>
      <c r="D28">
        <f>C28+(C28/100*32.2)</f>
        <v>103.18209999999999</v>
      </c>
      <c r="E28">
        <f>D28+(D28/100*32.2)</f>
        <v>136.40673619999998</v>
      </c>
      <c r="F28">
        <f>E28+(E28/100*32.2)</f>
        <v>180.32970525639999</v>
      </c>
    </row>
    <row r="29" spans="1:27" x14ac:dyDescent="0.3">
      <c r="A29" t="s">
        <v>1</v>
      </c>
      <c r="B29">
        <f ca="1">R3</f>
        <v>70</v>
      </c>
      <c r="C29">
        <f ca="1">B29+(B29/100*12.3)</f>
        <v>78.61</v>
      </c>
      <c r="D29">
        <f ca="1">C29+(C29/100*30.8)</f>
        <v>102.82187999999999</v>
      </c>
      <c r="E29">
        <f ca="1">D29+(D29/100*30.8)</f>
        <v>134.49101904</v>
      </c>
      <c r="F29">
        <f ca="1">E29+(E29/100*30.8)</f>
        <v>175.91425290431999</v>
      </c>
    </row>
    <row r="30" spans="1:27" x14ac:dyDescent="0.3">
      <c r="A30" t="s">
        <v>2</v>
      </c>
      <c r="B30">
        <f>R4</f>
        <v>70.11571428571429</v>
      </c>
      <c r="C30">
        <f>B30+(B30/100*5.5)</f>
        <v>73.972078571428582</v>
      </c>
      <c r="D30">
        <f>C30+(C30/100*11)</f>
        <v>82.109007214285725</v>
      </c>
      <c r="E30">
        <f>D30+(D30/100*11)</f>
        <v>91.140998007857149</v>
      </c>
      <c r="F30">
        <f>E30+(E30/100*11)</f>
        <v>101.16650778872143</v>
      </c>
    </row>
    <row r="31" spans="1:27" x14ac:dyDescent="0.3">
      <c r="A31" t="s">
        <v>3</v>
      </c>
      <c r="B31">
        <f ca="1">R5</f>
        <v>70</v>
      </c>
      <c r="C31">
        <f ca="1">B31+(B31/100*9.9)</f>
        <v>76.930000000000007</v>
      </c>
      <c r="D31">
        <f ca="1">C31+(C31/100*19.8)</f>
        <v>92.162140000000008</v>
      </c>
      <c r="E31">
        <f ca="1">D31+(D31/100*19.8)</f>
        <v>110.41024372000001</v>
      </c>
      <c r="F31">
        <f ca="1">E31+(E31/100*19.8)</f>
        <v>132.27147197656001</v>
      </c>
      <c r="N31" s="46" t="s">
        <v>104</v>
      </c>
      <c r="O31" s="46"/>
      <c r="P31" s="46"/>
      <c r="Q31" s="46"/>
      <c r="R31" s="46"/>
      <c r="S31" s="46"/>
      <c r="T31" s="46"/>
      <c r="U31" s="46"/>
      <c r="V31" s="46"/>
      <c r="W31" s="46"/>
      <c r="X31" s="46"/>
      <c r="Y31" s="46"/>
      <c r="Z31" s="46"/>
      <c r="AA31" s="46"/>
    </row>
    <row r="32" spans="1:27" ht="100.8" x14ac:dyDescent="0.3">
      <c r="A32" t="s">
        <v>4</v>
      </c>
      <c r="B32">
        <f>R6</f>
        <v>70</v>
      </c>
      <c r="C32">
        <f>B32+(B32/100*20)</f>
        <v>84</v>
      </c>
      <c r="D32">
        <f>C32+(C32/100*60)</f>
        <v>134.4</v>
      </c>
      <c r="E32">
        <f>D32+(D32/100*60)</f>
        <v>215.04000000000002</v>
      </c>
      <c r="F32">
        <f>E32+(E32/100*60)</f>
        <v>344.06400000000008</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70</v>
      </c>
      <c r="O33" s="27">
        <f>R2</f>
        <v>70</v>
      </c>
      <c r="P33" s="2"/>
      <c r="Q33" s="2">
        <f>N33</f>
        <v>70</v>
      </c>
      <c r="R33" s="2">
        <f ca="1">R3</f>
        <v>70</v>
      </c>
      <c r="S33" s="2"/>
      <c r="T33" s="2">
        <f>N33</f>
        <v>70</v>
      </c>
      <c r="U33" s="2">
        <f>R4</f>
        <v>70.11571428571429</v>
      </c>
      <c r="V33" s="2"/>
      <c r="W33" s="2">
        <f>N33</f>
        <v>70</v>
      </c>
      <c r="X33" s="2">
        <f ca="1">R5</f>
        <v>70</v>
      </c>
      <c r="Y33" s="2"/>
      <c r="Z33" s="2">
        <f>N33</f>
        <v>70</v>
      </c>
      <c r="AA33">
        <f>R6</f>
        <v>70</v>
      </c>
    </row>
    <row r="34" spans="1:27" x14ac:dyDescent="0.3">
      <c r="N34" s="2">
        <f>N33+1</f>
        <v>71</v>
      </c>
      <c r="O34" s="2">
        <f>O33+(O33*0.0115)</f>
        <v>70.805000000000007</v>
      </c>
      <c r="P34" s="2"/>
      <c r="Q34" s="2">
        <f>Q33+1</f>
        <v>71</v>
      </c>
      <c r="R34" s="2">
        <f ca="1">R33+(R33*0.0123)</f>
        <v>70.861000000000004</v>
      </c>
      <c r="S34" s="2"/>
      <c r="T34" s="2">
        <f>T33+1</f>
        <v>71</v>
      </c>
      <c r="U34" s="2">
        <f t="shared" ref="U34:U43" si="3">U33+(U33*0.0055)</f>
        <v>70.501350714285721</v>
      </c>
      <c r="V34" s="2"/>
      <c r="W34" s="2">
        <f>W33+1</f>
        <v>71</v>
      </c>
      <c r="X34" s="2">
        <f ca="1">X33+(X33*0.0099)</f>
        <v>70.692999999999998</v>
      </c>
      <c r="Y34" s="2"/>
      <c r="Z34" s="2">
        <f>Z33+1</f>
        <v>71</v>
      </c>
      <c r="AA34">
        <f>AA33+(AA33*0.02)</f>
        <v>71.400000000000006</v>
      </c>
    </row>
    <row r="35" spans="1:27" x14ac:dyDescent="0.3">
      <c r="N35" s="2">
        <f t="shared" ref="N35:N43" si="4">N34+1</f>
        <v>72</v>
      </c>
      <c r="O35" s="2">
        <f t="shared" ref="O35:O43" si="5">O34+(O34*0.0115)</f>
        <v>71.619257500000003</v>
      </c>
      <c r="P35" s="2"/>
      <c r="Q35" s="2">
        <f t="shared" ref="Q35:Q43" si="6">Q34+1</f>
        <v>72</v>
      </c>
      <c r="R35" s="2">
        <f t="shared" ref="R35:R43" ca="1" si="7">R34+(R34*0.0123)</f>
        <v>71.732590299999998</v>
      </c>
      <c r="S35" s="2"/>
      <c r="T35" s="2">
        <f t="shared" ref="T35:T43" si="8">T34+1</f>
        <v>72</v>
      </c>
      <c r="U35" s="2">
        <f t="shared" si="3"/>
        <v>70.889108143214287</v>
      </c>
      <c r="V35" s="2"/>
      <c r="W35" s="2">
        <f t="shared" ref="W35:W43" si="9">W34+1</f>
        <v>72</v>
      </c>
      <c r="X35" s="2">
        <f t="shared" ref="X35:X43" ca="1" si="10">X34+(X34*0.0099)</f>
        <v>71.3928607</v>
      </c>
      <c r="Y35" s="2"/>
      <c r="Z35" s="2">
        <f t="shared" ref="Z35:Z43" si="11">Z34+1</f>
        <v>72</v>
      </c>
      <c r="AA35">
        <f t="shared" ref="AA35:AA43" si="12">AA34+(AA34*0.02)</f>
        <v>72.828000000000003</v>
      </c>
    </row>
    <row r="36" spans="1:27" x14ac:dyDescent="0.3">
      <c r="A36" t="s">
        <v>8</v>
      </c>
      <c r="N36" s="2">
        <f t="shared" si="4"/>
        <v>73</v>
      </c>
      <c r="O36" s="2">
        <f t="shared" si="5"/>
        <v>72.442878961250003</v>
      </c>
      <c r="P36" s="2"/>
      <c r="Q36" s="2">
        <f t="shared" si="6"/>
        <v>73</v>
      </c>
      <c r="R36" s="2">
        <f t="shared" ca="1" si="7"/>
        <v>72.614901160689996</v>
      </c>
      <c r="S36" s="2"/>
      <c r="T36" s="2">
        <f t="shared" si="8"/>
        <v>73</v>
      </c>
      <c r="U36" s="2">
        <f t="shared" si="3"/>
        <v>71.278998238001961</v>
      </c>
      <c r="V36" s="2"/>
      <c r="W36" s="2">
        <f t="shared" si="9"/>
        <v>73</v>
      </c>
      <c r="X36" s="2">
        <f t="shared" ca="1" si="10"/>
        <v>72.09965002093</v>
      </c>
      <c r="Y36" s="2"/>
      <c r="Z36" s="2">
        <f t="shared" si="11"/>
        <v>73</v>
      </c>
      <c r="AA36">
        <f t="shared" si="12"/>
        <v>74.284559999999999</v>
      </c>
    </row>
    <row r="37" spans="1:27" x14ac:dyDescent="0.3">
      <c r="A37" s="1">
        <f ca="1">(B28/100*20)+(B29/100*20)+(B30/100*25)+(B31/100*20)+(B32/100*15)</f>
        <v>70.028928571428565</v>
      </c>
      <c r="N37" s="2">
        <f t="shared" si="4"/>
        <v>74</v>
      </c>
      <c r="O37" s="2">
        <f t="shared" si="5"/>
        <v>73.275972069304373</v>
      </c>
      <c r="P37" s="2"/>
      <c r="Q37" s="2">
        <f t="shared" si="6"/>
        <v>74</v>
      </c>
      <c r="R37" s="2">
        <f t="shared" ca="1" si="7"/>
        <v>73.508064444966479</v>
      </c>
      <c r="S37" s="2"/>
      <c r="T37" s="2">
        <f t="shared" si="8"/>
        <v>74</v>
      </c>
      <c r="U37" s="2">
        <f t="shared" si="3"/>
        <v>71.671032728310976</v>
      </c>
      <c r="V37" s="2"/>
      <c r="W37" s="2">
        <f t="shared" si="9"/>
        <v>74</v>
      </c>
      <c r="X37" s="2">
        <f t="shared" ca="1" si="10"/>
        <v>72.813436556137205</v>
      </c>
      <c r="Y37" s="2"/>
      <c r="Z37" s="2">
        <f t="shared" si="11"/>
        <v>74</v>
      </c>
      <c r="AA37">
        <f t="shared" si="12"/>
        <v>75.770251200000004</v>
      </c>
    </row>
    <row r="38" spans="1:27" x14ac:dyDescent="0.3">
      <c r="N38" s="2">
        <f t="shared" si="4"/>
        <v>75</v>
      </c>
      <c r="O38" s="2">
        <f t="shared" si="5"/>
        <v>74.118645748101372</v>
      </c>
      <c r="P38" s="2"/>
      <c r="Q38" s="2">
        <f t="shared" si="6"/>
        <v>75</v>
      </c>
      <c r="R38" s="2">
        <f t="shared" ca="1" si="7"/>
        <v>74.412213637639567</v>
      </c>
      <c r="S38" s="2"/>
      <c r="T38" s="2">
        <f t="shared" si="8"/>
        <v>75</v>
      </c>
      <c r="U38" s="2">
        <f t="shared" si="3"/>
        <v>72.065223408316683</v>
      </c>
      <c r="V38" s="2"/>
      <c r="W38" s="2">
        <f t="shared" si="9"/>
        <v>75</v>
      </c>
      <c r="X38" s="2">
        <f t="shared" ca="1" si="10"/>
        <v>73.534289578042959</v>
      </c>
      <c r="Y38" s="2"/>
      <c r="Z38" s="2">
        <f t="shared" si="11"/>
        <v>75</v>
      </c>
      <c r="AA38">
        <f t="shared" si="12"/>
        <v>77.285656224000007</v>
      </c>
    </row>
    <row r="39" spans="1:27" x14ac:dyDescent="0.3">
      <c r="N39" s="2">
        <f t="shared" si="4"/>
        <v>76</v>
      </c>
      <c r="O39" s="2">
        <f t="shared" si="5"/>
        <v>74.971010174204537</v>
      </c>
      <c r="P39" s="2"/>
      <c r="Q39" s="2">
        <f t="shared" si="6"/>
        <v>76</v>
      </c>
      <c r="R39" s="2">
        <f t="shared" ca="1" si="7"/>
        <v>75.327483865382533</v>
      </c>
      <c r="S39" s="2"/>
      <c r="T39" s="2">
        <f t="shared" si="8"/>
        <v>76</v>
      </c>
      <c r="U39" s="2">
        <f t="shared" si="3"/>
        <v>72.461582137062422</v>
      </c>
      <c r="V39" s="2"/>
      <c r="W39" s="2">
        <f t="shared" si="9"/>
        <v>76</v>
      </c>
      <c r="X39" s="2">
        <f t="shared" ca="1" si="10"/>
        <v>74.262279044865579</v>
      </c>
      <c r="Y39" s="2"/>
      <c r="Z39" s="2">
        <f t="shared" si="11"/>
        <v>76</v>
      </c>
      <c r="AA39">
        <f t="shared" si="12"/>
        <v>78.83136934848001</v>
      </c>
    </row>
    <row r="40" spans="1:27" x14ac:dyDescent="0.3">
      <c r="N40" s="2">
        <f t="shared" si="4"/>
        <v>77</v>
      </c>
      <c r="O40" s="2">
        <f t="shared" si="5"/>
        <v>75.83317679120789</v>
      </c>
      <c r="P40" s="2"/>
      <c r="Q40" s="2">
        <f t="shared" si="6"/>
        <v>77</v>
      </c>
      <c r="R40" s="2">
        <f t="shared" ca="1" si="7"/>
        <v>76.254011916926743</v>
      </c>
      <c r="S40" s="2"/>
      <c r="T40" s="2">
        <f t="shared" si="8"/>
        <v>77</v>
      </c>
      <c r="U40" s="2">
        <f t="shared" si="3"/>
        <v>72.860120838816272</v>
      </c>
      <c r="V40" s="2"/>
      <c r="W40" s="2">
        <f t="shared" si="9"/>
        <v>77</v>
      </c>
      <c r="X40" s="2">
        <f t="shared" ca="1" si="10"/>
        <v>74.997475607409754</v>
      </c>
      <c r="Y40" s="2"/>
      <c r="Z40" s="2">
        <f t="shared" si="11"/>
        <v>77</v>
      </c>
      <c r="AA40">
        <f t="shared" si="12"/>
        <v>80.407996735449615</v>
      </c>
    </row>
    <row r="41" spans="1:27" x14ac:dyDescent="0.3">
      <c r="N41" s="2">
        <f t="shared" si="4"/>
        <v>78</v>
      </c>
      <c r="O41" s="2">
        <f t="shared" si="5"/>
        <v>76.705258324306783</v>
      </c>
      <c r="P41" s="2"/>
      <c r="Q41" s="2">
        <f t="shared" si="6"/>
        <v>78</v>
      </c>
      <c r="R41" s="2">
        <f t="shared" ca="1" si="7"/>
        <v>77.191936263504942</v>
      </c>
      <c r="S41" s="2"/>
      <c r="T41" s="2">
        <f t="shared" si="8"/>
        <v>78</v>
      </c>
      <c r="U41" s="2">
        <f t="shared" si="3"/>
        <v>73.260851503429762</v>
      </c>
      <c r="V41" s="2"/>
      <c r="W41" s="2">
        <f t="shared" si="9"/>
        <v>78</v>
      </c>
      <c r="X41" s="2">
        <f t="shared" ca="1" si="10"/>
        <v>75.739950615923107</v>
      </c>
      <c r="Y41" s="2"/>
      <c r="Z41" s="2">
        <f t="shared" si="11"/>
        <v>78</v>
      </c>
      <c r="AA41">
        <f t="shared" si="12"/>
        <v>82.016156670158608</v>
      </c>
    </row>
    <row r="42" spans="1:27" x14ac:dyDescent="0.3">
      <c r="B42" t="s">
        <v>12</v>
      </c>
      <c r="C42" t="s">
        <v>0</v>
      </c>
      <c r="D42" t="s">
        <v>12</v>
      </c>
      <c r="E42" t="s">
        <v>1</v>
      </c>
      <c r="F42" t="s">
        <v>12</v>
      </c>
      <c r="G42" t="s">
        <v>2</v>
      </c>
      <c r="H42" t="s">
        <v>12</v>
      </c>
      <c r="I42" t="s">
        <v>3</v>
      </c>
      <c r="J42" t="s">
        <v>12</v>
      </c>
      <c r="K42" t="s">
        <v>4</v>
      </c>
      <c r="N42" s="2">
        <f t="shared" si="4"/>
        <v>79</v>
      </c>
      <c r="O42" s="2">
        <f t="shared" si="5"/>
        <v>77.587368795036312</v>
      </c>
      <c r="P42" s="2"/>
      <c r="Q42" s="2">
        <f t="shared" si="6"/>
        <v>79</v>
      </c>
      <c r="R42" s="2">
        <f t="shared" ca="1" si="7"/>
        <v>78.141397079546053</v>
      </c>
      <c r="S42" s="2"/>
      <c r="T42" s="2">
        <f t="shared" si="8"/>
        <v>79</v>
      </c>
      <c r="U42" s="2">
        <f t="shared" si="3"/>
        <v>73.66378618669863</v>
      </c>
      <c r="V42" s="2"/>
      <c r="W42" s="2">
        <f t="shared" si="9"/>
        <v>79</v>
      </c>
      <c r="X42" s="2">
        <f t="shared" ca="1" si="10"/>
        <v>76.489776127020747</v>
      </c>
      <c r="Y42" s="2"/>
      <c r="Z42" s="2">
        <f t="shared" si="11"/>
        <v>79</v>
      </c>
      <c r="AA42">
        <f t="shared" si="12"/>
        <v>83.65647980356178</v>
      </c>
    </row>
    <row r="43" spans="1:27" x14ac:dyDescent="0.3">
      <c r="B43">
        <f>B27</f>
        <v>70</v>
      </c>
      <c r="C43">
        <f>B28</f>
        <v>70</v>
      </c>
      <c r="D43">
        <f>B43</f>
        <v>70</v>
      </c>
      <c r="E43">
        <f ca="1">B29</f>
        <v>70</v>
      </c>
      <c r="F43">
        <f>B27</f>
        <v>70</v>
      </c>
      <c r="G43">
        <f>B30</f>
        <v>70.11571428571429</v>
      </c>
      <c r="H43">
        <f>B27</f>
        <v>70</v>
      </c>
      <c r="I43">
        <f ca="1">B31</f>
        <v>70</v>
      </c>
      <c r="J43">
        <f>B27</f>
        <v>70</v>
      </c>
      <c r="K43">
        <f>B32</f>
        <v>70</v>
      </c>
      <c r="N43" s="2">
        <f t="shared" si="4"/>
        <v>80</v>
      </c>
      <c r="O43" s="2">
        <f t="shared" si="5"/>
        <v>78.479623536179233</v>
      </c>
      <c r="P43" s="2"/>
      <c r="Q43" s="2">
        <f t="shared" si="6"/>
        <v>80</v>
      </c>
      <c r="R43" s="2">
        <f t="shared" ca="1" si="7"/>
        <v>79.102536263624472</v>
      </c>
      <c r="S43" s="2"/>
      <c r="T43" s="2">
        <f t="shared" si="8"/>
        <v>80</v>
      </c>
      <c r="U43" s="2">
        <f t="shared" si="3"/>
        <v>74.068937010725477</v>
      </c>
      <c r="V43" s="2"/>
      <c r="W43" s="2">
        <f t="shared" si="9"/>
        <v>80</v>
      </c>
      <c r="X43" s="2">
        <f t="shared" ca="1" si="10"/>
        <v>77.247024910678249</v>
      </c>
      <c r="Y43" s="2"/>
      <c r="Z43" s="2">
        <f t="shared" si="11"/>
        <v>80</v>
      </c>
      <c r="AA43">
        <f t="shared" si="12"/>
        <v>85.329609399633014</v>
      </c>
    </row>
    <row r="44" spans="1:27" x14ac:dyDescent="0.3">
      <c r="B44">
        <f>C27</f>
        <v>80</v>
      </c>
      <c r="C44">
        <f>C28</f>
        <v>78.05</v>
      </c>
      <c r="D44">
        <f>B44</f>
        <v>80</v>
      </c>
      <c r="E44">
        <f ca="1">C29</f>
        <v>78.61</v>
      </c>
      <c r="F44">
        <f>C27</f>
        <v>80</v>
      </c>
      <c r="G44">
        <f>C30</f>
        <v>73.972078571428582</v>
      </c>
      <c r="H44">
        <f>C27</f>
        <v>80</v>
      </c>
      <c r="I44">
        <f ca="1">C31</f>
        <v>76.930000000000007</v>
      </c>
      <c r="J44">
        <f>C27</f>
        <v>80</v>
      </c>
      <c r="K44">
        <f>C32</f>
        <v>84</v>
      </c>
    </row>
    <row r="45" spans="1:27" x14ac:dyDescent="0.3">
      <c r="B45">
        <f>D27</f>
        <v>90</v>
      </c>
      <c r="C45">
        <f>D28</f>
        <v>103.18209999999999</v>
      </c>
      <c r="D45">
        <f>D27</f>
        <v>90</v>
      </c>
      <c r="E45">
        <f ca="1">D29</f>
        <v>102.82187999999999</v>
      </c>
      <c r="F45">
        <f>D27</f>
        <v>90</v>
      </c>
      <c r="G45">
        <f>D30</f>
        <v>82.109007214285725</v>
      </c>
      <c r="H45">
        <f>D27</f>
        <v>90</v>
      </c>
      <c r="I45">
        <f ca="1">D31</f>
        <v>92.162140000000008</v>
      </c>
      <c r="J45">
        <f>D27</f>
        <v>90</v>
      </c>
      <c r="K45">
        <f>D32</f>
        <v>134.4</v>
      </c>
    </row>
    <row r="46" spans="1:27" x14ac:dyDescent="0.3">
      <c r="B46">
        <f>E27</f>
        <v>100</v>
      </c>
      <c r="C46">
        <f>E28</f>
        <v>136.40673619999998</v>
      </c>
      <c r="D46">
        <f>E27</f>
        <v>100</v>
      </c>
      <c r="E46">
        <f ca="1">E29</f>
        <v>134.49101904</v>
      </c>
      <c r="F46">
        <f>E27</f>
        <v>100</v>
      </c>
      <c r="G46">
        <f>E30</f>
        <v>91.140998007857149</v>
      </c>
      <c r="H46">
        <f>E27</f>
        <v>100</v>
      </c>
      <c r="I46">
        <f ca="1">E31</f>
        <v>110.41024372000001</v>
      </c>
      <c r="J46">
        <f>E27</f>
        <v>100</v>
      </c>
      <c r="K46">
        <f>E32</f>
        <v>215.04000000000002</v>
      </c>
    </row>
    <row r="47" spans="1:27" x14ac:dyDescent="0.3">
      <c r="B47">
        <f>F27</f>
        <v>110</v>
      </c>
      <c r="C47">
        <f>F28</f>
        <v>180.32970525639999</v>
      </c>
      <c r="D47">
        <f>F27</f>
        <v>110</v>
      </c>
      <c r="E47">
        <f ca="1">F29</f>
        <v>175.91425290431999</v>
      </c>
      <c r="F47">
        <f>F27</f>
        <v>110</v>
      </c>
      <c r="G47">
        <f ca="1">F31</f>
        <v>132.27147197656001</v>
      </c>
      <c r="H47">
        <f>F27</f>
        <v>110</v>
      </c>
      <c r="I47">
        <f ca="1">F31</f>
        <v>132.27147197656001</v>
      </c>
      <c r="J47">
        <f>F27</f>
        <v>110</v>
      </c>
      <c r="K47">
        <f>F32</f>
        <v>344.06400000000008</v>
      </c>
    </row>
  </sheetData>
  <mergeCells count="2">
    <mergeCell ref="A23:F23"/>
    <mergeCell ref="N31:AA3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1867E-7D21-47AF-BCC1-F5714764B9D9}">
  <dimension ref="A1:AA47"/>
  <sheetViews>
    <sheetView zoomScale="85" zoomScaleNormal="85" workbookViewId="0">
      <selection activeCell="O4" sqref="O4"/>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25.2</v>
      </c>
      <c r="D2">
        <f t="shared" ref="D2:M2" si="0">C2-(C2/100*D1)</f>
        <v>24.948</v>
      </c>
      <c r="E2">
        <f t="shared" si="0"/>
        <v>24.44904</v>
      </c>
      <c r="F2">
        <f t="shared" si="0"/>
        <v>23.7155688</v>
      </c>
      <c r="G2">
        <f t="shared" si="0"/>
        <v>22.766946048000001</v>
      </c>
      <c r="H2">
        <f t="shared" si="0"/>
        <v>21.628598745600002</v>
      </c>
      <c r="I2">
        <f t="shared" si="0"/>
        <v>20.330882820864002</v>
      </c>
      <c r="J2">
        <f t="shared" si="0"/>
        <v>18.907721023403521</v>
      </c>
      <c r="K2">
        <f t="shared" si="0"/>
        <v>17.395103341531239</v>
      </c>
      <c r="L2">
        <f t="shared" si="0"/>
        <v>15.829544040793428</v>
      </c>
      <c r="M2">
        <f t="shared" si="0"/>
        <v>14.246589636714084</v>
      </c>
      <c r="N2" s="8"/>
      <c r="O2" s="21"/>
      <c r="Q2" s="3" t="s">
        <v>0</v>
      </c>
      <c r="R2" s="16">
        <f>B27+ ((1 -((C2 / 25.2) * 0.7 )-((C3 / 100) * 0.3 )) * 100)</f>
        <v>75</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75</v>
      </c>
      <c r="T3" s="23" t="s">
        <v>8</v>
      </c>
    </row>
    <row r="4" spans="1:20" ht="18" customHeight="1" x14ac:dyDescent="0.3">
      <c r="A4" s="4" t="s">
        <v>17</v>
      </c>
      <c r="B4" s="4" t="s">
        <v>18</v>
      </c>
      <c r="C4" s="10">
        <v>33</v>
      </c>
      <c r="D4">
        <f>C4-(C4/100*D1)</f>
        <v>32.67</v>
      </c>
      <c r="E4">
        <f t="shared" ref="E4:M4" si="2">D4-(D4/100*E1)</f>
        <v>32.016600000000004</v>
      </c>
      <c r="F4">
        <f t="shared" si="2"/>
        <v>31.056102000000003</v>
      </c>
      <c r="G4">
        <f t="shared" si="2"/>
        <v>29.813857920000004</v>
      </c>
      <c r="H4">
        <f t="shared" si="2"/>
        <v>28.323165024000005</v>
      </c>
      <c r="I4">
        <f t="shared" si="2"/>
        <v>26.623775122560005</v>
      </c>
      <c r="J4">
        <f t="shared" si="2"/>
        <v>24.760110863980806</v>
      </c>
      <c r="K4">
        <f t="shared" si="2"/>
        <v>22.77930199486234</v>
      </c>
      <c r="L4">
        <f t="shared" si="2"/>
        <v>20.729164815324729</v>
      </c>
      <c r="M4">
        <f t="shared" si="2"/>
        <v>18.656248333792256</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75</v>
      </c>
      <c r="Q4" s="5" t="s">
        <v>2</v>
      </c>
      <c r="R4" s="5">
        <f>B27 - 9*R11</f>
        <v>76.838999999999999</v>
      </c>
      <c r="T4" s="1">
        <f ca="1">(R2/100*20)+(R3/100*20)+(R4/100*25)+(R5/100*20)+(R6/100*15)</f>
        <v>75.159750000000003</v>
      </c>
    </row>
    <row r="5" spans="1:20" x14ac:dyDescent="0.3">
      <c r="A5" s="4" t="s">
        <v>17</v>
      </c>
      <c r="B5" s="4" t="s">
        <v>19</v>
      </c>
      <c r="C5" s="10">
        <v>2.1</v>
      </c>
      <c r="L5" s="8"/>
      <c r="M5" s="8">
        <f>C5-(C5/100*12)</f>
        <v>1.8480000000000001</v>
      </c>
      <c r="N5" s="8"/>
      <c r="O5" s="18">
        <f ca="1">FORECAST(C5, OFFSET(Strength_Normative_Data!$O$3, MATCH(C5, Strength_Normative_Data!$P$3:$P$17, -1)-1, 0, 2), OFFSET(Strength_Normative_Data!$P$3, MATCH(C5, Strength_Normative_Data!$P$3:$P$17, -1)-1, 0, 2))</f>
        <v>75</v>
      </c>
      <c r="Q5" s="6" t="s">
        <v>29</v>
      </c>
      <c r="R5" s="6">
        <f ca="1">((O14/100*30)+(O15/100*25)+(O16/100*30)+(O17/100*15))</f>
        <v>73.5</v>
      </c>
    </row>
    <row r="6" spans="1:20" x14ac:dyDescent="0.3">
      <c r="A6" s="4" t="s">
        <v>17</v>
      </c>
      <c r="B6" s="4" t="s">
        <v>20</v>
      </c>
      <c r="C6" s="10">
        <v>21.5</v>
      </c>
      <c r="L6" s="8"/>
      <c r="M6" s="8">
        <f>C6-(C6/100*12)</f>
        <v>18.920000000000002</v>
      </c>
      <c r="N6" s="8"/>
      <c r="O6" s="18">
        <f ca="1">FORECAST(C6, OFFSET(Strength_Normative_Data!$J$3, MATCH(C6, Strength_Normative_Data!$K$3:$K$16, -1)-1, 0, 2), OFFSET(Strength_Normative_Data!$K$3, MATCH(C6, Strength_Normative_Data!$K$3:$K$16, -1)-1, 0, 2))</f>
        <v>75</v>
      </c>
      <c r="Q6" s="7" t="s">
        <v>4</v>
      </c>
      <c r="R6" s="7">
        <f>((O18/100*60)+(O19/100*40))</f>
        <v>75</v>
      </c>
    </row>
    <row r="7" spans="1:20" x14ac:dyDescent="0.3">
      <c r="A7" s="5" t="s">
        <v>21</v>
      </c>
      <c r="B7" s="5" t="s">
        <v>22</v>
      </c>
      <c r="C7" s="11">
        <v>32</v>
      </c>
      <c r="L7" s="8"/>
      <c r="M7" s="8">
        <f>C7+(C7/100*6)</f>
        <v>33.92</v>
      </c>
      <c r="N7" s="8"/>
      <c r="O7" s="22"/>
    </row>
    <row r="8" spans="1:20" x14ac:dyDescent="0.3">
      <c r="A8" s="5" t="s">
        <v>21</v>
      </c>
      <c r="B8" s="5" t="s">
        <v>23</v>
      </c>
      <c r="C8" s="11">
        <v>0.62</v>
      </c>
      <c r="L8" s="8"/>
      <c r="M8" s="8">
        <f>C8+(C8/100*4)</f>
        <v>0.64480000000000004</v>
      </c>
      <c r="N8" s="8"/>
      <c r="O8" s="22">
        <f xml:space="preserve">
IF(C8&lt;=0.4,0,
IF(C8&lt;=0.5,20*(C8-0.4)/0.1,
IF(C8&lt;=0.6,20+40*(C8-0.5)/0.1,
60+40*(MIN(C8,0.75)-0.6)/0.15)))</f>
        <v>65.333333333333343</v>
      </c>
    </row>
    <row r="9" spans="1:20" x14ac:dyDescent="0.3">
      <c r="A9" s="5" t="s">
        <v>21</v>
      </c>
      <c r="B9" s="5" t="s">
        <v>24</v>
      </c>
      <c r="C9" s="11">
        <v>6</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3</v>
      </c>
      <c r="L11" s="8"/>
      <c r="M11" s="8">
        <f>C11+(C11/100*14)</f>
        <v>3.42</v>
      </c>
      <c r="N11" s="8"/>
      <c r="O11" s="5">
        <f xml:space="preserve">
IF(C11&lt;1.6,10*(C11/1.6),
IF(C11&lt;3,10+40*(C11-1.6)/1.4,
50+50*(MIN(C11,7)-3)/4))</f>
        <v>50</v>
      </c>
      <c r="Q11">
        <f>(0.3*P12)+(0.2*O8)+(0.15*O10)+(0.25*O11)+(0.1*O13)</f>
        <v>45.216666666666669</v>
      </c>
      <c r="R11">
        <f xml:space="preserve">
IF(Q11&lt;=10,1.5-0.1*Q11,
IF(Q11&lt;=60,0.5-0.02*(Q11-10),
-0.5-0.03*(Q11-60)))</f>
        <v>-0.20433333333333337</v>
      </c>
    </row>
    <row r="12" spans="1:20" x14ac:dyDescent="0.3">
      <c r="A12" s="5" t="s">
        <v>21</v>
      </c>
      <c r="B12" s="5" t="s">
        <v>27</v>
      </c>
      <c r="C12" s="11">
        <v>1.1000000000000001</v>
      </c>
      <c r="L12" s="8"/>
      <c r="M12" s="8">
        <f>C12+(C12/100*6)</f>
        <v>1.1660000000000001</v>
      </c>
      <c r="N12" s="8"/>
      <c r="O12" s="5">
        <f>C12*100</f>
        <v>110.00000000000001</v>
      </c>
      <c r="P12" s="5">
        <f xml:space="preserve">
IF(O12&lt;80,5*(O12/80),
IF(O12&lt;100,10+20*(O12-80)/20,
IF(O12&lt;130,30+25*(O12-100)/30,
IF(O12&lt;160,55+25*(O12-130)/30,
IF(O12&lt;200,80+20*(O12-160)/40,100)))))</f>
        <v>38.333333333333343</v>
      </c>
    </row>
    <row r="13" spans="1:20" x14ac:dyDescent="0.3">
      <c r="A13" s="5" t="s">
        <v>21</v>
      </c>
      <c r="B13" s="5" t="s">
        <v>28</v>
      </c>
      <c r="C13" s="11">
        <v>2.7</v>
      </c>
      <c r="L13" s="8"/>
      <c r="M13" s="8">
        <f>C13+(C13/100*18)</f>
        <v>3.1860000000000004</v>
      </c>
      <c r="N13" s="8"/>
      <c r="O13" s="5">
        <f xml:space="preserve">
IF(C13&lt;1,10*(C13/1),
IF(C13&lt;3,10+40*(C13-1)/2,
50+50*(MIN(C13,10)-3)/7))</f>
        <v>44</v>
      </c>
    </row>
    <row r="14" spans="1:20" x14ac:dyDescent="0.3">
      <c r="A14" s="6" t="s">
        <v>29</v>
      </c>
      <c r="B14" s="6" t="s">
        <v>30</v>
      </c>
      <c r="C14" s="12">
        <v>1.43</v>
      </c>
      <c r="L14" s="8"/>
      <c r="M14" s="8">
        <f>C14+(C14/100*6)</f>
        <v>1.5158</v>
      </c>
      <c r="N14" s="8"/>
      <c r="O14" s="12">
        <v>70</v>
      </c>
    </row>
    <row r="15" spans="1:20" x14ac:dyDescent="0.3">
      <c r="A15" s="6" t="s">
        <v>29</v>
      </c>
      <c r="B15" s="6" t="s">
        <v>31</v>
      </c>
      <c r="C15" s="12">
        <v>9.5</v>
      </c>
      <c r="L15" s="8"/>
      <c r="M15" s="8">
        <f>C15+(C15/100*10)</f>
        <v>10.45</v>
      </c>
      <c r="N15" s="8"/>
      <c r="O15" s="12">
        <f ca="1">FORECAST(C15, OFFSET(Mobility_Normative_Data!$E$3, MATCH(C15, Mobility_Normative_Data!$F$3:$F$18, 1)-1, 0, 2), OFFSET(Mobility_Normative_Data!$F$3, MATCH(C15, Mobility_Normative_Data!$F$3:$F$18, 1)-1, 0, 2))</f>
        <v>75</v>
      </c>
    </row>
    <row r="16" spans="1:20" x14ac:dyDescent="0.3">
      <c r="A16" s="6" t="s">
        <v>29</v>
      </c>
      <c r="B16" s="6" t="s">
        <v>32</v>
      </c>
      <c r="C16" s="12">
        <v>15</v>
      </c>
      <c r="L16" s="8"/>
      <c r="M16" s="8">
        <f>C16+(C16/100*20)</f>
        <v>18</v>
      </c>
      <c r="N16" s="8"/>
      <c r="O16" s="12">
        <f ca="1">FORECAST(C16, OFFSET(Mobility_Normative_Data!$I$3, MATCH(C16, Mobility_Normative_Data!$J$3:$J$17, -1)-1, 0, 2), OFFSET(Mobility_Normative_Data!$J$3, MATCH(C16, Mobility_Normative_Data!$J$3:$J$17, -1)-1, 0, 2))</f>
        <v>75</v>
      </c>
    </row>
    <row r="17" spans="1:27" x14ac:dyDescent="0.3">
      <c r="A17" s="6" t="s">
        <v>29</v>
      </c>
      <c r="B17" s="6" t="s">
        <v>33</v>
      </c>
      <c r="C17" s="12">
        <v>23.5</v>
      </c>
      <c r="L17" s="8"/>
      <c r="M17" s="8">
        <f>C17+(C17/100*10)</f>
        <v>25.85</v>
      </c>
      <c r="N17" s="8"/>
      <c r="O17" s="12">
        <f ca="1">FORECAST(C17, OFFSET(Mobility_Normative_Data!$M$3, MATCH(C17, Mobility_Normative_Data!$N$3:$N$17, -1)-1, 0, 2), OFFSET(Mobility_Normative_Data!$N$3, MATCH(C17, Mobility_Normative_Data!$N$3:$N$17, -1)-1, 0, 2))</f>
        <v>75</v>
      </c>
    </row>
    <row r="18" spans="1:27" x14ac:dyDescent="0.3">
      <c r="A18" s="7" t="s">
        <v>34</v>
      </c>
      <c r="B18" s="7" t="s">
        <v>35</v>
      </c>
      <c r="C18" s="13">
        <v>0</v>
      </c>
      <c r="L18" s="8"/>
      <c r="M18" s="8">
        <f>C18 +(-0.2)</f>
        <v>-0.2</v>
      </c>
      <c r="N18" s="8"/>
      <c r="O18" s="20">
        <f>MAX(18,B27-(C18*25))</f>
        <v>75</v>
      </c>
    </row>
    <row r="19" spans="1:27" x14ac:dyDescent="0.3">
      <c r="A19" s="7" t="s">
        <v>34</v>
      </c>
      <c r="B19" s="7" t="s">
        <v>36</v>
      </c>
      <c r="C19" s="13">
        <v>0</v>
      </c>
      <c r="L19" s="8"/>
      <c r="M19" s="8">
        <f>C19+(-0.2)</f>
        <v>-0.2</v>
      </c>
      <c r="N19" s="8"/>
      <c r="O19" s="20">
        <f>MAX(18,B27-(J1925))</f>
        <v>75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75</v>
      </c>
      <c r="C27">
        <f>B27+10</f>
        <v>85</v>
      </c>
      <c r="D27">
        <f>C27+10</f>
        <v>95</v>
      </c>
      <c r="E27">
        <f>D27+10</f>
        <v>105</v>
      </c>
      <c r="F27">
        <f>E27+10</f>
        <v>115</v>
      </c>
    </row>
    <row r="28" spans="1:27" x14ac:dyDescent="0.3">
      <c r="A28" t="s">
        <v>0</v>
      </c>
      <c r="B28" s="24">
        <f>R2</f>
        <v>75</v>
      </c>
      <c r="C28">
        <f>B28+(B28/100*11.5)</f>
        <v>83.625</v>
      </c>
      <c r="D28">
        <f>C28+(C28/100*32.2)</f>
        <v>110.55225</v>
      </c>
      <c r="E28">
        <f>D28+(D28/100*32.2)</f>
        <v>146.15007450000002</v>
      </c>
      <c r="F28">
        <f>E28+(E28/100*32.2)</f>
        <v>193.21039848900003</v>
      </c>
    </row>
    <row r="29" spans="1:27" x14ac:dyDescent="0.3">
      <c r="A29" t="s">
        <v>1</v>
      </c>
      <c r="B29">
        <f ca="1">R3</f>
        <v>75</v>
      </c>
      <c r="C29">
        <f ca="1">B29+(B29/100*12.3)</f>
        <v>84.224999999999994</v>
      </c>
      <c r="D29">
        <f ca="1">C29+(C29/100*30.8)</f>
        <v>110.16629999999999</v>
      </c>
      <c r="E29">
        <f ca="1">D29+(D29/100*30.8)</f>
        <v>144.09752039999998</v>
      </c>
      <c r="F29">
        <f ca="1">E29+(E29/100*30.8)</f>
        <v>188.47955668319997</v>
      </c>
    </row>
    <row r="30" spans="1:27" x14ac:dyDescent="0.3">
      <c r="A30" t="s">
        <v>2</v>
      </c>
      <c r="B30">
        <f>R4</f>
        <v>76.838999999999999</v>
      </c>
      <c r="C30">
        <f>B30+(B30/100*5.5)</f>
        <v>81.065145000000001</v>
      </c>
      <c r="D30">
        <f>C30+(C30/100*11)</f>
        <v>89.982310949999999</v>
      </c>
      <c r="E30">
        <f>D30+(D30/100*11)</f>
        <v>99.880365154499998</v>
      </c>
      <c r="F30">
        <f>E30+(E30/100*11)</f>
        <v>110.86720532149499</v>
      </c>
    </row>
    <row r="31" spans="1:27" x14ac:dyDescent="0.3">
      <c r="A31" t="s">
        <v>3</v>
      </c>
      <c r="B31">
        <f ca="1">R5</f>
        <v>73.5</v>
      </c>
      <c r="C31">
        <f ca="1">B31+(B31/100*9.9)</f>
        <v>80.776499999999999</v>
      </c>
      <c r="D31">
        <f ca="1">C31+(C31/100*19.8)</f>
        <v>96.770246999999998</v>
      </c>
      <c r="E31">
        <f ca="1">D31+(D31/100*19.8)</f>
        <v>115.930755906</v>
      </c>
      <c r="F31">
        <f ca="1">E31+(E31/100*19.8)</f>
        <v>138.88504557538801</v>
      </c>
      <c r="N31" s="46" t="s">
        <v>104</v>
      </c>
      <c r="O31" s="46"/>
      <c r="P31" s="46"/>
      <c r="Q31" s="46"/>
      <c r="R31" s="46"/>
      <c r="S31" s="46"/>
      <c r="T31" s="46"/>
      <c r="U31" s="46"/>
      <c r="V31" s="46"/>
      <c r="W31" s="46"/>
      <c r="X31" s="46"/>
      <c r="Y31" s="46"/>
      <c r="Z31" s="46"/>
      <c r="AA31" s="46"/>
    </row>
    <row r="32" spans="1:27" ht="86.4" x14ac:dyDescent="0.3">
      <c r="A32" t="s">
        <v>4</v>
      </c>
      <c r="B32">
        <f>R6</f>
        <v>75</v>
      </c>
      <c r="C32">
        <f>B32+(B32/100*20)</f>
        <v>90</v>
      </c>
      <c r="D32">
        <f>C32+(C32/100*60)</f>
        <v>144</v>
      </c>
      <c r="E32">
        <f>D32+(D32/100*60)</f>
        <v>230.39999999999998</v>
      </c>
      <c r="F32">
        <f>E32+(E32/100*60)</f>
        <v>368.64</v>
      </c>
      <c r="N32" s="2" t="s">
        <v>103</v>
      </c>
      <c r="O32" s="2" t="s">
        <v>130</v>
      </c>
      <c r="P32" s="2"/>
      <c r="Q32" s="2" t="s">
        <v>103</v>
      </c>
      <c r="R32" s="2" t="s">
        <v>131</v>
      </c>
      <c r="S32" s="2"/>
      <c r="T32" s="2" t="s">
        <v>103</v>
      </c>
      <c r="U32" s="2" t="s">
        <v>132</v>
      </c>
      <c r="V32" s="2"/>
      <c r="W32" s="2" t="s">
        <v>103</v>
      </c>
      <c r="X32" s="2" t="s">
        <v>133</v>
      </c>
      <c r="Y32" s="2"/>
      <c r="Z32" s="2" t="s">
        <v>103</v>
      </c>
      <c r="AA32" s="2" t="s">
        <v>134</v>
      </c>
    </row>
    <row r="33" spans="1:27" x14ac:dyDescent="0.3">
      <c r="N33" s="2">
        <f>B27</f>
        <v>75</v>
      </c>
      <c r="O33" s="27">
        <f>R2</f>
        <v>75</v>
      </c>
      <c r="P33" s="2"/>
      <c r="Q33" s="2">
        <f>N33</f>
        <v>75</v>
      </c>
      <c r="R33" s="2">
        <f ca="1">R3</f>
        <v>75</v>
      </c>
      <c r="S33" s="2"/>
      <c r="T33" s="2">
        <f>N33</f>
        <v>75</v>
      </c>
      <c r="U33" s="2">
        <f>R4</f>
        <v>76.838999999999999</v>
      </c>
      <c r="V33" s="2"/>
      <c r="W33" s="2">
        <f>N33</f>
        <v>75</v>
      </c>
      <c r="X33" s="2">
        <f ca="1">R5</f>
        <v>73.5</v>
      </c>
      <c r="Y33" s="2"/>
      <c r="Z33" s="2">
        <f>N33</f>
        <v>75</v>
      </c>
      <c r="AA33">
        <f>R6</f>
        <v>75</v>
      </c>
    </row>
    <row r="34" spans="1:27" x14ac:dyDescent="0.3">
      <c r="N34" s="2">
        <f>N33+1</f>
        <v>76</v>
      </c>
      <c r="O34" s="2">
        <f>O33+(O33*0.0115)</f>
        <v>75.862499999999997</v>
      </c>
      <c r="P34" s="2"/>
      <c r="Q34" s="2">
        <f>Q33+1</f>
        <v>76</v>
      </c>
      <c r="R34" s="2">
        <f ca="1">R33+(R33*0.0123)</f>
        <v>75.922499999999999</v>
      </c>
      <c r="S34" s="2"/>
      <c r="T34" s="2">
        <f>T33+1</f>
        <v>76</v>
      </c>
      <c r="U34" s="2">
        <f t="shared" ref="U34:U43" si="3">U33+(U33*0.0055)</f>
        <v>77.261614499999993</v>
      </c>
      <c r="V34" s="2"/>
      <c r="W34" s="2">
        <f>W33+1</f>
        <v>76</v>
      </c>
      <c r="X34" s="2">
        <f ca="1">X33+(X33*0.0099)</f>
        <v>74.227649999999997</v>
      </c>
      <c r="Y34" s="2"/>
      <c r="Z34" s="2">
        <f>Z33+1</f>
        <v>76</v>
      </c>
      <c r="AA34">
        <f>AA33+(AA33*0.02)</f>
        <v>76.5</v>
      </c>
    </row>
    <row r="35" spans="1:27" x14ac:dyDescent="0.3">
      <c r="N35" s="2">
        <f t="shared" ref="N35:N43" si="4">N34+1</f>
        <v>77</v>
      </c>
      <c r="O35" s="2">
        <f t="shared" ref="O35:O43" si="5">O34+(O34*0.0115)</f>
        <v>76.734918749999991</v>
      </c>
      <c r="P35" s="2"/>
      <c r="Q35" s="2">
        <f t="shared" ref="Q35:Q43" si="6">Q34+1</f>
        <v>77</v>
      </c>
      <c r="R35" s="2">
        <f t="shared" ref="R35:R43" ca="1" si="7">R34+(R34*0.0123)</f>
        <v>76.85634675</v>
      </c>
      <c r="S35" s="2"/>
      <c r="T35" s="2">
        <f t="shared" ref="T35:T43" si="8">T34+1</f>
        <v>77</v>
      </c>
      <c r="U35" s="2">
        <f t="shared" si="3"/>
        <v>77.686553379749995</v>
      </c>
      <c r="V35" s="2"/>
      <c r="W35" s="2">
        <f t="shared" ref="W35:W43" si="9">W34+1</f>
        <v>77</v>
      </c>
      <c r="X35" s="2">
        <f t="shared" ref="X35:X43" ca="1" si="10">X34+(X34*0.0099)</f>
        <v>74.962503734999999</v>
      </c>
      <c r="Y35" s="2"/>
      <c r="Z35" s="2">
        <f t="shared" ref="Z35:Z43" si="11">Z34+1</f>
        <v>77</v>
      </c>
      <c r="AA35">
        <f t="shared" ref="AA35:AA43" si="12">AA34+(AA34*0.02)</f>
        <v>78.03</v>
      </c>
    </row>
    <row r="36" spans="1:27" x14ac:dyDescent="0.3">
      <c r="A36" t="s">
        <v>8</v>
      </c>
      <c r="N36" s="2">
        <f t="shared" si="4"/>
        <v>78</v>
      </c>
      <c r="O36" s="2">
        <f t="shared" si="5"/>
        <v>77.617370315624996</v>
      </c>
      <c r="P36" s="2"/>
      <c r="Q36" s="2">
        <f t="shared" si="6"/>
        <v>78</v>
      </c>
      <c r="R36" s="2">
        <f t="shared" ca="1" si="7"/>
        <v>77.801679815024997</v>
      </c>
      <c r="S36" s="2"/>
      <c r="T36" s="2">
        <f t="shared" si="8"/>
        <v>78</v>
      </c>
      <c r="U36" s="2">
        <f t="shared" si="3"/>
        <v>78.113829423338615</v>
      </c>
      <c r="V36" s="2"/>
      <c r="W36" s="2">
        <f t="shared" si="9"/>
        <v>78</v>
      </c>
      <c r="X36" s="2">
        <f t="shared" ca="1" si="10"/>
        <v>75.704632521976492</v>
      </c>
      <c r="Y36" s="2"/>
      <c r="Z36" s="2">
        <f t="shared" si="11"/>
        <v>78</v>
      </c>
      <c r="AA36">
        <f t="shared" si="12"/>
        <v>79.590599999999995</v>
      </c>
    </row>
    <row r="37" spans="1:27" x14ac:dyDescent="0.3">
      <c r="A37" s="1">
        <f ca="1">(B28/100*20)+(B29/100*20)+(B30/100*25)+(B31/100*20)+(B32/100*15)</f>
        <v>75.159750000000003</v>
      </c>
      <c r="N37" s="2">
        <f t="shared" si="4"/>
        <v>79</v>
      </c>
      <c r="O37" s="2">
        <f t="shared" si="5"/>
        <v>78.509970074254682</v>
      </c>
      <c r="P37" s="2"/>
      <c r="Q37" s="2">
        <f t="shared" si="6"/>
        <v>79</v>
      </c>
      <c r="R37" s="2">
        <f t="shared" ca="1" si="7"/>
        <v>78.758640476749804</v>
      </c>
      <c r="S37" s="2"/>
      <c r="T37" s="2">
        <f t="shared" si="8"/>
        <v>79</v>
      </c>
      <c r="U37" s="2">
        <f t="shared" si="3"/>
        <v>78.543455485166973</v>
      </c>
      <c r="V37" s="2"/>
      <c r="W37" s="2">
        <f t="shared" si="9"/>
        <v>79</v>
      </c>
      <c r="X37" s="2">
        <f t="shared" ca="1" si="10"/>
        <v>76.45410838394406</v>
      </c>
      <c r="Y37" s="2"/>
      <c r="Z37" s="2">
        <f t="shared" si="11"/>
        <v>79</v>
      </c>
      <c r="AA37">
        <f t="shared" si="12"/>
        <v>81.182411999999999</v>
      </c>
    </row>
    <row r="38" spans="1:27" x14ac:dyDescent="0.3">
      <c r="N38" s="2">
        <f t="shared" si="4"/>
        <v>80</v>
      </c>
      <c r="O38" s="2">
        <f t="shared" si="5"/>
        <v>79.412834730108614</v>
      </c>
      <c r="P38" s="2"/>
      <c r="Q38" s="2">
        <f t="shared" si="6"/>
        <v>80</v>
      </c>
      <c r="R38" s="2">
        <f t="shared" ca="1" si="7"/>
        <v>79.727371754613827</v>
      </c>
      <c r="S38" s="2"/>
      <c r="T38" s="2">
        <f t="shared" si="8"/>
        <v>80</v>
      </c>
      <c r="U38" s="2">
        <f t="shared" si="3"/>
        <v>78.975444490335391</v>
      </c>
      <c r="V38" s="2"/>
      <c r="W38" s="2">
        <f t="shared" si="9"/>
        <v>80</v>
      </c>
      <c r="X38" s="2">
        <f t="shared" ca="1" si="10"/>
        <v>77.2110040569451</v>
      </c>
      <c r="Y38" s="2"/>
      <c r="Z38" s="2">
        <f t="shared" si="11"/>
        <v>80</v>
      </c>
      <c r="AA38">
        <f t="shared" si="12"/>
        <v>82.806060239999994</v>
      </c>
    </row>
    <row r="39" spans="1:27" x14ac:dyDescent="0.3">
      <c r="N39" s="2">
        <f t="shared" si="4"/>
        <v>81</v>
      </c>
      <c r="O39" s="2">
        <f t="shared" si="5"/>
        <v>80.326082329504857</v>
      </c>
      <c r="P39" s="2"/>
      <c r="Q39" s="2">
        <f t="shared" si="6"/>
        <v>81</v>
      </c>
      <c r="R39" s="2">
        <f t="shared" ca="1" si="7"/>
        <v>80.708018427195583</v>
      </c>
      <c r="S39" s="2"/>
      <c r="T39" s="2">
        <f t="shared" si="8"/>
        <v>81</v>
      </c>
      <c r="U39" s="2">
        <f t="shared" si="3"/>
        <v>79.40980943503223</v>
      </c>
      <c r="V39" s="2"/>
      <c r="W39" s="2">
        <f t="shared" si="9"/>
        <v>81</v>
      </c>
      <c r="X39" s="2">
        <f t="shared" ca="1" si="10"/>
        <v>77.975392997108855</v>
      </c>
      <c r="Y39" s="2"/>
      <c r="Z39" s="2">
        <f t="shared" si="11"/>
        <v>81</v>
      </c>
      <c r="AA39">
        <f t="shared" si="12"/>
        <v>84.462181444799995</v>
      </c>
    </row>
    <row r="40" spans="1:27" x14ac:dyDescent="0.3">
      <c r="N40" s="2">
        <f t="shared" si="4"/>
        <v>82</v>
      </c>
      <c r="O40" s="2">
        <f t="shared" si="5"/>
        <v>81.249832276294157</v>
      </c>
      <c r="P40" s="2"/>
      <c r="Q40" s="2">
        <f t="shared" si="6"/>
        <v>82</v>
      </c>
      <c r="R40" s="2">
        <f t="shared" ca="1" si="7"/>
        <v>81.700727053850088</v>
      </c>
      <c r="S40" s="2"/>
      <c r="T40" s="2">
        <f t="shared" si="8"/>
        <v>82</v>
      </c>
      <c r="U40" s="2">
        <f t="shared" si="3"/>
        <v>79.846563386924913</v>
      </c>
      <c r="V40" s="2"/>
      <c r="W40" s="2">
        <f t="shared" si="9"/>
        <v>82</v>
      </c>
      <c r="X40" s="2">
        <f t="shared" ca="1" si="10"/>
        <v>78.747349387780233</v>
      </c>
      <c r="Y40" s="2"/>
      <c r="Z40" s="2">
        <f t="shared" si="11"/>
        <v>82</v>
      </c>
      <c r="AA40">
        <f t="shared" si="12"/>
        <v>86.151425073695989</v>
      </c>
    </row>
    <row r="41" spans="1:27" x14ac:dyDescent="0.3">
      <c r="N41" s="2">
        <f t="shared" si="4"/>
        <v>83</v>
      </c>
      <c r="O41" s="2">
        <f t="shared" si="5"/>
        <v>82.184205347471533</v>
      </c>
      <c r="P41" s="2"/>
      <c r="Q41" s="2">
        <f t="shared" si="6"/>
        <v>83</v>
      </c>
      <c r="R41" s="2">
        <f t="shared" ca="1" si="7"/>
        <v>82.705645996612446</v>
      </c>
      <c r="S41" s="2"/>
      <c r="T41" s="2">
        <f t="shared" si="8"/>
        <v>83</v>
      </c>
      <c r="U41" s="2">
        <f t="shared" si="3"/>
        <v>80.285719485553003</v>
      </c>
      <c r="V41" s="2"/>
      <c r="W41" s="2">
        <f t="shared" si="9"/>
        <v>83</v>
      </c>
      <c r="X41" s="2">
        <f t="shared" ca="1" si="10"/>
        <v>79.526948146719263</v>
      </c>
      <c r="Y41" s="2"/>
      <c r="Z41" s="2">
        <f t="shared" si="11"/>
        <v>83</v>
      </c>
      <c r="AA41">
        <f t="shared" si="12"/>
        <v>87.874453575169909</v>
      </c>
    </row>
    <row r="42" spans="1:27" x14ac:dyDescent="0.3">
      <c r="B42" t="s">
        <v>12</v>
      </c>
      <c r="C42" t="s">
        <v>0</v>
      </c>
      <c r="D42" t="s">
        <v>12</v>
      </c>
      <c r="E42" t="s">
        <v>1</v>
      </c>
      <c r="F42" t="s">
        <v>12</v>
      </c>
      <c r="G42" t="s">
        <v>2</v>
      </c>
      <c r="H42" t="s">
        <v>12</v>
      </c>
      <c r="I42" t="s">
        <v>3</v>
      </c>
      <c r="J42" t="s">
        <v>12</v>
      </c>
      <c r="K42" t="s">
        <v>4</v>
      </c>
      <c r="N42" s="2">
        <f t="shared" si="4"/>
        <v>84</v>
      </c>
      <c r="O42" s="2">
        <f t="shared" si="5"/>
        <v>83.129323708967462</v>
      </c>
      <c r="P42" s="2"/>
      <c r="Q42" s="2">
        <f t="shared" si="6"/>
        <v>84</v>
      </c>
      <c r="R42" s="2">
        <f t="shared" ca="1" si="7"/>
        <v>83.72292544237078</v>
      </c>
      <c r="S42" s="2"/>
      <c r="T42" s="2">
        <f t="shared" si="8"/>
        <v>84</v>
      </c>
      <c r="U42" s="2">
        <f t="shared" si="3"/>
        <v>80.727290942723542</v>
      </c>
      <c r="V42" s="2"/>
      <c r="W42" s="2">
        <f t="shared" si="9"/>
        <v>84</v>
      </c>
      <c r="X42" s="2">
        <f t="shared" ca="1" si="10"/>
        <v>80.314264933371788</v>
      </c>
      <c r="Y42" s="2"/>
      <c r="Z42" s="2">
        <f t="shared" si="11"/>
        <v>84</v>
      </c>
      <c r="AA42">
        <f t="shared" si="12"/>
        <v>89.631942646673309</v>
      </c>
    </row>
    <row r="43" spans="1:27" x14ac:dyDescent="0.3">
      <c r="B43">
        <f>B27</f>
        <v>75</v>
      </c>
      <c r="C43">
        <f>B28</f>
        <v>75</v>
      </c>
      <c r="D43">
        <f>B43</f>
        <v>75</v>
      </c>
      <c r="E43">
        <f ca="1">B29</f>
        <v>75</v>
      </c>
      <c r="F43">
        <f>B27</f>
        <v>75</v>
      </c>
      <c r="G43">
        <f>B30</f>
        <v>76.838999999999999</v>
      </c>
      <c r="H43">
        <f>B27</f>
        <v>75</v>
      </c>
      <c r="I43">
        <f ca="1">B31</f>
        <v>73.5</v>
      </c>
      <c r="J43">
        <f>B27</f>
        <v>75</v>
      </c>
      <c r="K43">
        <f>B32</f>
        <v>75</v>
      </c>
      <c r="N43" s="2">
        <f t="shared" si="4"/>
        <v>85</v>
      </c>
      <c r="O43" s="2">
        <f t="shared" si="5"/>
        <v>84.085310931620583</v>
      </c>
      <c r="P43" s="2"/>
      <c r="Q43" s="2">
        <f t="shared" si="6"/>
        <v>85</v>
      </c>
      <c r="R43" s="2">
        <f t="shared" ca="1" si="7"/>
        <v>84.752717425311943</v>
      </c>
      <c r="S43" s="2"/>
      <c r="T43" s="2">
        <f t="shared" si="8"/>
        <v>85</v>
      </c>
      <c r="U43" s="2">
        <f t="shared" si="3"/>
        <v>81.171291042908521</v>
      </c>
      <c r="V43" s="2"/>
      <c r="W43" s="2">
        <f t="shared" si="9"/>
        <v>85</v>
      </c>
      <c r="X43" s="2">
        <f t="shared" ca="1" si="10"/>
        <v>81.109376156212164</v>
      </c>
      <c r="Y43" s="2"/>
      <c r="Z43" s="2">
        <f t="shared" si="11"/>
        <v>85</v>
      </c>
      <c r="AA43">
        <f t="shared" si="12"/>
        <v>91.424581499606774</v>
      </c>
    </row>
    <row r="44" spans="1:27" x14ac:dyDescent="0.3">
      <c r="B44">
        <f>C27</f>
        <v>85</v>
      </c>
      <c r="C44">
        <f>C28</f>
        <v>83.625</v>
      </c>
      <c r="D44">
        <f>B44</f>
        <v>85</v>
      </c>
      <c r="E44">
        <f ca="1">C29</f>
        <v>84.224999999999994</v>
      </c>
      <c r="F44">
        <f>C27</f>
        <v>85</v>
      </c>
      <c r="G44">
        <f>C30</f>
        <v>81.065145000000001</v>
      </c>
      <c r="H44">
        <f>C27</f>
        <v>85</v>
      </c>
      <c r="I44">
        <f ca="1">C31</f>
        <v>80.776499999999999</v>
      </c>
      <c r="J44">
        <f>C27</f>
        <v>85</v>
      </c>
      <c r="K44">
        <f>C32</f>
        <v>90</v>
      </c>
    </row>
    <row r="45" spans="1:27" x14ac:dyDescent="0.3">
      <c r="B45">
        <f>D27</f>
        <v>95</v>
      </c>
      <c r="C45">
        <f>D28</f>
        <v>110.55225</v>
      </c>
      <c r="D45">
        <f>D27</f>
        <v>95</v>
      </c>
      <c r="E45">
        <f ca="1">D29</f>
        <v>110.16629999999999</v>
      </c>
      <c r="F45">
        <f>D27</f>
        <v>95</v>
      </c>
      <c r="G45">
        <f>D30</f>
        <v>89.982310949999999</v>
      </c>
      <c r="H45">
        <f>D27</f>
        <v>95</v>
      </c>
      <c r="I45">
        <f ca="1">D31</f>
        <v>96.770246999999998</v>
      </c>
      <c r="J45">
        <f>D27</f>
        <v>95</v>
      </c>
      <c r="K45">
        <f>D32</f>
        <v>144</v>
      </c>
    </row>
    <row r="46" spans="1:27" x14ac:dyDescent="0.3">
      <c r="B46">
        <f>E27</f>
        <v>105</v>
      </c>
      <c r="C46">
        <f>E28</f>
        <v>146.15007450000002</v>
      </c>
      <c r="D46">
        <f>E27</f>
        <v>105</v>
      </c>
      <c r="E46">
        <f ca="1">E29</f>
        <v>144.09752039999998</v>
      </c>
      <c r="F46">
        <f>E27</f>
        <v>105</v>
      </c>
      <c r="G46">
        <f>E30</f>
        <v>99.880365154499998</v>
      </c>
      <c r="H46">
        <f>E27</f>
        <v>105</v>
      </c>
      <c r="I46">
        <f ca="1">E31</f>
        <v>115.930755906</v>
      </c>
      <c r="J46">
        <f>E27</f>
        <v>105</v>
      </c>
      <c r="K46">
        <f>E32</f>
        <v>230.39999999999998</v>
      </c>
    </row>
    <row r="47" spans="1:27" x14ac:dyDescent="0.3">
      <c r="B47">
        <f>F27</f>
        <v>115</v>
      </c>
      <c r="C47">
        <f>F28</f>
        <v>193.21039848900003</v>
      </c>
      <c r="D47">
        <f>F27</f>
        <v>115</v>
      </c>
      <c r="E47">
        <f ca="1">F29</f>
        <v>188.47955668319997</v>
      </c>
      <c r="F47">
        <f>F27</f>
        <v>115</v>
      </c>
      <c r="G47">
        <f ca="1">F31</f>
        <v>138.88504557538801</v>
      </c>
      <c r="H47">
        <f>F27</f>
        <v>115</v>
      </c>
      <c r="I47">
        <f ca="1">F31</f>
        <v>138.88504557538801</v>
      </c>
      <c r="J47">
        <f>F27</f>
        <v>115</v>
      </c>
      <c r="K47">
        <f>F32</f>
        <v>368.64</v>
      </c>
    </row>
  </sheetData>
  <mergeCells count="2">
    <mergeCell ref="A23:F23"/>
    <mergeCell ref="N31:AA3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8C13-CB4C-4120-B714-4BB557B0FF38}">
  <dimension ref="A1:AA47"/>
  <sheetViews>
    <sheetView zoomScale="75" zoomScaleNormal="75" workbookViewId="0">
      <selection activeCell="R2" sqref="R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20.399999999999999</v>
      </c>
      <c r="D2">
        <f t="shared" ref="D2:M2" si="0">C2-(C2/100*D1)</f>
        <v>20.195999999999998</v>
      </c>
      <c r="E2">
        <f t="shared" si="0"/>
        <v>19.792079999999999</v>
      </c>
      <c r="F2">
        <f t="shared" si="0"/>
        <v>19.198317599999999</v>
      </c>
      <c r="G2">
        <f t="shared" si="0"/>
        <v>18.430384896</v>
      </c>
      <c r="H2">
        <f t="shared" si="0"/>
        <v>17.508865651200001</v>
      </c>
      <c r="I2">
        <f t="shared" si="0"/>
        <v>16.458333712128002</v>
      </c>
      <c r="J2">
        <f t="shared" si="0"/>
        <v>15.306250352279042</v>
      </c>
      <c r="K2">
        <f t="shared" si="0"/>
        <v>14.081750324096719</v>
      </c>
      <c r="L2">
        <f t="shared" si="0"/>
        <v>12.814392794928015</v>
      </c>
      <c r="M2">
        <f t="shared" si="0"/>
        <v>11.532953515435214</v>
      </c>
      <c r="N2" s="8"/>
      <c r="O2" s="21"/>
      <c r="Q2" s="3" t="s">
        <v>0</v>
      </c>
      <c r="R2" s="16">
        <f>B27+ ((1 -((C2 / 20.4) * 0.7 )-((C3 / 100) * 0.3 )) * 100)</f>
        <v>75</v>
      </c>
    </row>
    <row r="3" spans="1:20" x14ac:dyDescent="0.3">
      <c r="A3" s="3" t="s">
        <v>0</v>
      </c>
      <c r="B3" s="3" t="s">
        <v>16</v>
      </c>
      <c r="C3" s="9">
        <v>100</v>
      </c>
      <c r="D3">
        <f>C3-(C3/100*D1)</f>
        <v>99</v>
      </c>
      <c r="E3">
        <f t="shared" ref="E3:M3" si="1">D3-(D3/100*E1)</f>
        <v>97.02</v>
      </c>
      <c r="F3">
        <f t="shared" si="1"/>
        <v>94.109399999999994</v>
      </c>
      <c r="G3">
        <f t="shared" si="1"/>
        <v>90.345023999999995</v>
      </c>
      <c r="H3">
        <f t="shared" si="1"/>
        <v>85.827772799999991</v>
      </c>
      <c r="I3">
        <f t="shared" si="1"/>
        <v>80.678106431999993</v>
      </c>
      <c r="J3">
        <f t="shared" si="1"/>
        <v>75.030638981759992</v>
      </c>
      <c r="K3">
        <f t="shared" si="1"/>
        <v>69.028187863219188</v>
      </c>
      <c r="L3">
        <f t="shared" si="1"/>
        <v>62.815650955529463</v>
      </c>
      <c r="M3">
        <f t="shared" si="1"/>
        <v>56.534085859976514</v>
      </c>
      <c r="N3" s="8"/>
      <c r="O3" s="21"/>
      <c r="Q3" s="4" t="s">
        <v>1</v>
      </c>
      <c r="R3" s="4">
        <f ca="1">((O4/100*50)+(O5/100*25)+(O6/100*25))</f>
        <v>75</v>
      </c>
      <c r="T3" s="23" t="s">
        <v>8</v>
      </c>
    </row>
    <row r="4" spans="1:20" ht="18" customHeight="1" x14ac:dyDescent="0.3">
      <c r="A4" s="4" t="s">
        <v>17</v>
      </c>
      <c r="B4" s="4" t="s">
        <v>18</v>
      </c>
      <c r="C4" s="10">
        <v>19</v>
      </c>
      <c r="D4">
        <f>C4-(C4/100*D1)</f>
        <v>18.809999999999999</v>
      </c>
      <c r="E4">
        <f t="shared" ref="E4:M4" si="2">D4-(D4/100*E1)</f>
        <v>18.433799999999998</v>
      </c>
      <c r="F4">
        <f t="shared" si="2"/>
        <v>17.880785999999997</v>
      </c>
      <c r="G4">
        <f t="shared" si="2"/>
        <v>17.165554559999997</v>
      </c>
      <c r="H4">
        <f t="shared" si="2"/>
        <v>16.307276831999996</v>
      </c>
      <c r="I4">
        <f t="shared" si="2"/>
        <v>15.328840222079997</v>
      </c>
      <c r="J4">
        <f t="shared" si="2"/>
        <v>14.255821406534396</v>
      </c>
      <c r="K4">
        <f t="shared" si="2"/>
        <v>13.115355694011644</v>
      </c>
      <c r="L4">
        <f t="shared" si="2"/>
        <v>11.934973681550595</v>
      </c>
      <c r="M4">
        <f t="shared" si="2"/>
        <v>10.741476313395536</v>
      </c>
      <c r="N4" s="8"/>
      <c r="O4" s="18">
        <f ca="1">IF(B27&lt;30, FORECAST(C4, OFFSET(Strength_Normative_Data!$A$3, MATCH(C4, Strength_Normative_Data!$C$3:$C$5, 1)-1, 0, 2), OFFSET(Strength_Normative_Data!$C$3, MATCH(C4, Strength_Normative_Data!$C$3:$C$5, 1)-1, 0, 2)), FORECAST(C4, OFFSET(Strength_Normative_Data!$A$5, MATCH(C4, Strength_Normative_Data!$C$5:$C$16, -1)-1, 0, 2), OFFSET(Strength_Normative_Data!$C$5, MATCH(C4, Strength_Normative_Data!$C$5:$C$16, -1)-1, 0, 2)))</f>
        <v>75</v>
      </c>
      <c r="Q4" s="5" t="s">
        <v>2</v>
      </c>
      <c r="R4" s="5">
        <f>B27 - 9*R11</f>
        <v>76.79185714285714</v>
      </c>
      <c r="T4" s="1">
        <f ca="1">(R2/100*20)+(R3/100*20)+(R4/100*25)+(R5/100*20)+(R6/100*15)</f>
        <v>75.747964285714289</v>
      </c>
    </row>
    <row r="5" spans="1:20" x14ac:dyDescent="0.3">
      <c r="A5" s="4" t="s">
        <v>17</v>
      </c>
      <c r="B5" s="4" t="s">
        <v>19</v>
      </c>
      <c r="C5" s="10">
        <v>1.65</v>
      </c>
      <c r="L5" s="8"/>
      <c r="M5" s="8">
        <f>C5-(C5/100*12)</f>
        <v>1.452</v>
      </c>
      <c r="N5" s="8"/>
      <c r="O5" s="18">
        <f ca="1">FORECAST(C5, OFFSET(Strength_Normative_Data!$O$3, MATCH(C5, Strength_Normative_Data!$Q$3:$Q$17, -1)-1, 0, 2), OFFSET(Strength_Normative_Data!$Q$3, MATCH(C5, Strength_Normative_Data!$Q$3:$Q$17, -1)-1, 0, 2))</f>
        <v>75</v>
      </c>
      <c r="Q5" s="6" t="s">
        <v>29</v>
      </c>
      <c r="R5" s="6">
        <f ca="1">((O14/100*30)+(O15/100*25)+(O16/100*30)+(O17/100*15))</f>
        <v>76.5</v>
      </c>
    </row>
    <row r="6" spans="1:20" x14ac:dyDescent="0.3">
      <c r="A6" s="4" t="s">
        <v>17</v>
      </c>
      <c r="B6" s="4" t="s">
        <v>20</v>
      </c>
      <c r="C6" s="10">
        <v>12</v>
      </c>
      <c r="L6" s="8"/>
      <c r="M6" s="8">
        <f>C6-(C6/100*12)</f>
        <v>10.56</v>
      </c>
      <c r="N6" s="8"/>
      <c r="O6" s="18">
        <f ca="1">FORECAST(C6, OFFSET(Strength_Normative_Data!$J$3, MATCH(C6, Strength_Normative_Data!$L$3:$L$16, -1)-1, 0, 2), OFFSET(Strength_Normative_Data!$L$3, MATCH(C6, Strength_Normative_Data!$L$3:$L$16, -1)-1, 0, 2))</f>
        <v>75</v>
      </c>
      <c r="Q6" s="7" t="s">
        <v>4</v>
      </c>
      <c r="R6" s="7">
        <f>((O18/100*60)+(O19/100*40))</f>
        <v>75</v>
      </c>
    </row>
    <row r="7" spans="1:20" x14ac:dyDescent="0.3">
      <c r="A7" s="5" t="s">
        <v>21</v>
      </c>
      <c r="B7" s="5" t="s">
        <v>22</v>
      </c>
      <c r="C7" s="11">
        <v>43</v>
      </c>
      <c r="L7" s="8"/>
      <c r="M7" s="8">
        <f>C7+(C7/100*6)</f>
        <v>45.58</v>
      </c>
      <c r="N7" s="8"/>
      <c r="O7" s="22"/>
    </row>
    <row r="8" spans="1:20" x14ac:dyDescent="0.3">
      <c r="A8" s="5" t="s">
        <v>21</v>
      </c>
      <c r="B8" s="5" t="s">
        <v>23</v>
      </c>
      <c r="C8" s="11">
        <v>0.64</v>
      </c>
      <c r="L8" s="8"/>
      <c r="M8" s="8">
        <f>C8+(C8/100*4)</f>
        <v>0.66559999999999997</v>
      </c>
      <c r="N8" s="8"/>
      <c r="O8" s="22">
        <f xml:space="preserve">
IF(C8&lt;=0.4,0,
IF(C8&lt;=0.5,20*(C8-0.4)/0.1,
IF(C8&lt;=0.6,20+40*(C8-0.5)/0.1,
60+40*(MIN(C8,0.75)-0.6)/0.15)))</f>
        <v>70.666666666666671</v>
      </c>
    </row>
    <row r="9" spans="1:20" x14ac:dyDescent="0.3">
      <c r="A9" s="5" t="s">
        <v>21</v>
      </c>
      <c r="B9" s="5" t="s">
        <v>24</v>
      </c>
      <c r="C9" s="11">
        <v>5.5</v>
      </c>
      <c r="L9" s="8"/>
      <c r="M9" s="8"/>
      <c r="N9" s="8"/>
      <c r="O9" s="22"/>
    </row>
    <row r="10" spans="1:20" x14ac:dyDescent="0.3">
      <c r="A10" s="5" t="s">
        <v>21</v>
      </c>
      <c r="B10" s="5" t="s">
        <v>25</v>
      </c>
      <c r="C10" s="11">
        <v>6</v>
      </c>
      <c r="L10" s="8"/>
      <c r="M10" s="8">
        <f>C10+(C10/100*5)</f>
        <v>6.3</v>
      </c>
      <c r="N10" s="8"/>
      <c r="O10" s="22">
        <f xml:space="preserve">
IF(C10&lt;5.7,10*(C10/5.7),
IF(C10&lt;6.5,10+40*(C10-5.7)/0.8,
50+50*(MIN(C10,9)-6.5)/2.5))</f>
        <v>24.999999999999993</v>
      </c>
      <c r="Q10" t="s">
        <v>89</v>
      </c>
      <c r="R10" t="s">
        <v>90</v>
      </c>
    </row>
    <row r="11" spans="1:20" x14ac:dyDescent="0.3">
      <c r="A11" s="5" t="s">
        <v>21</v>
      </c>
      <c r="B11" s="5" t="s">
        <v>26</v>
      </c>
      <c r="C11" s="11">
        <v>2.8</v>
      </c>
      <c r="L11" s="8"/>
      <c r="M11" s="8">
        <f>C11+(C11/100*14)</f>
        <v>3.1919999999999997</v>
      </c>
      <c r="N11" s="8"/>
      <c r="O11" s="5">
        <f xml:space="preserve">
IF(C11&lt;1.6,10*(C11/1.6),
IF(C11&lt;3,10+40*(C11-1.6)/1.4,
50+50*(MIN(C11,7)-3)/4))</f>
        <v>44.285714285714278</v>
      </c>
      <c r="Q11">
        <f>(0.3*P12)+(0.2*O8)+(0.15*O10)+(0.25*O11)+(0.1*O13)</f>
        <v>44.954761904761902</v>
      </c>
      <c r="R11">
        <f xml:space="preserve">
IF(Q11&lt;=10,1.5-0.1*Q11,
IF(Q11&lt;=60,0.5-0.02*(Q11-10),
-0.5-0.03*(Q11-60)))</f>
        <v>-0.1990952380952381</v>
      </c>
    </row>
    <row r="12" spans="1:20" x14ac:dyDescent="0.3">
      <c r="A12" s="5" t="s">
        <v>21</v>
      </c>
      <c r="B12" s="5" t="s">
        <v>27</v>
      </c>
      <c r="C12" s="11">
        <v>1.08</v>
      </c>
      <c r="L12" s="8"/>
      <c r="M12" s="8">
        <f>C12+(C12/100*6)</f>
        <v>1.1448</v>
      </c>
      <c r="N12" s="8"/>
      <c r="O12" s="5">
        <f>C12*100</f>
        <v>108</v>
      </c>
      <c r="P12" s="5">
        <f xml:space="preserve">
IF(O12&lt;80,5*(O12/80),
IF(O12&lt;100,10+20*(O12-80)/20,
IF(O12&lt;130,30+25*(O12-100)/30,
IF(O12&lt;160,55+25*(O12-130)/30,
IF(O12&lt;200,80+20*(O12-160)/40,100)))))</f>
        <v>36.666666666666664</v>
      </c>
    </row>
    <row r="13" spans="1:20" x14ac:dyDescent="0.3">
      <c r="A13" s="5" t="s">
        <v>21</v>
      </c>
      <c r="B13" s="5" t="s">
        <v>28</v>
      </c>
      <c r="C13" s="11">
        <v>3</v>
      </c>
      <c r="L13" s="8"/>
      <c r="M13" s="8">
        <f>C13+(C13/100*18)</f>
        <v>3.54</v>
      </c>
      <c r="N13" s="8"/>
      <c r="O13" s="5">
        <f xml:space="preserve">
IF(C13&lt;1,10*(C13/1),
IF(C13&lt;3,10+40*(C13-1)/2,
50+50*(MIN(C13,10)-3)/7))</f>
        <v>50</v>
      </c>
    </row>
    <row r="14" spans="1:20" x14ac:dyDescent="0.3">
      <c r="A14" s="6" t="s">
        <v>29</v>
      </c>
      <c r="B14" s="6" t="s">
        <v>30</v>
      </c>
      <c r="C14" s="12">
        <v>1.05</v>
      </c>
      <c r="L14" s="8"/>
      <c r="M14" s="8">
        <f>C14+(C14/100*6)</f>
        <v>1.113</v>
      </c>
      <c r="N14" s="8"/>
      <c r="O14" s="12">
        <f ca="1">IFERROR(FORECAST(C14, OFFSET(Mobility_Normative_Data!$A$3, MATCH(C14, Mobility_Normative_Data!$C$3:$C$17, -1)-1, 0, 2), OFFSET(Mobility_Normative_Data!$C$3, MATCH(C14, Mobility_Normative_Data!$C$3:$C$17, -1)-1, 0, 2)), INDEX(Mobility_Normative_Data!$A$3:$A$17, MATCH(C14, Mobility_Normative_Data!$C$3:$C$17, -1)))</f>
        <v>80</v>
      </c>
    </row>
    <row r="15" spans="1:20" x14ac:dyDescent="0.3">
      <c r="A15" s="6" t="s">
        <v>29</v>
      </c>
      <c r="B15" s="6" t="s">
        <v>31</v>
      </c>
      <c r="C15" s="12">
        <v>10</v>
      </c>
      <c r="L15" s="8"/>
      <c r="M15" s="8">
        <f>C15+(C15/100*10)</f>
        <v>11</v>
      </c>
      <c r="N15" s="8"/>
      <c r="O15" s="12">
        <f ca="1">FORECAST(C15, OFFSET(Mobility_Normative_Data!$E$3, MATCH(C15, Mobility_Normative_Data!$G$3:$G$18, 1)-1, 0, 2), OFFSET(Mobility_Normative_Data!$G$3, MATCH(C15, Mobility_Normative_Data!$G$3:$G$18, 1)-1, 0, 2))</f>
        <v>75</v>
      </c>
    </row>
    <row r="16" spans="1:20" x14ac:dyDescent="0.3">
      <c r="A16" s="6" t="s">
        <v>29</v>
      </c>
      <c r="B16" s="6" t="s">
        <v>32</v>
      </c>
      <c r="C16" s="12">
        <v>11</v>
      </c>
      <c r="L16" s="8"/>
      <c r="M16" s="8">
        <f>C16+(C16/100*20)</f>
        <v>13.2</v>
      </c>
      <c r="N16" s="8"/>
      <c r="O16" s="12">
        <f ca="1">FORECAST(C16, OFFSET(Mobility_Normative_Data!$I$3, MATCH(C16, Mobility_Normative_Data!$K$3:$K$17, -1)-1, 0, 2), OFFSET(Mobility_Normative_Data!$K$3, MATCH(C16, Mobility_Normative_Data!$K$3:$K$17, -1)-1, 0, 2))</f>
        <v>75</v>
      </c>
    </row>
    <row r="17" spans="1:27" x14ac:dyDescent="0.3">
      <c r="A17" s="6" t="s">
        <v>29</v>
      </c>
      <c r="B17" s="6" t="s">
        <v>33</v>
      </c>
      <c r="C17" s="12">
        <v>27.5</v>
      </c>
      <c r="L17" s="8"/>
      <c r="M17" s="8">
        <f>C17+(C17/100*10)</f>
        <v>30.25</v>
      </c>
      <c r="N17" s="8"/>
      <c r="O17" s="12">
        <f ca="1">FORECAST(C17, OFFSET(Mobility_Normative_Data!$M$3, MATCH(C17, Mobility_Normative_Data!$O$3:$O$17, -1)-1, 0, 2), OFFSET(Mobility_Normative_Data!$O$3, MATCH(C17, Mobility_Normative_Data!$O$3:$O$17, -1)-1, 0, 2))</f>
        <v>75.000000000000014</v>
      </c>
    </row>
    <row r="18" spans="1:27" x14ac:dyDescent="0.3">
      <c r="A18" s="7" t="s">
        <v>34</v>
      </c>
      <c r="B18" s="7" t="s">
        <v>35</v>
      </c>
      <c r="C18" s="13">
        <v>0</v>
      </c>
      <c r="L18" s="8"/>
      <c r="M18" s="8">
        <f>C18 +(-0.2)</f>
        <v>-0.2</v>
      </c>
      <c r="N18" s="8"/>
      <c r="O18" s="20">
        <f>MAX(18,B27-(C18*25))</f>
        <v>75</v>
      </c>
    </row>
    <row r="19" spans="1:27" x14ac:dyDescent="0.3">
      <c r="A19" s="7" t="s">
        <v>34</v>
      </c>
      <c r="B19" s="7" t="s">
        <v>36</v>
      </c>
      <c r="C19" s="13">
        <v>0</v>
      </c>
      <c r="L19" s="8"/>
      <c r="M19" s="8">
        <f>C19+(-0.2)</f>
        <v>-0.2</v>
      </c>
      <c r="N19" s="8"/>
      <c r="O19" s="20">
        <f>MAX(18,B27-(J1925))</f>
        <v>75</v>
      </c>
    </row>
    <row r="23" spans="1:27" x14ac:dyDescent="0.3">
      <c r="A23" s="43" t="s">
        <v>37</v>
      </c>
      <c r="B23" s="43"/>
      <c r="C23" s="43"/>
      <c r="D23" s="43"/>
      <c r="E23" s="43"/>
      <c r="F23" s="43"/>
    </row>
    <row r="25" spans="1:27" x14ac:dyDescent="0.3">
      <c r="B25" t="s">
        <v>5</v>
      </c>
      <c r="C25" t="s">
        <v>6</v>
      </c>
      <c r="D25" t="s">
        <v>9</v>
      </c>
      <c r="E25" t="s">
        <v>10</v>
      </c>
      <c r="F25" t="s">
        <v>11</v>
      </c>
    </row>
    <row r="26" spans="1:27" x14ac:dyDescent="0.3">
      <c r="A26" t="s">
        <v>43</v>
      </c>
      <c r="B26" t="s">
        <v>44</v>
      </c>
    </row>
    <row r="27" spans="1:27" x14ac:dyDescent="0.3">
      <c r="A27" t="s">
        <v>7</v>
      </c>
      <c r="B27">
        <v>75</v>
      </c>
      <c r="C27">
        <f>B27+10</f>
        <v>85</v>
      </c>
      <c r="D27">
        <f>C27+10</f>
        <v>95</v>
      </c>
      <c r="E27">
        <f>D27+10</f>
        <v>105</v>
      </c>
      <c r="F27">
        <f>E27+10</f>
        <v>115</v>
      </c>
    </row>
    <row r="28" spans="1:27" x14ac:dyDescent="0.3">
      <c r="A28" t="s">
        <v>0</v>
      </c>
      <c r="B28" s="24">
        <f>R2</f>
        <v>75</v>
      </c>
      <c r="C28">
        <f>B28+(B28/100*11.5)</f>
        <v>83.625</v>
      </c>
      <c r="D28">
        <f>C28+(C28/100*32.2)</f>
        <v>110.55225</v>
      </c>
      <c r="E28">
        <f>D28+(D28/100*32.2)</f>
        <v>146.15007450000002</v>
      </c>
      <c r="F28">
        <f>E28+(E28/100*32.2)</f>
        <v>193.21039848900003</v>
      </c>
    </row>
    <row r="29" spans="1:27" x14ac:dyDescent="0.3">
      <c r="A29" t="s">
        <v>1</v>
      </c>
      <c r="B29">
        <f ca="1">R3</f>
        <v>75</v>
      </c>
      <c r="C29">
        <f ca="1">B29+(B29/100*12.3)</f>
        <v>84.224999999999994</v>
      </c>
      <c r="D29">
        <f ca="1">C29+(C29/100*30.8)</f>
        <v>110.16629999999999</v>
      </c>
      <c r="E29">
        <f ca="1">D29+(D29/100*30.8)</f>
        <v>144.09752039999998</v>
      </c>
      <c r="F29">
        <f ca="1">E29+(E29/100*30.8)</f>
        <v>188.47955668319997</v>
      </c>
    </row>
    <row r="30" spans="1:27" x14ac:dyDescent="0.3">
      <c r="A30" t="s">
        <v>2</v>
      </c>
      <c r="B30">
        <f>R4</f>
        <v>76.79185714285714</v>
      </c>
      <c r="C30">
        <f>B30+(B30/100*5.5)</f>
        <v>81.015409285714284</v>
      </c>
      <c r="D30">
        <f>C30+(C30/100*11)</f>
        <v>89.927104307142855</v>
      </c>
      <c r="E30">
        <f>D30+(D30/100*11)</f>
        <v>99.819085780928575</v>
      </c>
      <c r="F30">
        <f>E30+(E30/100*11)</f>
        <v>110.79918521683072</v>
      </c>
    </row>
    <row r="31" spans="1:27" x14ac:dyDescent="0.3">
      <c r="A31" t="s">
        <v>3</v>
      </c>
      <c r="B31">
        <f ca="1">R5</f>
        <v>76.5</v>
      </c>
      <c r="C31">
        <f ca="1">B31+(B31/100*9.9)</f>
        <v>84.073499999999996</v>
      </c>
      <c r="D31">
        <f ca="1">C31+(C31/100*19.8)</f>
        <v>100.72005299999999</v>
      </c>
      <c r="E31">
        <f ca="1">D31+(D31/100*19.8)</f>
        <v>120.662623494</v>
      </c>
      <c r="F31">
        <f ca="1">E31+(E31/100*19.8)</f>
        <v>144.55382294581202</v>
      </c>
      <c r="N31" s="46" t="s">
        <v>104</v>
      </c>
      <c r="O31" s="46"/>
      <c r="P31" s="46"/>
      <c r="Q31" s="46"/>
      <c r="R31" s="46"/>
      <c r="S31" s="46"/>
      <c r="T31" s="46"/>
      <c r="U31" s="46"/>
      <c r="V31" s="46"/>
      <c r="W31" s="46"/>
      <c r="X31" s="46"/>
      <c r="Y31" s="46"/>
      <c r="Z31" s="46"/>
      <c r="AA31" s="46"/>
    </row>
    <row r="32" spans="1:27" ht="100.8" x14ac:dyDescent="0.3">
      <c r="A32" t="s">
        <v>4</v>
      </c>
      <c r="B32">
        <f>R6</f>
        <v>75</v>
      </c>
      <c r="C32">
        <f>B32+(B32/100*20)</f>
        <v>90</v>
      </c>
      <c r="D32">
        <f>C32+(C32/100*60)</f>
        <v>144</v>
      </c>
      <c r="E32">
        <f>D32+(D32/100*60)</f>
        <v>230.39999999999998</v>
      </c>
      <c r="F32">
        <f>E32+(E32/100*60)</f>
        <v>368.64</v>
      </c>
      <c r="N32" s="2" t="s">
        <v>103</v>
      </c>
      <c r="O32" s="2" t="s">
        <v>115</v>
      </c>
      <c r="P32" s="2"/>
      <c r="Q32" s="2" t="s">
        <v>103</v>
      </c>
      <c r="R32" s="2" t="s">
        <v>116</v>
      </c>
      <c r="S32" s="2"/>
      <c r="T32" s="2" t="s">
        <v>103</v>
      </c>
      <c r="U32" s="2" t="s">
        <v>117</v>
      </c>
      <c r="V32" s="2"/>
      <c r="W32" s="2" t="s">
        <v>103</v>
      </c>
      <c r="X32" s="2" t="s">
        <v>118</v>
      </c>
      <c r="Y32" s="2"/>
      <c r="Z32" s="2" t="s">
        <v>103</v>
      </c>
      <c r="AA32" s="2" t="s">
        <v>119</v>
      </c>
    </row>
    <row r="33" spans="1:27" x14ac:dyDescent="0.3">
      <c r="N33" s="2">
        <f>B27</f>
        <v>75</v>
      </c>
      <c r="O33" s="27">
        <f>R2</f>
        <v>75</v>
      </c>
      <c r="P33" s="2"/>
      <c r="Q33" s="2">
        <f>N33</f>
        <v>75</v>
      </c>
      <c r="R33" s="2">
        <f ca="1">R3</f>
        <v>75</v>
      </c>
      <c r="S33" s="2"/>
      <c r="T33" s="2">
        <f>N33</f>
        <v>75</v>
      </c>
      <c r="U33" s="2">
        <f>R4</f>
        <v>76.79185714285714</v>
      </c>
      <c r="V33" s="2"/>
      <c r="W33" s="2">
        <f>N33</f>
        <v>75</v>
      </c>
      <c r="X33" s="2">
        <f ca="1">R5</f>
        <v>76.5</v>
      </c>
      <c r="Y33" s="2"/>
      <c r="Z33" s="2">
        <f>N33</f>
        <v>75</v>
      </c>
      <c r="AA33">
        <f>R6</f>
        <v>75</v>
      </c>
    </row>
    <row r="34" spans="1:27" x14ac:dyDescent="0.3">
      <c r="N34" s="2">
        <f>N33+1</f>
        <v>76</v>
      </c>
      <c r="O34" s="2">
        <f>O33+(O33*0.0115)</f>
        <v>75.862499999999997</v>
      </c>
      <c r="P34" s="2"/>
      <c r="Q34" s="2">
        <f>Q33+1</f>
        <v>76</v>
      </c>
      <c r="R34" s="2">
        <f ca="1">R33+(R33*0.0123)</f>
        <v>75.922499999999999</v>
      </c>
      <c r="S34" s="2"/>
      <c r="T34" s="2">
        <f>T33+1</f>
        <v>76</v>
      </c>
      <c r="U34" s="2">
        <f t="shared" ref="U34:U43" si="3">U33+(U33*0.0055)</f>
        <v>77.214212357142856</v>
      </c>
      <c r="V34" s="2"/>
      <c r="W34" s="2">
        <f>W33+1</f>
        <v>76</v>
      </c>
      <c r="X34" s="2">
        <f ca="1">X33+(X33*0.0099)</f>
        <v>77.257350000000002</v>
      </c>
      <c r="Y34" s="2"/>
      <c r="Z34" s="2">
        <f>Z33+1</f>
        <v>76</v>
      </c>
      <c r="AA34">
        <f>AA33+(AA33*0.02)</f>
        <v>76.5</v>
      </c>
    </row>
    <row r="35" spans="1:27" x14ac:dyDescent="0.3">
      <c r="N35" s="2">
        <f t="shared" ref="N35:N43" si="4">N34+1</f>
        <v>77</v>
      </c>
      <c r="O35" s="2">
        <f t="shared" ref="O35:O43" si="5">O34+(O34*0.0115)</f>
        <v>76.734918749999991</v>
      </c>
      <c r="P35" s="2"/>
      <c r="Q35" s="2">
        <f t="shared" ref="Q35:Q43" si="6">Q34+1</f>
        <v>77</v>
      </c>
      <c r="R35" s="2">
        <f t="shared" ref="R35:R43" ca="1" si="7">R34+(R34*0.0123)</f>
        <v>76.85634675</v>
      </c>
      <c r="S35" s="2"/>
      <c r="T35" s="2">
        <f t="shared" ref="T35:T43" si="8">T34+1</f>
        <v>77</v>
      </c>
      <c r="U35" s="2">
        <f t="shared" si="3"/>
        <v>77.638890525107144</v>
      </c>
      <c r="V35" s="2"/>
      <c r="W35" s="2">
        <f t="shared" ref="W35:W43" si="9">W34+1</f>
        <v>77</v>
      </c>
      <c r="X35" s="2">
        <f t="shared" ref="X35:X43" ca="1" si="10">X34+(X34*0.0099)</f>
        <v>78.022197765000001</v>
      </c>
      <c r="Y35" s="2"/>
      <c r="Z35" s="2">
        <f t="shared" ref="Z35:Z43" si="11">Z34+1</f>
        <v>77</v>
      </c>
      <c r="AA35">
        <f t="shared" ref="AA35:AA43" si="12">AA34+(AA34*0.02)</f>
        <v>78.03</v>
      </c>
    </row>
    <row r="36" spans="1:27" x14ac:dyDescent="0.3">
      <c r="A36" t="s">
        <v>8</v>
      </c>
      <c r="N36" s="2">
        <f t="shared" si="4"/>
        <v>78</v>
      </c>
      <c r="O36" s="2">
        <f t="shared" si="5"/>
        <v>77.617370315624996</v>
      </c>
      <c r="P36" s="2"/>
      <c r="Q36" s="2">
        <f t="shared" si="6"/>
        <v>78</v>
      </c>
      <c r="R36" s="2">
        <f t="shared" ca="1" si="7"/>
        <v>77.801679815024997</v>
      </c>
      <c r="S36" s="2"/>
      <c r="T36" s="2">
        <f t="shared" si="8"/>
        <v>78</v>
      </c>
      <c r="U36" s="2">
        <f t="shared" si="3"/>
        <v>78.065904422995231</v>
      </c>
      <c r="V36" s="2"/>
      <c r="W36" s="2">
        <f t="shared" si="9"/>
        <v>78</v>
      </c>
      <c r="X36" s="2">
        <f t="shared" ca="1" si="10"/>
        <v>78.794617522873494</v>
      </c>
      <c r="Y36" s="2"/>
      <c r="Z36" s="2">
        <f t="shared" si="11"/>
        <v>78</v>
      </c>
      <c r="AA36">
        <f t="shared" si="12"/>
        <v>79.590599999999995</v>
      </c>
    </row>
    <row r="37" spans="1:27" x14ac:dyDescent="0.3">
      <c r="A37" s="1">
        <f ca="1">(B28/100*20)+(B29/100*20)+(B30/100*25)+(B31/100*20)+(B32/100*15)</f>
        <v>75.747964285714289</v>
      </c>
      <c r="N37" s="2">
        <f t="shared" si="4"/>
        <v>79</v>
      </c>
      <c r="O37" s="2">
        <f t="shared" si="5"/>
        <v>78.509970074254682</v>
      </c>
      <c r="P37" s="2"/>
      <c r="Q37" s="2">
        <f t="shared" si="6"/>
        <v>79</v>
      </c>
      <c r="R37" s="2">
        <f t="shared" ca="1" si="7"/>
        <v>78.758640476749804</v>
      </c>
      <c r="S37" s="2"/>
      <c r="T37" s="2">
        <f t="shared" si="8"/>
        <v>79</v>
      </c>
      <c r="U37" s="2">
        <f t="shared" si="3"/>
        <v>78.495266897321699</v>
      </c>
      <c r="V37" s="2"/>
      <c r="W37" s="2">
        <f t="shared" si="9"/>
        <v>79</v>
      </c>
      <c r="X37" s="2">
        <f t="shared" ca="1" si="10"/>
        <v>79.574684236349938</v>
      </c>
      <c r="Y37" s="2"/>
      <c r="Z37" s="2">
        <f t="shared" si="11"/>
        <v>79</v>
      </c>
      <c r="AA37">
        <f t="shared" si="12"/>
        <v>81.182411999999999</v>
      </c>
    </row>
    <row r="38" spans="1:27" x14ac:dyDescent="0.3">
      <c r="N38" s="2">
        <f t="shared" si="4"/>
        <v>80</v>
      </c>
      <c r="O38" s="2">
        <f t="shared" si="5"/>
        <v>79.412834730108614</v>
      </c>
      <c r="P38" s="2"/>
      <c r="Q38" s="2">
        <f t="shared" si="6"/>
        <v>80</v>
      </c>
      <c r="R38" s="2">
        <f t="shared" ca="1" si="7"/>
        <v>79.727371754613827</v>
      </c>
      <c r="S38" s="2"/>
      <c r="T38" s="2">
        <f t="shared" si="8"/>
        <v>80</v>
      </c>
      <c r="U38" s="2">
        <f t="shared" si="3"/>
        <v>78.926990865256968</v>
      </c>
      <c r="V38" s="2"/>
      <c r="W38" s="2">
        <f t="shared" si="9"/>
        <v>80</v>
      </c>
      <c r="X38" s="2">
        <f t="shared" ca="1" si="10"/>
        <v>80.362473610289797</v>
      </c>
      <c r="Y38" s="2"/>
      <c r="Z38" s="2">
        <f t="shared" si="11"/>
        <v>80</v>
      </c>
      <c r="AA38">
        <f t="shared" si="12"/>
        <v>82.806060239999994</v>
      </c>
    </row>
    <row r="39" spans="1:27" x14ac:dyDescent="0.3">
      <c r="N39" s="2">
        <f t="shared" si="4"/>
        <v>81</v>
      </c>
      <c r="O39" s="2">
        <f t="shared" si="5"/>
        <v>80.326082329504857</v>
      </c>
      <c r="P39" s="2"/>
      <c r="Q39" s="2">
        <f t="shared" si="6"/>
        <v>81</v>
      </c>
      <c r="R39" s="2">
        <f t="shared" ca="1" si="7"/>
        <v>80.708018427195583</v>
      </c>
      <c r="S39" s="2"/>
      <c r="T39" s="2">
        <f t="shared" si="8"/>
        <v>81</v>
      </c>
      <c r="U39" s="2">
        <f t="shared" si="3"/>
        <v>79.361089315015874</v>
      </c>
      <c r="V39" s="2"/>
      <c r="W39" s="2">
        <f t="shared" si="9"/>
        <v>81</v>
      </c>
      <c r="X39" s="2">
        <f t="shared" ca="1" si="10"/>
        <v>81.158062099031667</v>
      </c>
      <c r="Y39" s="2"/>
      <c r="Z39" s="2">
        <f t="shared" si="11"/>
        <v>81</v>
      </c>
      <c r="AA39">
        <f t="shared" si="12"/>
        <v>84.462181444799995</v>
      </c>
    </row>
    <row r="40" spans="1:27" x14ac:dyDescent="0.3">
      <c r="N40" s="2">
        <f t="shared" si="4"/>
        <v>82</v>
      </c>
      <c r="O40" s="2">
        <f t="shared" si="5"/>
        <v>81.249832276294157</v>
      </c>
      <c r="P40" s="2"/>
      <c r="Q40" s="2">
        <f t="shared" si="6"/>
        <v>82</v>
      </c>
      <c r="R40" s="2">
        <f t="shared" ca="1" si="7"/>
        <v>81.700727053850088</v>
      </c>
      <c r="S40" s="2"/>
      <c r="T40" s="2">
        <f t="shared" si="8"/>
        <v>82</v>
      </c>
      <c r="U40" s="2">
        <f t="shared" si="3"/>
        <v>79.797575306248461</v>
      </c>
      <c r="V40" s="2"/>
      <c r="W40" s="2">
        <f t="shared" si="9"/>
        <v>82</v>
      </c>
      <c r="X40" s="2">
        <f t="shared" ca="1" si="10"/>
        <v>81.961526913812079</v>
      </c>
      <c r="Y40" s="2"/>
      <c r="Z40" s="2">
        <f t="shared" si="11"/>
        <v>82</v>
      </c>
      <c r="AA40">
        <f t="shared" si="12"/>
        <v>86.151425073695989</v>
      </c>
    </row>
    <row r="41" spans="1:27" x14ac:dyDescent="0.3">
      <c r="N41" s="2">
        <f t="shared" si="4"/>
        <v>83</v>
      </c>
      <c r="O41" s="2">
        <f t="shared" si="5"/>
        <v>82.184205347471533</v>
      </c>
      <c r="P41" s="2"/>
      <c r="Q41" s="2">
        <f t="shared" si="6"/>
        <v>83</v>
      </c>
      <c r="R41" s="2">
        <f t="shared" ca="1" si="7"/>
        <v>82.705645996612446</v>
      </c>
      <c r="S41" s="2"/>
      <c r="T41" s="2">
        <f t="shared" si="8"/>
        <v>83</v>
      </c>
      <c r="U41" s="2">
        <f t="shared" si="3"/>
        <v>80.236461970432828</v>
      </c>
      <c r="V41" s="2"/>
      <c r="W41" s="2">
        <f t="shared" si="9"/>
        <v>83</v>
      </c>
      <c r="X41" s="2">
        <f t="shared" ca="1" si="10"/>
        <v>82.772946030258822</v>
      </c>
      <c r="Y41" s="2"/>
      <c r="Z41" s="2">
        <f t="shared" si="11"/>
        <v>83</v>
      </c>
      <c r="AA41">
        <f t="shared" si="12"/>
        <v>87.874453575169909</v>
      </c>
    </row>
    <row r="42" spans="1:27" x14ac:dyDescent="0.3">
      <c r="B42" t="s">
        <v>12</v>
      </c>
      <c r="C42" t="s">
        <v>0</v>
      </c>
      <c r="D42" t="s">
        <v>12</v>
      </c>
      <c r="E42" t="s">
        <v>1</v>
      </c>
      <c r="F42" t="s">
        <v>12</v>
      </c>
      <c r="G42" t="s">
        <v>2</v>
      </c>
      <c r="H42" t="s">
        <v>12</v>
      </c>
      <c r="I42" t="s">
        <v>3</v>
      </c>
      <c r="J42" t="s">
        <v>12</v>
      </c>
      <c r="K42" t="s">
        <v>4</v>
      </c>
      <c r="N42" s="2">
        <f t="shared" si="4"/>
        <v>84</v>
      </c>
      <c r="O42" s="2">
        <f t="shared" si="5"/>
        <v>83.129323708967462</v>
      </c>
      <c r="P42" s="2"/>
      <c r="Q42" s="2">
        <f t="shared" si="6"/>
        <v>84</v>
      </c>
      <c r="R42" s="2">
        <f t="shared" ca="1" si="7"/>
        <v>83.72292544237078</v>
      </c>
      <c r="S42" s="2"/>
      <c r="T42" s="2">
        <f t="shared" si="8"/>
        <v>84</v>
      </c>
      <c r="U42" s="2">
        <f t="shared" si="3"/>
        <v>80.677762511270203</v>
      </c>
      <c r="V42" s="2"/>
      <c r="W42" s="2">
        <f t="shared" si="9"/>
        <v>84</v>
      </c>
      <c r="X42" s="2">
        <f t="shared" ca="1" si="10"/>
        <v>83.592398195958381</v>
      </c>
      <c r="Y42" s="2"/>
      <c r="Z42" s="2">
        <f t="shared" si="11"/>
        <v>84</v>
      </c>
      <c r="AA42">
        <f t="shared" si="12"/>
        <v>89.631942646673309</v>
      </c>
    </row>
    <row r="43" spans="1:27" x14ac:dyDescent="0.3">
      <c r="B43">
        <f>B27</f>
        <v>75</v>
      </c>
      <c r="C43">
        <f>B28</f>
        <v>75</v>
      </c>
      <c r="D43">
        <f>B43</f>
        <v>75</v>
      </c>
      <c r="E43">
        <f ca="1">B29</f>
        <v>75</v>
      </c>
      <c r="F43">
        <f>B27</f>
        <v>75</v>
      </c>
      <c r="G43">
        <f>B30</f>
        <v>76.79185714285714</v>
      </c>
      <c r="H43">
        <f>B27</f>
        <v>75</v>
      </c>
      <c r="I43">
        <f ca="1">B31</f>
        <v>76.5</v>
      </c>
      <c r="J43">
        <f>B27</f>
        <v>75</v>
      </c>
      <c r="K43">
        <f>B32</f>
        <v>75</v>
      </c>
      <c r="N43" s="2">
        <f t="shared" si="4"/>
        <v>85</v>
      </c>
      <c r="O43" s="2">
        <f t="shared" si="5"/>
        <v>84.085310931620583</v>
      </c>
      <c r="P43" s="2"/>
      <c r="Q43" s="2">
        <f t="shared" si="6"/>
        <v>85</v>
      </c>
      <c r="R43" s="2">
        <f t="shared" ca="1" si="7"/>
        <v>84.752717425311943</v>
      </c>
      <c r="S43" s="2"/>
      <c r="T43" s="2">
        <f t="shared" si="8"/>
        <v>85</v>
      </c>
      <c r="U43" s="2">
        <f t="shared" si="3"/>
        <v>81.121490205082182</v>
      </c>
      <c r="V43" s="2"/>
      <c r="W43" s="2">
        <f t="shared" si="9"/>
        <v>85</v>
      </c>
      <c r="X43" s="2">
        <f t="shared" ca="1" si="10"/>
        <v>84.419962938098365</v>
      </c>
      <c r="Y43" s="2"/>
      <c r="Z43" s="2">
        <f t="shared" si="11"/>
        <v>85</v>
      </c>
      <c r="AA43">
        <f t="shared" si="12"/>
        <v>91.424581499606774</v>
      </c>
    </row>
    <row r="44" spans="1:27" x14ac:dyDescent="0.3">
      <c r="B44">
        <f>C27</f>
        <v>85</v>
      </c>
      <c r="C44">
        <f>C28</f>
        <v>83.625</v>
      </c>
      <c r="D44">
        <f>B44</f>
        <v>85</v>
      </c>
      <c r="E44">
        <f ca="1">C29</f>
        <v>84.224999999999994</v>
      </c>
      <c r="F44">
        <f>C27</f>
        <v>85</v>
      </c>
      <c r="G44">
        <f>C30</f>
        <v>81.015409285714284</v>
      </c>
      <c r="H44">
        <f>C27</f>
        <v>85</v>
      </c>
      <c r="I44">
        <f ca="1">C31</f>
        <v>84.073499999999996</v>
      </c>
      <c r="J44">
        <f>C27</f>
        <v>85</v>
      </c>
      <c r="K44">
        <f>C32</f>
        <v>90</v>
      </c>
    </row>
    <row r="45" spans="1:27" x14ac:dyDescent="0.3">
      <c r="B45">
        <f>D27</f>
        <v>95</v>
      </c>
      <c r="C45">
        <f>D28</f>
        <v>110.55225</v>
      </c>
      <c r="D45">
        <f>D27</f>
        <v>95</v>
      </c>
      <c r="E45">
        <f ca="1">D29</f>
        <v>110.16629999999999</v>
      </c>
      <c r="F45">
        <f>D27</f>
        <v>95</v>
      </c>
      <c r="G45">
        <f>D30</f>
        <v>89.927104307142855</v>
      </c>
      <c r="H45">
        <f>D27</f>
        <v>95</v>
      </c>
      <c r="I45">
        <f ca="1">D31</f>
        <v>100.72005299999999</v>
      </c>
      <c r="J45">
        <f>D27</f>
        <v>95</v>
      </c>
      <c r="K45">
        <f>D32</f>
        <v>144</v>
      </c>
    </row>
    <row r="46" spans="1:27" x14ac:dyDescent="0.3">
      <c r="B46">
        <f>E27</f>
        <v>105</v>
      </c>
      <c r="C46">
        <f>E28</f>
        <v>146.15007450000002</v>
      </c>
      <c r="D46">
        <f>E27</f>
        <v>105</v>
      </c>
      <c r="E46">
        <f ca="1">E29</f>
        <v>144.09752039999998</v>
      </c>
      <c r="F46">
        <f>E27</f>
        <v>105</v>
      </c>
      <c r="G46">
        <f>E30</f>
        <v>99.819085780928575</v>
      </c>
      <c r="H46">
        <f>E27</f>
        <v>105</v>
      </c>
      <c r="I46">
        <f ca="1">E31</f>
        <v>120.662623494</v>
      </c>
      <c r="J46">
        <f>E27</f>
        <v>105</v>
      </c>
      <c r="K46">
        <f>E32</f>
        <v>230.39999999999998</v>
      </c>
    </row>
    <row r="47" spans="1:27" x14ac:dyDescent="0.3">
      <c r="B47">
        <f>F27</f>
        <v>115</v>
      </c>
      <c r="C47">
        <f>F28</f>
        <v>193.21039848900003</v>
      </c>
      <c r="D47">
        <f>F27</f>
        <v>115</v>
      </c>
      <c r="E47">
        <f ca="1">F29</f>
        <v>188.47955668319997</v>
      </c>
      <c r="F47">
        <f>F27</f>
        <v>115</v>
      </c>
      <c r="G47">
        <f ca="1">F31</f>
        <v>144.55382294581202</v>
      </c>
      <c r="H47">
        <f>F27</f>
        <v>115</v>
      </c>
      <c r="I47">
        <f ca="1">F31</f>
        <v>144.55382294581202</v>
      </c>
      <c r="J47">
        <f>F27</f>
        <v>115</v>
      </c>
      <c r="K47">
        <f>F32</f>
        <v>368.64</v>
      </c>
    </row>
  </sheetData>
  <mergeCells count="2">
    <mergeCell ref="A23:F23"/>
    <mergeCell ref="N31:AA3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81EE-3D38-4BC7-9552-904DC480AB77}">
  <dimension ref="A1:AB56"/>
  <sheetViews>
    <sheetView topLeftCell="B31" zoomScale="89" zoomScaleNormal="89" workbookViewId="0">
      <selection activeCell="I58" sqref="I58"/>
    </sheetView>
  </sheetViews>
  <sheetFormatPr defaultRowHeight="14.4" x14ac:dyDescent="0.3"/>
  <cols>
    <col min="1" max="1" width="22.6640625" customWidth="1"/>
    <col min="2" max="2" width="29.88671875" customWidth="1"/>
    <col min="3" max="3" width="16.5546875" customWidth="1"/>
    <col min="4" max="4" width="21.21875" customWidth="1"/>
    <col min="5" max="5" width="13.109375" customWidth="1"/>
    <col min="6" max="6" width="12.21875" customWidth="1"/>
    <col min="7" max="7" width="11.109375" customWidth="1"/>
    <col min="9" max="9" width="21.88671875" customWidth="1"/>
    <col min="10" max="10" width="39.88671875" customWidth="1"/>
    <col min="11" max="11" width="16" customWidth="1"/>
    <col min="12" max="12" width="13.6640625" customWidth="1"/>
    <col min="13" max="13" width="14.44140625" customWidth="1"/>
    <col min="14" max="14" width="20.77734375" customWidth="1"/>
    <col min="15" max="15" width="12.33203125" customWidth="1"/>
    <col min="16" max="16" width="11.5546875" bestFit="1" customWidth="1"/>
    <col min="17" max="17" width="18.77734375" customWidth="1"/>
    <col min="18" max="18" width="17" customWidth="1"/>
    <col min="19" max="19" width="11.5546875" bestFit="1" customWidth="1"/>
    <col min="20" max="20" width="21" customWidth="1"/>
    <col min="21" max="21" width="13.21875" customWidth="1"/>
    <col min="22" max="22" width="11.5546875" bestFit="1" customWidth="1"/>
    <col min="25" max="25" width="13.109375" customWidth="1"/>
    <col min="26" max="26" width="11.21875" customWidth="1"/>
    <col min="28" max="28" width="13.664062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26.5</v>
      </c>
      <c r="D2" s="35">
        <f>C2-(C2/100*1)</f>
        <v>26.234999999999999</v>
      </c>
      <c r="E2" s="35">
        <f>D2-(D2/100*1)</f>
        <v>25.972649999999998</v>
      </c>
      <c r="F2" s="35">
        <f t="shared" ref="F2:L2" si="0">E2-(E2/100*1)</f>
        <v>25.712923499999999</v>
      </c>
      <c r="G2" s="35">
        <f t="shared" si="0"/>
        <v>25.455794264999998</v>
      </c>
      <c r="H2" s="36">
        <f t="shared" si="0"/>
        <v>25.201236322349999</v>
      </c>
      <c r="I2" s="35">
        <f t="shared" si="0"/>
        <v>24.949223959126499</v>
      </c>
      <c r="J2" s="35">
        <f t="shared" si="0"/>
        <v>24.699731719535233</v>
      </c>
      <c r="K2" s="35">
        <f t="shared" si="0"/>
        <v>24.452734402339882</v>
      </c>
      <c r="L2" s="35">
        <f t="shared" si="0"/>
        <v>24.208207058316482</v>
      </c>
      <c r="M2" s="33">
        <f>L2-(L2/100*M1)</f>
        <v>21.787386352484834</v>
      </c>
      <c r="N2" s="8"/>
      <c r="O2" s="21"/>
      <c r="Q2" s="3" t="s">
        <v>0</v>
      </c>
      <c r="R2" s="16">
        <f>B27+ ((1 -((C2 / 34.5) * 0.7 )-((C3 / 100) * 0.3 )) * 100)</f>
        <v>71.631884057971007</v>
      </c>
    </row>
    <row r="3" spans="1:20" x14ac:dyDescent="0.3">
      <c r="A3" s="3" t="s">
        <v>0</v>
      </c>
      <c r="B3" s="3" t="s">
        <v>16</v>
      </c>
      <c r="C3" s="9">
        <v>92</v>
      </c>
      <c r="D3" s="35">
        <f t="shared" ref="D3:J3" si="1">C3-(C3/100*1.5)</f>
        <v>90.62</v>
      </c>
      <c r="E3" s="35">
        <f t="shared" si="1"/>
        <v>89.2607</v>
      </c>
      <c r="F3" s="35">
        <f t="shared" si="1"/>
        <v>87.921789500000003</v>
      </c>
      <c r="G3" s="35">
        <f t="shared" si="1"/>
        <v>86.602962657500001</v>
      </c>
      <c r="H3" s="36">
        <f t="shared" si="1"/>
        <v>85.303918217637502</v>
      </c>
      <c r="I3" s="35">
        <f t="shared" si="1"/>
        <v>84.024359444372934</v>
      </c>
      <c r="J3" s="35">
        <f t="shared" si="1"/>
        <v>82.763994052707346</v>
      </c>
      <c r="K3" s="35">
        <f>J3-(J3/100*1.5)</f>
        <v>81.522534141916736</v>
      </c>
      <c r="L3" s="35">
        <f>K3-(K3/100*1.5)</f>
        <v>80.299696129787989</v>
      </c>
      <c r="M3" s="33">
        <f>L3-(L3/100*15)</f>
        <v>68.254741710319792</v>
      </c>
      <c r="N3" s="8"/>
      <c r="O3" s="21"/>
      <c r="Q3" s="4" t="s">
        <v>1</v>
      </c>
      <c r="R3" s="4">
        <f ca="1">((O4/100*50)+(O5/100*25)+(O6/100*25))</f>
        <v>72.083333333333329</v>
      </c>
      <c r="T3" s="23" t="s">
        <v>8</v>
      </c>
    </row>
    <row r="4" spans="1:20" ht="18" customHeight="1" x14ac:dyDescent="0.3">
      <c r="A4" s="4" t="s">
        <v>17</v>
      </c>
      <c r="B4" s="4" t="s">
        <v>18</v>
      </c>
      <c r="C4" s="10">
        <v>38</v>
      </c>
      <c r="D4" s="35">
        <f>C4-(C4/100*1)</f>
        <v>37.619999999999997</v>
      </c>
      <c r="E4" s="35">
        <f t="shared" ref="E4:L4" si="2">D4-(D4/100*1)</f>
        <v>37.2438</v>
      </c>
      <c r="F4" s="35">
        <f t="shared" si="2"/>
        <v>36.871361999999998</v>
      </c>
      <c r="G4" s="35">
        <f t="shared" si="2"/>
        <v>36.502648379999997</v>
      </c>
      <c r="H4" s="36">
        <f t="shared" si="2"/>
        <v>36.137621896199995</v>
      </c>
      <c r="I4" s="35">
        <f t="shared" si="2"/>
        <v>35.776245677237995</v>
      </c>
      <c r="J4" s="35">
        <f t="shared" si="2"/>
        <v>35.418483220465617</v>
      </c>
      <c r="K4" s="35">
        <f t="shared" si="2"/>
        <v>35.064298388260958</v>
      </c>
      <c r="L4" s="35">
        <f t="shared" si="2"/>
        <v>34.713655404378351</v>
      </c>
      <c r="M4" s="33">
        <f t="shared" ref="M4" si="3">L4-(L4/100*M1)</f>
        <v>31.242289863940513</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66.666666666666657</v>
      </c>
      <c r="Q4" s="5" t="s">
        <v>2</v>
      </c>
      <c r="R4" s="5">
        <f>B27 - 9*R11</f>
        <v>57.387285714285717</v>
      </c>
      <c r="T4" s="1">
        <f ca="1">(R2/100*20)+(R3/100*20)+(R4/100*25)+(R5/100*20)+(R6/100*15)</f>
        <v>64.664864906832292</v>
      </c>
    </row>
    <row r="5" spans="1:20" x14ac:dyDescent="0.3">
      <c r="A5" s="4" t="s">
        <v>17</v>
      </c>
      <c r="B5" s="4" t="s">
        <v>19</v>
      </c>
      <c r="C5" s="10">
        <v>2.1</v>
      </c>
      <c r="D5" s="35">
        <f>C5-(C5/100*1.2)</f>
        <v>2.0748000000000002</v>
      </c>
      <c r="E5" s="35">
        <f t="shared" ref="E5:L5" si="4">D5-(D5/100*1.2)</f>
        <v>2.0499024000000001</v>
      </c>
      <c r="F5" s="35">
        <f t="shared" si="4"/>
        <v>2.0253035712000003</v>
      </c>
      <c r="G5" s="35">
        <f t="shared" si="4"/>
        <v>2.0009999283456001</v>
      </c>
      <c r="H5" s="36">
        <f t="shared" si="4"/>
        <v>1.9769879292054529</v>
      </c>
      <c r="I5" s="35">
        <f t="shared" si="4"/>
        <v>1.9532640740549874</v>
      </c>
      <c r="J5" s="35">
        <f t="shared" si="4"/>
        <v>1.9298249051663274</v>
      </c>
      <c r="K5" s="35">
        <f t="shared" si="4"/>
        <v>1.9066670063043314</v>
      </c>
      <c r="L5" s="35">
        <f t="shared" si="4"/>
        <v>1.8837870022286793</v>
      </c>
      <c r="M5" s="34">
        <f>C5-(C5/100*12)</f>
        <v>1.8480000000000001</v>
      </c>
      <c r="N5" s="8"/>
      <c r="O5" s="18">
        <f ca="1">FORECAST(C5, OFFSET(Strength_Normative_Data!$O$3, MATCH(C5, Strength_Normative_Data!$P$3:$P$17, -1)-1, 0, 2), OFFSET(Strength_Normative_Data!$P$3, MATCH(C5, Strength_Normative_Data!$P$3:$P$17, -1)-1, 0, 2))</f>
        <v>75</v>
      </c>
      <c r="Q5" s="6" t="s">
        <v>29</v>
      </c>
      <c r="R5" s="6">
        <f ca="1">((O14/100*30)+(O15/100*25)+(O16/100*30)+(O17/100*15))</f>
        <v>73.75</v>
      </c>
    </row>
    <row r="6" spans="1:20" x14ac:dyDescent="0.3">
      <c r="A6" s="4" t="s">
        <v>17</v>
      </c>
      <c r="B6" s="4" t="s">
        <v>20</v>
      </c>
      <c r="C6" s="10">
        <v>18</v>
      </c>
      <c r="D6" s="35">
        <f>C6-(C6/100*1.2)</f>
        <v>17.783999999999999</v>
      </c>
      <c r="E6" s="35">
        <f t="shared" ref="E6:L6" si="5">D6-(D6/100*1.2)</f>
        <v>17.570591999999998</v>
      </c>
      <c r="F6" s="35">
        <f t="shared" si="5"/>
        <v>17.359744895999999</v>
      </c>
      <c r="G6" s="35">
        <f t="shared" si="5"/>
        <v>17.151427957248</v>
      </c>
      <c r="H6" s="36">
        <f t="shared" si="5"/>
        <v>16.945610821761022</v>
      </c>
      <c r="I6" s="35">
        <f t="shared" si="5"/>
        <v>16.742263491899891</v>
      </c>
      <c r="J6" s="35">
        <f t="shared" si="5"/>
        <v>16.541356329997093</v>
      </c>
      <c r="K6" s="35">
        <f t="shared" si="5"/>
        <v>16.342860054037128</v>
      </c>
      <c r="L6" s="35">
        <f t="shared" si="5"/>
        <v>16.146745733388684</v>
      </c>
      <c r="M6" s="34">
        <f>C6-(C6/100*12)</f>
        <v>15.84</v>
      </c>
      <c r="N6" s="8"/>
      <c r="O6" s="18">
        <v>80</v>
      </c>
      <c r="Q6" s="7" t="s">
        <v>4</v>
      </c>
      <c r="R6" s="7">
        <f>((O18/100*60)+(O19/100*40))</f>
        <v>45.5</v>
      </c>
    </row>
    <row r="7" spans="1:20" x14ac:dyDescent="0.3">
      <c r="A7" s="5" t="s">
        <v>21</v>
      </c>
      <c r="B7" s="5" t="s">
        <v>22</v>
      </c>
      <c r="C7" s="11">
        <v>34</v>
      </c>
      <c r="D7" s="35"/>
      <c r="E7" s="35"/>
      <c r="F7" s="35"/>
      <c r="G7" s="35"/>
      <c r="H7" s="34">
        <f>C7+(C7/100*3)</f>
        <v>35.020000000000003</v>
      </c>
      <c r="I7" s="35"/>
      <c r="J7" s="35"/>
      <c r="K7" s="35"/>
      <c r="L7" s="37"/>
      <c r="M7" s="34">
        <f>C7+(C7/100*6)</f>
        <v>36.04</v>
      </c>
      <c r="N7" s="8"/>
      <c r="O7" s="22"/>
    </row>
    <row r="8" spans="1:20" x14ac:dyDescent="0.3">
      <c r="A8" s="5" t="s">
        <v>21</v>
      </c>
      <c r="B8" s="5" t="s">
        <v>23</v>
      </c>
      <c r="C8" s="11">
        <v>0.68</v>
      </c>
      <c r="D8" s="35"/>
      <c r="E8" s="35"/>
      <c r="F8" s="35"/>
      <c r="G8" s="35"/>
      <c r="H8" s="34">
        <f>C8+(C8/100*2)</f>
        <v>0.69359999999999999</v>
      </c>
      <c r="I8" s="35"/>
      <c r="J8" s="35"/>
      <c r="K8" s="35"/>
      <c r="L8" s="37"/>
      <c r="M8" s="34">
        <f>C8+(C8/100*4)</f>
        <v>0.70720000000000005</v>
      </c>
      <c r="N8" s="8"/>
      <c r="O8" s="22">
        <f xml:space="preserve">
IF(C8&lt;=0.4,0,
IF(C8&lt;=0.5,20*(C8-0.4)/0.1,
IF(C8&lt;=0.6,20+40*(C8-0.5)/0.1,
60+40*(MIN(C8,0.75)-0.6)/0.15)))</f>
        <v>81.333333333333357</v>
      </c>
    </row>
    <row r="9" spans="1:20" x14ac:dyDescent="0.3">
      <c r="A9" s="5" t="s">
        <v>21</v>
      </c>
      <c r="B9" s="5" t="s">
        <v>24</v>
      </c>
      <c r="C9" s="11">
        <v>6.2</v>
      </c>
      <c r="D9" s="35" t="s">
        <v>228</v>
      </c>
      <c r="E9" s="35" t="s">
        <v>228</v>
      </c>
      <c r="F9" s="35" t="s">
        <v>228</v>
      </c>
      <c r="G9" s="35" t="s">
        <v>228</v>
      </c>
      <c r="H9" s="35" t="s">
        <v>228</v>
      </c>
      <c r="I9" s="35" t="s">
        <v>228</v>
      </c>
      <c r="J9" s="35" t="s">
        <v>228</v>
      </c>
      <c r="K9" s="35" t="s">
        <v>228</v>
      </c>
      <c r="L9" s="35" t="s">
        <v>228</v>
      </c>
      <c r="M9" s="35" t="s">
        <v>228</v>
      </c>
      <c r="N9" s="8"/>
      <c r="O9" s="22"/>
    </row>
    <row r="10" spans="1:20" x14ac:dyDescent="0.3">
      <c r="A10" s="5" t="s">
        <v>21</v>
      </c>
      <c r="B10" s="5" t="s">
        <v>25</v>
      </c>
      <c r="C10" s="11">
        <v>6.1</v>
      </c>
      <c r="D10" s="35"/>
      <c r="E10" s="35"/>
      <c r="F10" s="35"/>
      <c r="G10" s="35"/>
      <c r="H10" s="34">
        <f>C10+(C10/100*2.5)</f>
        <v>6.2524999999999995</v>
      </c>
      <c r="I10" s="35"/>
      <c r="J10" s="35"/>
      <c r="K10" s="35"/>
      <c r="L10" s="37"/>
      <c r="M10" s="34">
        <f>C10+(C10/100*5)</f>
        <v>6.4049999999999994</v>
      </c>
      <c r="N10" s="8"/>
      <c r="O10" s="22">
        <f xml:space="preserve">
IF(C10&lt;5.7,10*(C10/5.7),
IF(C10&lt;6.5,10+40*(C10-5.7)/0.8,
50+50*(MIN(C10,9)-6.5)/2.5))</f>
        <v>29.999999999999972</v>
      </c>
      <c r="Q10" t="s">
        <v>89</v>
      </c>
      <c r="R10" t="s">
        <v>90</v>
      </c>
    </row>
    <row r="11" spans="1:20" x14ac:dyDescent="0.3">
      <c r="A11" s="5" t="s">
        <v>21</v>
      </c>
      <c r="B11" s="5" t="s">
        <v>26</v>
      </c>
      <c r="C11" s="11">
        <v>3.8</v>
      </c>
      <c r="D11" s="35"/>
      <c r="E11" s="35"/>
      <c r="F11" s="35"/>
      <c r="G11" s="35"/>
      <c r="H11" s="34">
        <f>C11+(C11/100*7)</f>
        <v>4.0659999999999998</v>
      </c>
      <c r="I11" s="35"/>
      <c r="J11" s="35"/>
      <c r="K11" s="35"/>
      <c r="L11" s="37"/>
      <c r="M11" s="34">
        <f>C11+(C11/100*14)</f>
        <v>4.3319999999999999</v>
      </c>
      <c r="N11" s="8"/>
      <c r="O11" s="5">
        <f xml:space="preserve">
IF(C11&lt;1.6,10*(C11/1.6),
IF(C11&lt;3,10+40*(C11-1.6)/1.4,
50+50*(MIN(C11,7)-3)/4))</f>
        <v>60</v>
      </c>
      <c r="Q11">
        <f>(0.3*P12)+(0.2*O8)+(0.15*O10)+(0.25*O11)+(0.1*O13)</f>
        <v>59.373809523809527</v>
      </c>
      <c r="R11">
        <f xml:space="preserve">
IF(Q11&lt;=10,1.5-0.1*Q11,
IF(Q11&lt;=60,0.5-0.02*(Q11-10),
-0.5-0.03*(Q11-60)))</f>
        <v>-0.48747619047619051</v>
      </c>
    </row>
    <row r="12" spans="1:20" x14ac:dyDescent="0.3">
      <c r="A12" s="5" t="s">
        <v>21</v>
      </c>
      <c r="B12" s="5" t="s">
        <v>27</v>
      </c>
      <c r="C12" s="11">
        <v>1.35</v>
      </c>
      <c r="D12" s="35"/>
      <c r="E12" s="35"/>
      <c r="F12" s="35"/>
      <c r="G12" s="35"/>
      <c r="H12" s="34">
        <f>C12+(C12/100*3)</f>
        <v>1.3905000000000001</v>
      </c>
      <c r="I12" s="35"/>
      <c r="J12" s="35"/>
      <c r="K12" s="35"/>
      <c r="L12" s="37"/>
      <c r="M12" s="34">
        <f>C12+(C12/100*6)</f>
        <v>1.431</v>
      </c>
      <c r="N12" s="8"/>
      <c r="O12" s="5">
        <f>C12*100</f>
        <v>135</v>
      </c>
      <c r="P12" s="5">
        <f xml:space="preserve">
IF(O12&lt;80,5*(O12/80),
IF(O12&lt;100,10+20*(O12-80)/20,
IF(O12&lt;130,30+25*(O12-100)/30,
IF(O12&lt;160,55+25*(O12-130)/30,
IF(O12&lt;200,80+20*(O12-160)/40,100)))))</f>
        <v>59.166666666666664</v>
      </c>
    </row>
    <row r="13" spans="1:20" x14ac:dyDescent="0.3">
      <c r="A13" s="5" t="s">
        <v>21</v>
      </c>
      <c r="B13" s="5" t="s">
        <v>28</v>
      </c>
      <c r="C13" s="11">
        <v>4.2</v>
      </c>
      <c r="D13" s="35"/>
      <c r="E13" s="35"/>
      <c r="F13" s="35"/>
      <c r="G13" s="35"/>
      <c r="H13" s="34">
        <f>C13+(C13/100*9)</f>
        <v>4.5780000000000003</v>
      </c>
      <c r="I13" s="35"/>
      <c r="J13" s="35"/>
      <c r="K13" s="35"/>
      <c r="L13" s="37"/>
      <c r="M13" s="34">
        <f>C13+(C13/100*18)</f>
        <v>4.9560000000000004</v>
      </c>
      <c r="N13" s="8"/>
      <c r="O13" s="5">
        <f xml:space="preserve">
IF(C13&lt;1,10*(C13/1),
IF(C13&lt;3,10+40*(C13-1)/2,
50+50*(MIN(C13,10)-3)/7))</f>
        <v>58.571428571428569</v>
      </c>
    </row>
    <row r="14" spans="1:20" x14ac:dyDescent="0.3">
      <c r="A14" s="6" t="s">
        <v>29</v>
      </c>
      <c r="B14" s="6" t="s">
        <v>30</v>
      </c>
      <c r="C14" s="12">
        <v>1.1000000000000001</v>
      </c>
      <c r="D14" s="35">
        <f>C14-(C14/100*0.6)</f>
        <v>1.0934000000000001</v>
      </c>
      <c r="E14" s="35">
        <f t="shared" ref="E14:L14" si="6">D14-(D14/100*0.6)</f>
        <v>1.0868396000000002</v>
      </c>
      <c r="F14" s="35">
        <f t="shared" si="6"/>
        <v>1.0803185624000002</v>
      </c>
      <c r="G14" s="35">
        <f t="shared" si="6"/>
        <v>1.0738366510256003</v>
      </c>
      <c r="H14" s="36">
        <f t="shared" si="6"/>
        <v>1.0673936311194467</v>
      </c>
      <c r="I14" s="35">
        <f t="shared" si="6"/>
        <v>1.0609892693327301</v>
      </c>
      <c r="J14" s="35">
        <f t="shared" si="6"/>
        <v>1.0546233337167337</v>
      </c>
      <c r="K14" s="35">
        <f t="shared" si="6"/>
        <v>1.0482955937144334</v>
      </c>
      <c r="L14" s="35">
        <f t="shared" si="6"/>
        <v>1.0420058201521467</v>
      </c>
      <c r="M14" s="34">
        <f>C14-(C14/100*6)</f>
        <v>1.034</v>
      </c>
      <c r="N14" s="8"/>
      <c r="O14" s="12">
        <v>55</v>
      </c>
    </row>
    <row r="15" spans="1:20" x14ac:dyDescent="0.3">
      <c r="A15" s="6" t="s">
        <v>29</v>
      </c>
      <c r="B15" s="6" t="s">
        <v>31</v>
      </c>
      <c r="C15" s="12">
        <v>9.5</v>
      </c>
      <c r="D15" s="35">
        <f>C15-(C15/100*1)</f>
        <v>9.4049999999999994</v>
      </c>
      <c r="E15" s="35">
        <f>D15-(D15/100*1)</f>
        <v>9.3109500000000001</v>
      </c>
      <c r="F15" s="35">
        <f t="shared" ref="F15:L15" si="7">E15-(E15/100*1)</f>
        <v>9.2178404999999994</v>
      </c>
      <c r="G15" s="35">
        <f t="shared" si="7"/>
        <v>9.1256620949999991</v>
      </c>
      <c r="H15" s="36">
        <f t="shared" si="7"/>
        <v>9.0344054740499988</v>
      </c>
      <c r="I15" s="35">
        <f t="shared" si="7"/>
        <v>8.9440614193094987</v>
      </c>
      <c r="J15" s="35">
        <f t="shared" si="7"/>
        <v>8.8546208051164044</v>
      </c>
      <c r="K15" s="35">
        <f t="shared" si="7"/>
        <v>8.7660745970652396</v>
      </c>
      <c r="L15" s="35">
        <f t="shared" si="7"/>
        <v>8.6784138510945876</v>
      </c>
      <c r="M15" s="34">
        <f>C15+(C15/100*10)</f>
        <v>10.45</v>
      </c>
      <c r="N15" s="8"/>
      <c r="O15" s="12">
        <f ca="1">FORECAST(C15, OFFSET(Mobility_Normative_Data!$E$3, MATCH(C15, Mobility_Normative_Data!$F$3:$F$18, 1)-1, 0, 2), OFFSET(Mobility_Normative_Data!$F$3, MATCH(C15, Mobility_Normative_Data!$F$3:$F$18, 1)-1, 0, 2))</f>
        <v>75</v>
      </c>
    </row>
    <row r="16" spans="1:20" x14ac:dyDescent="0.3">
      <c r="A16" s="6" t="s">
        <v>29</v>
      </c>
      <c r="B16" s="6" t="s">
        <v>32</v>
      </c>
      <c r="C16" s="12">
        <v>8</v>
      </c>
      <c r="D16" s="35">
        <f>C16-(C16/100*2)</f>
        <v>7.84</v>
      </c>
      <c r="E16" s="35">
        <f t="shared" ref="E16:L16" si="8">D16-(D16/100*2)</f>
        <v>7.6832000000000003</v>
      </c>
      <c r="F16" s="35">
        <f t="shared" si="8"/>
        <v>7.5295360000000002</v>
      </c>
      <c r="G16" s="35">
        <f t="shared" si="8"/>
        <v>7.3789452799999999</v>
      </c>
      <c r="H16" s="36">
        <f t="shared" si="8"/>
        <v>7.2313663744000003</v>
      </c>
      <c r="I16" s="35">
        <f t="shared" si="8"/>
        <v>7.0867390469120002</v>
      </c>
      <c r="J16" s="35">
        <f t="shared" si="8"/>
        <v>6.9450042659737603</v>
      </c>
      <c r="K16" s="35">
        <f t="shared" si="8"/>
        <v>6.8061041806542848</v>
      </c>
      <c r="L16" s="35">
        <f t="shared" si="8"/>
        <v>6.6699820970411992</v>
      </c>
      <c r="M16" s="34">
        <f>C16-(C16/100*20)</f>
        <v>6.4</v>
      </c>
      <c r="N16" s="8"/>
      <c r="O16" s="12">
        <f ca="1">FORECAST(C16, OFFSET(Mobility_Normative_Data!$I$3, MATCH(C16, Mobility_Normative_Data!$J$3:$J$17, -1)-1, 0, 2), OFFSET(Mobility_Normative_Data!$J$3, MATCH(C16, Mobility_Normative_Data!$J$3:$J$17, -1)-1, 0, 2))</f>
        <v>83.333333333333343</v>
      </c>
    </row>
    <row r="17" spans="1:28" x14ac:dyDescent="0.3">
      <c r="A17" s="6" t="s">
        <v>29</v>
      </c>
      <c r="B17" s="6" t="s">
        <v>33</v>
      </c>
      <c r="C17" s="12">
        <v>19</v>
      </c>
      <c r="D17" s="35">
        <f>C17-(C17/100*1)</f>
        <v>18.809999999999999</v>
      </c>
      <c r="E17" s="35">
        <f t="shared" ref="E17:L17" si="9">D17-(D17/100*1)</f>
        <v>18.6219</v>
      </c>
      <c r="F17" s="35">
        <f t="shared" si="9"/>
        <v>18.435680999999999</v>
      </c>
      <c r="G17" s="35">
        <f t="shared" si="9"/>
        <v>18.251324189999998</v>
      </c>
      <c r="H17" s="36">
        <f t="shared" si="9"/>
        <v>18.068810948099998</v>
      </c>
      <c r="I17" s="35">
        <f t="shared" si="9"/>
        <v>17.888122838618997</v>
      </c>
      <c r="J17" s="35">
        <f t="shared" si="9"/>
        <v>17.709241610232809</v>
      </c>
      <c r="K17" s="35">
        <f t="shared" si="9"/>
        <v>17.532149194130479</v>
      </c>
      <c r="L17" s="35">
        <f t="shared" si="9"/>
        <v>17.356827702189175</v>
      </c>
      <c r="M17" s="34">
        <f>C17-(C17/100*10)</f>
        <v>17.100000000000001</v>
      </c>
      <c r="N17" s="8"/>
      <c r="O17" s="12">
        <v>90</v>
      </c>
    </row>
    <row r="18" spans="1:28" x14ac:dyDescent="0.3">
      <c r="A18" s="7" t="s">
        <v>34</v>
      </c>
      <c r="B18" s="7" t="s">
        <v>35</v>
      </c>
      <c r="C18" s="13">
        <v>0.5</v>
      </c>
      <c r="D18" s="35">
        <f>C18+-0.02</f>
        <v>0.48</v>
      </c>
      <c r="E18" s="35">
        <f t="shared" ref="E18:L18" si="10">D18+-0.02</f>
        <v>0.45999999999999996</v>
      </c>
      <c r="F18" s="35">
        <f t="shared" si="10"/>
        <v>0.43999999999999995</v>
      </c>
      <c r="G18" s="35">
        <f t="shared" si="10"/>
        <v>0.41999999999999993</v>
      </c>
      <c r="H18" s="36">
        <f t="shared" si="10"/>
        <v>0.39999999999999991</v>
      </c>
      <c r="I18" s="35">
        <f t="shared" si="10"/>
        <v>0.37999999999999989</v>
      </c>
      <c r="J18" s="35">
        <f t="shared" si="10"/>
        <v>0.35999999999999988</v>
      </c>
      <c r="K18" s="35">
        <f t="shared" si="10"/>
        <v>0.33999999999999986</v>
      </c>
      <c r="L18" s="35">
        <f t="shared" si="10"/>
        <v>0.31999999999999984</v>
      </c>
      <c r="M18" s="34">
        <f>C18 +(-0.2)</f>
        <v>0.3</v>
      </c>
      <c r="N18" s="8"/>
      <c r="O18" s="20">
        <f>MAX(18,B27-(C18*25))</f>
        <v>40.5</v>
      </c>
    </row>
    <row r="19" spans="1:28" x14ac:dyDescent="0.3">
      <c r="A19" s="7" t="s">
        <v>34</v>
      </c>
      <c r="B19" s="7" t="s">
        <v>36</v>
      </c>
      <c r="C19" s="13">
        <v>0.2</v>
      </c>
      <c r="D19" s="35">
        <f>C19-0.02</f>
        <v>0.18000000000000002</v>
      </c>
      <c r="E19" s="35">
        <f t="shared" ref="E19:L19" si="11">D19-0.02</f>
        <v>0.16000000000000003</v>
      </c>
      <c r="F19" s="35">
        <f t="shared" si="11"/>
        <v>0.14000000000000004</v>
      </c>
      <c r="G19" s="35">
        <f t="shared" si="11"/>
        <v>0.12000000000000004</v>
      </c>
      <c r="H19" s="36">
        <f t="shared" si="11"/>
        <v>0.10000000000000003</v>
      </c>
      <c r="I19" s="35">
        <f t="shared" si="11"/>
        <v>8.0000000000000029E-2</v>
      </c>
      <c r="J19" s="35">
        <f t="shared" si="11"/>
        <v>6.0000000000000026E-2</v>
      </c>
      <c r="K19" s="35">
        <f t="shared" si="11"/>
        <v>4.0000000000000022E-2</v>
      </c>
      <c r="L19" s="35">
        <f t="shared" si="11"/>
        <v>2.0000000000000021E-2</v>
      </c>
      <c r="M19" s="34">
        <f>C19+(-0.2)</f>
        <v>0</v>
      </c>
      <c r="N19" s="8"/>
      <c r="O19" s="20">
        <f>MAX(18,B27-(J1925))</f>
        <v>53</v>
      </c>
    </row>
    <row r="23" spans="1:28" x14ac:dyDescent="0.3">
      <c r="A23" s="43" t="s">
        <v>37</v>
      </c>
      <c r="B23" s="43"/>
      <c r="C23" s="43"/>
      <c r="D23" s="43"/>
      <c r="E23" s="43"/>
      <c r="F23" s="43"/>
    </row>
    <row r="24" spans="1:28" x14ac:dyDescent="0.3">
      <c r="A24" t="s">
        <v>229</v>
      </c>
      <c r="B24" t="s">
        <v>99</v>
      </c>
      <c r="I24" s="43" t="s">
        <v>142</v>
      </c>
      <c r="J24" s="43"/>
    </row>
    <row r="25" spans="1:28" x14ac:dyDescent="0.3">
      <c r="B25" t="s">
        <v>5</v>
      </c>
      <c r="C25" t="s">
        <v>6</v>
      </c>
      <c r="D25" t="s">
        <v>9</v>
      </c>
      <c r="E25" t="s">
        <v>10</v>
      </c>
      <c r="F25" t="s">
        <v>11</v>
      </c>
      <c r="I25" s="44" t="s">
        <v>230</v>
      </c>
      <c r="J25" s="45"/>
    </row>
    <row r="26" spans="1:28" x14ac:dyDescent="0.3">
      <c r="A26" t="s">
        <v>43</v>
      </c>
      <c r="B26" t="s">
        <v>44</v>
      </c>
      <c r="I26" s="45"/>
      <c r="J26" s="45"/>
    </row>
    <row r="27" spans="1:28" x14ac:dyDescent="0.3">
      <c r="A27" t="s">
        <v>7</v>
      </c>
      <c r="B27">
        <v>53</v>
      </c>
      <c r="C27">
        <f>B27+10</f>
        <v>63</v>
      </c>
      <c r="D27">
        <f>C27+10</f>
        <v>73</v>
      </c>
      <c r="E27">
        <f>D27+10</f>
        <v>83</v>
      </c>
      <c r="F27">
        <f>E27+10</f>
        <v>93</v>
      </c>
      <c r="I27" s="45"/>
      <c r="J27" s="45"/>
    </row>
    <row r="28" spans="1:28" x14ac:dyDescent="0.3">
      <c r="A28" t="s">
        <v>0</v>
      </c>
      <c r="B28" s="24">
        <f>R2</f>
        <v>71.631884057971007</v>
      </c>
      <c r="C28">
        <f>B28+(B28/100*11.5)</f>
        <v>79.869550724637676</v>
      </c>
      <c r="D28">
        <f>C28+(C28/100*32.2)</f>
        <v>105.58754605797101</v>
      </c>
      <c r="E28">
        <f>D28+(D28/100*32.2)</f>
        <v>139.58673588863769</v>
      </c>
      <c r="F28">
        <f>E28+(E28/100*32.2)</f>
        <v>184.53366484477903</v>
      </c>
      <c r="I28" s="45"/>
      <c r="J28" s="45"/>
    </row>
    <row r="29" spans="1:28" x14ac:dyDescent="0.3">
      <c r="A29" t="s">
        <v>1</v>
      </c>
      <c r="B29">
        <f ca="1">R3</f>
        <v>72.083333333333329</v>
      </c>
      <c r="C29">
        <f ca="1">B29+(B29/100*12.3)</f>
        <v>80.949583333333322</v>
      </c>
      <c r="D29">
        <f ca="1">C29+(C29/100*30.8)</f>
        <v>105.88205499999998</v>
      </c>
      <c r="E29">
        <f ca="1">D29+(D29/100*30.8)</f>
        <v>138.49372793999999</v>
      </c>
      <c r="F29">
        <f ca="1">E29+(E29/100*30.8)</f>
        <v>181.14979614551999</v>
      </c>
      <c r="I29" s="45"/>
      <c r="J29" s="45"/>
    </row>
    <row r="30" spans="1:28" x14ac:dyDescent="0.3">
      <c r="A30" t="s">
        <v>2</v>
      </c>
      <c r="B30">
        <f>R4</f>
        <v>57.387285714285717</v>
      </c>
      <c r="C30">
        <f>B30+(B30/100*5.5)</f>
        <v>60.54358642857143</v>
      </c>
      <c r="D30">
        <f>C30+(C30/100*11)</f>
        <v>67.203380935714293</v>
      </c>
      <c r="E30">
        <f>D30+(D30/100*11)</f>
        <v>74.595752838642866</v>
      </c>
      <c r="F30">
        <f>E30+(E30/100*11)</f>
        <v>82.80128565089359</v>
      </c>
      <c r="I30" s="45"/>
      <c r="J30" s="45"/>
    </row>
    <row r="31" spans="1:28" ht="97.2" customHeight="1" x14ac:dyDescent="0.3">
      <c r="A31" t="s">
        <v>3</v>
      </c>
      <c r="B31">
        <f ca="1">R5</f>
        <v>73.75</v>
      </c>
      <c r="C31">
        <f ca="1">B31+(B31/100*9.9)</f>
        <v>81.051249999999996</v>
      </c>
      <c r="D31">
        <f ca="1">C31+(C31/100*19.8)</f>
        <v>97.099397499999995</v>
      </c>
      <c r="E31">
        <f ca="1">D31+(D31/100*19.8)</f>
        <v>116.325078205</v>
      </c>
      <c r="F31">
        <f ca="1">E31+(E31/100*19.8)</f>
        <v>139.35744368959001</v>
      </c>
      <c r="I31" s="45"/>
      <c r="J31" s="45"/>
      <c r="N31" s="46" t="s">
        <v>104</v>
      </c>
      <c r="O31" s="46"/>
      <c r="P31" s="46"/>
      <c r="Q31" s="46"/>
      <c r="R31" s="46"/>
      <c r="S31" s="46"/>
      <c r="T31" s="46"/>
      <c r="U31" s="46"/>
      <c r="V31" s="46"/>
      <c r="W31" s="46"/>
      <c r="X31" s="46"/>
      <c r="Y31" s="46"/>
      <c r="Z31" s="46"/>
      <c r="AA31" s="46"/>
    </row>
    <row r="32" spans="1:28" ht="43.2" x14ac:dyDescent="0.3">
      <c r="A32" t="s">
        <v>4</v>
      </c>
      <c r="B32">
        <f>R6</f>
        <v>45.5</v>
      </c>
      <c r="C32">
        <f>B32+(B32/100*20)</f>
        <v>54.6</v>
      </c>
      <c r="D32">
        <f>C32+(C32/100*60)</f>
        <v>87.360000000000014</v>
      </c>
      <c r="E32">
        <f>D32+(D32/100*60)</f>
        <v>139.77600000000001</v>
      </c>
      <c r="F32">
        <f>E32+(E32/100*60)</f>
        <v>223.64160000000001</v>
      </c>
      <c r="N32" s="2" t="s">
        <v>103</v>
      </c>
      <c r="O32" s="2" t="s">
        <v>106</v>
      </c>
      <c r="P32" s="2" t="s">
        <v>220</v>
      </c>
      <c r="Q32" s="2" t="s">
        <v>103</v>
      </c>
      <c r="R32" s="2" t="s">
        <v>120</v>
      </c>
      <c r="S32" s="2" t="s">
        <v>221</v>
      </c>
      <c r="T32" s="2" t="s">
        <v>103</v>
      </c>
      <c r="U32" s="2" t="s">
        <v>121</v>
      </c>
      <c r="V32" s="2" t="s">
        <v>222</v>
      </c>
      <c r="W32" s="2" t="s">
        <v>103</v>
      </c>
      <c r="X32" s="2" t="s">
        <v>122</v>
      </c>
      <c r="Y32" s="2" t="s">
        <v>223</v>
      </c>
      <c r="Z32" s="2" t="s">
        <v>103</v>
      </c>
      <c r="AA32" s="2" t="s">
        <v>123</v>
      </c>
      <c r="AB32" s="2" t="s">
        <v>224</v>
      </c>
    </row>
    <row r="33" spans="1:28" x14ac:dyDescent="0.3">
      <c r="N33" s="2">
        <f>B27</f>
        <v>53</v>
      </c>
      <c r="O33" s="27">
        <f>R2</f>
        <v>71.631884057971007</v>
      </c>
      <c r="P33" s="27">
        <f>O33</f>
        <v>71.631884057971007</v>
      </c>
      <c r="Q33" s="2">
        <f>N33</f>
        <v>53</v>
      </c>
      <c r="R33" s="2">
        <f ca="1">R3</f>
        <v>72.083333333333329</v>
      </c>
      <c r="S33" s="27">
        <f ca="1">R33</f>
        <v>72.083333333333329</v>
      </c>
      <c r="T33" s="2">
        <f>N33</f>
        <v>53</v>
      </c>
      <c r="U33" s="2">
        <f>R4</f>
        <v>57.387285714285717</v>
      </c>
      <c r="V33" s="27">
        <f>U33</f>
        <v>57.387285714285717</v>
      </c>
      <c r="W33" s="2">
        <f>N33</f>
        <v>53</v>
      </c>
      <c r="X33" s="2">
        <f ca="1">R5</f>
        <v>73.75</v>
      </c>
      <c r="Y33" s="27">
        <f ca="1">X33</f>
        <v>73.75</v>
      </c>
      <c r="Z33" s="2">
        <f>N33</f>
        <v>53</v>
      </c>
      <c r="AA33">
        <f>R6</f>
        <v>45.5</v>
      </c>
      <c r="AB33" s="27">
        <f>AA33</f>
        <v>45.5</v>
      </c>
    </row>
    <row r="34" spans="1:28" x14ac:dyDescent="0.3">
      <c r="N34" s="2">
        <f>N33+1</f>
        <v>54</v>
      </c>
      <c r="O34" s="2">
        <f>O33+(O33*0.0115)</f>
        <v>72.455650724637678</v>
      </c>
      <c r="P34" s="2">
        <f>O33-(1-0.27)^(1/10)</f>
        <v>70.662865072548456</v>
      </c>
      <c r="Q34" s="2">
        <f>Q33+1</f>
        <v>54</v>
      </c>
      <c r="R34" s="2">
        <f ca="1">R33+(R33*0.0123)</f>
        <v>72.969958333333324</v>
      </c>
      <c r="S34" s="2">
        <f ca="1">R33-(1-0.27)^(1/10)</f>
        <v>71.114314347910778</v>
      </c>
      <c r="T34" s="2">
        <f>T33+1</f>
        <v>54</v>
      </c>
      <c r="U34" s="2">
        <f t="shared" ref="U34:U43" si="12">U33+(U33*0.0055)</f>
        <v>57.702915785714289</v>
      </c>
      <c r="V34" s="2">
        <f>U33-(1-0.27)^(1/10)</f>
        <v>56.418266728863159</v>
      </c>
      <c r="W34" s="2">
        <f>W33+1</f>
        <v>54</v>
      </c>
      <c r="X34" s="2">
        <f ca="1">X33+(X33*0.0099)</f>
        <v>74.480125000000001</v>
      </c>
      <c r="Y34" s="2">
        <f ca="1">X33-(1-0.4013)^(1/10)</f>
        <v>72.800005861213577</v>
      </c>
      <c r="Z34" s="2">
        <f>Z33+1</f>
        <v>54</v>
      </c>
      <c r="AA34">
        <f>AA33+(AA33*0.02)</f>
        <v>46.41</v>
      </c>
      <c r="AB34" s="2">
        <f>AA33-(1-0.2925)^(1/10)</f>
        <v>44.534009969239399</v>
      </c>
    </row>
    <row r="35" spans="1:28" x14ac:dyDescent="0.3">
      <c r="N35" s="2">
        <f t="shared" ref="N35:N43" si="13">N34+1</f>
        <v>55</v>
      </c>
      <c r="O35" s="2">
        <f t="shared" ref="O35:O43" si="14">O34+(O34*0.0115)</f>
        <v>73.288890707971007</v>
      </c>
      <c r="P35" s="2">
        <f>P34-(1-0.27)^(2/10)</f>
        <v>69.723867278439087</v>
      </c>
      <c r="Q35" s="2">
        <f t="shared" ref="Q35:Q43" si="15">Q34+1</f>
        <v>55</v>
      </c>
      <c r="R35" s="2">
        <f t="shared" ref="R35:R43" ca="1" si="16">R34+(R34*0.0123)</f>
        <v>73.86748882083333</v>
      </c>
      <c r="S35" s="2">
        <f ca="1">S34-(1-0.4464)^(2/10)</f>
        <v>70.225851613971912</v>
      </c>
      <c r="T35" s="2">
        <f t="shared" ref="T35:T43" si="17">T34+1</f>
        <v>55</v>
      </c>
      <c r="U35" s="2">
        <f t="shared" si="12"/>
        <v>58.020281822535715</v>
      </c>
      <c r="V35" s="2">
        <f>V34-(1-0.27)^(2/10)</f>
        <v>55.479268934753797</v>
      </c>
      <c r="W35" s="2">
        <f t="shared" ref="W35:W43" si="18">W34+1</f>
        <v>55</v>
      </c>
      <c r="X35" s="2">
        <f t="shared" ref="X35:X43" ca="1" si="19">X34+(X34*0.0099)</f>
        <v>75.217478237500004</v>
      </c>
      <c r="Y35" s="2">
        <f ca="1">Y34-(1-0.4013)^(2/10)</f>
        <v>71.897516997485013</v>
      </c>
      <c r="Z35" s="2">
        <f t="shared" ref="Z35:Z43" si="20">Z34+1</f>
        <v>55</v>
      </c>
      <c r="AA35">
        <f t="shared" ref="AA35:AA43" si="21">AA34+(AA34*0.02)</f>
        <v>47.338199999999993</v>
      </c>
      <c r="AB35" s="2">
        <f>AB34-(1-0.2925)^(2/10)</f>
        <v>43.600873229710537</v>
      </c>
    </row>
    <row r="36" spans="1:28" x14ac:dyDescent="0.3">
      <c r="A36" t="s">
        <v>8</v>
      </c>
      <c r="N36" s="2">
        <f t="shared" si="13"/>
        <v>56</v>
      </c>
      <c r="O36" s="2">
        <f t="shared" si="14"/>
        <v>74.131712951112675</v>
      </c>
      <c r="P36" s="2">
        <f>P35-(1-0.27)^(2/10)</f>
        <v>68.784869484329718</v>
      </c>
      <c r="Q36" s="2">
        <f t="shared" si="15"/>
        <v>56</v>
      </c>
      <c r="R36" s="2">
        <f t="shared" ca="1" si="16"/>
        <v>74.77605893332958</v>
      </c>
      <c r="S36" s="2">
        <f ca="1">S35-(1-0.4464)^(2/10)</f>
        <v>69.337388880033046</v>
      </c>
      <c r="T36" s="2">
        <f t="shared" si="17"/>
        <v>56</v>
      </c>
      <c r="U36" s="2">
        <f t="shared" si="12"/>
        <v>58.339393372559663</v>
      </c>
      <c r="V36" s="2">
        <f>V35-(1-0.27)^(2/10)</f>
        <v>54.540271140644435</v>
      </c>
      <c r="W36" s="2">
        <f t="shared" si="18"/>
        <v>56</v>
      </c>
      <c r="X36" s="2">
        <f t="shared" ca="1" si="19"/>
        <v>75.962131272051252</v>
      </c>
      <c r="Y36" s="2">
        <f ca="1">Y35-(1-0.4013)^(2/10)</f>
        <v>70.995028133756449</v>
      </c>
      <c r="Z36" s="2">
        <f t="shared" si="20"/>
        <v>56</v>
      </c>
      <c r="AA36">
        <f t="shared" si="21"/>
        <v>48.284963999999995</v>
      </c>
      <c r="AB36" s="2">
        <f>AB35-(1-0.2925)^(2/10)</f>
        <v>42.667736490181674</v>
      </c>
    </row>
    <row r="37" spans="1:28" x14ac:dyDescent="0.3">
      <c r="A37" s="1">
        <f ca="1">(B28/100*20)+(B29/100*20)+(B30/100*25)+(B31/100*20)+(B32/100*15)</f>
        <v>64.664864906832292</v>
      </c>
      <c r="N37" s="2">
        <f t="shared" si="13"/>
        <v>57</v>
      </c>
      <c r="O37" s="2">
        <f t="shared" si="14"/>
        <v>74.984227650050471</v>
      </c>
      <c r="P37" s="2">
        <f>P36-(1-0.27)^(3/10)</f>
        <v>67.87496279456785</v>
      </c>
      <c r="Q37" s="2">
        <f t="shared" si="15"/>
        <v>57</v>
      </c>
      <c r="R37" s="2">
        <f t="shared" ca="1" si="16"/>
        <v>75.695804458209537</v>
      </c>
      <c r="S37" s="2">
        <f ca="1">S36-(1-0.4464)^(3/10)</f>
        <v>68.499939000496823</v>
      </c>
      <c r="T37" s="2">
        <f t="shared" si="17"/>
        <v>57</v>
      </c>
      <c r="U37" s="2">
        <f t="shared" si="12"/>
        <v>58.660260036108738</v>
      </c>
      <c r="V37" s="2">
        <f>V36-(1-0.27)^(3/10)</f>
        <v>53.63036445088256</v>
      </c>
      <c r="W37" s="2">
        <f t="shared" si="18"/>
        <v>57</v>
      </c>
      <c r="X37" s="2">
        <f t="shared" ca="1" si="19"/>
        <v>76.714156371644563</v>
      </c>
      <c r="Y37" s="2">
        <f ca="1">Y36-(1-0.4013)^(3/10)</f>
        <v>70.137669002894299</v>
      </c>
      <c r="Z37" s="2">
        <f t="shared" si="20"/>
        <v>57</v>
      </c>
      <c r="AA37">
        <f t="shared" si="21"/>
        <v>49.250663279999998</v>
      </c>
      <c r="AB37" s="2">
        <f>AB36-(1-0.2925)^(3/10)</f>
        <v>41.766335702460339</v>
      </c>
    </row>
    <row r="38" spans="1:28" x14ac:dyDescent="0.3">
      <c r="N38" s="2">
        <f t="shared" si="13"/>
        <v>58</v>
      </c>
      <c r="O38" s="2">
        <f t="shared" si="14"/>
        <v>75.846546268026046</v>
      </c>
      <c r="P38" s="2">
        <f>P37-(1-0.27)^(4/10)</f>
        <v>66.993245937225595</v>
      </c>
      <c r="Q38" s="2">
        <f t="shared" si="15"/>
        <v>58</v>
      </c>
      <c r="R38" s="2">
        <f t="shared" ca="1" si="16"/>
        <v>76.626862853045509</v>
      </c>
      <c r="S38" s="2">
        <f ca="1">S37-(1-0.4464)^(4/10)</f>
        <v>67.710572970898681</v>
      </c>
      <c r="T38" s="2">
        <f t="shared" si="17"/>
        <v>58</v>
      </c>
      <c r="U38" s="2">
        <f t="shared" si="12"/>
        <v>58.982891466307336</v>
      </c>
      <c r="V38" s="2">
        <f>V37-(1-0.27)^(4/10)</f>
        <v>52.748647593540312</v>
      </c>
      <c r="W38" s="2">
        <f t="shared" si="18"/>
        <v>58</v>
      </c>
      <c r="X38" s="2">
        <f t="shared" ca="1" si="19"/>
        <v>77.473626519723851</v>
      </c>
      <c r="Y38" s="2">
        <f ca="1">Y37-(1-0.4013)^(4/10)</f>
        <v>69.323182853740235</v>
      </c>
      <c r="Z38" s="2">
        <f t="shared" si="20"/>
        <v>58</v>
      </c>
      <c r="AA38">
        <f t="shared" si="21"/>
        <v>50.235676545600001</v>
      </c>
      <c r="AB38" s="2">
        <f>AB37-(1-0.2925)^(4/10)</f>
        <v>40.895591527801777</v>
      </c>
    </row>
    <row r="39" spans="1:28" x14ac:dyDescent="0.3">
      <c r="N39" s="2">
        <f t="shared" si="13"/>
        <v>59</v>
      </c>
      <c r="O39" s="2">
        <f t="shared" si="14"/>
        <v>76.718781550108346</v>
      </c>
      <c r="P39" s="2">
        <f>P38-(1-0.27)^(5/10)</f>
        <v>66.138845562693845</v>
      </c>
      <c r="Q39" s="2">
        <f t="shared" si="15"/>
        <v>59</v>
      </c>
      <c r="R39" s="2">
        <f t="shared" ca="1" si="16"/>
        <v>77.569373266137973</v>
      </c>
      <c r="S39" s="2">
        <f ca="1">S38-(1-0.4464)^(5/10)</f>
        <v>66.966529961389156</v>
      </c>
      <c r="T39" s="2">
        <f t="shared" si="17"/>
        <v>59</v>
      </c>
      <c r="U39" s="2">
        <f t="shared" si="12"/>
        <v>59.30729736937203</v>
      </c>
      <c r="V39" s="2">
        <f>V38-(1-0.27)^(5/10)</f>
        <v>51.894247219008562</v>
      </c>
      <c r="W39" s="2">
        <f t="shared" si="18"/>
        <v>59</v>
      </c>
      <c r="X39" s="2">
        <f t="shared" ca="1" si="19"/>
        <v>78.240615422269116</v>
      </c>
      <c r="Y39" s="2">
        <f ca="1">Y38-(1-0.4013)^(5/10)</f>
        <v>68.549425785921144</v>
      </c>
      <c r="Z39" s="2">
        <f t="shared" si="20"/>
        <v>59</v>
      </c>
      <c r="AA39">
        <f t="shared" si="21"/>
        <v>51.240390076512</v>
      </c>
      <c r="AB39" s="2">
        <f>AB38-(1-0.2925)^(5/10)</f>
        <v>40.054461335738743</v>
      </c>
    </row>
    <row r="40" spans="1:28" x14ac:dyDescent="0.3">
      <c r="N40" s="2">
        <f t="shared" si="13"/>
        <v>60</v>
      </c>
      <c r="O40" s="2">
        <f t="shared" si="14"/>
        <v>77.601047537934591</v>
      </c>
      <c r="P40" s="2">
        <f>P39-(1-0.27)^(6/10)</f>
        <v>65.310915378620436</v>
      </c>
      <c r="Q40" s="2">
        <f t="shared" si="15"/>
        <v>60</v>
      </c>
      <c r="R40" s="2">
        <f t="shared" ca="1" si="16"/>
        <v>78.523476557311469</v>
      </c>
      <c r="S40" s="2">
        <f ca="1">S39-(1-0.4464)^(6/10)</f>
        <v>66.265207660653928</v>
      </c>
      <c r="T40" s="2">
        <f t="shared" si="17"/>
        <v>60</v>
      </c>
      <c r="U40" s="2">
        <f t="shared" si="12"/>
        <v>59.633487504903577</v>
      </c>
      <c r="V40" s="2">
        <f>V39-(1-0.27)^(6/10)</f>
        <v>51.066317034935153</v>
      </c>
      <c r="W40" s="2">
        <f t="shared" si="18"/>
        <v>60</v>
      </c>
      <c r="X40" s="2">
        <f t="shared" ca="1" si="19"/>
        <v>79.015197514949577</v>
      </c>
      <c r="Y40" s="2">
        <f ca="1">Y39-(1-0.4013)^(6/10)</f>
        <v>67.814361106648434</v>
      </c>
      <c r="Z40" s="2">
        <f t="shared" si="20"/>
        <v>60</v>
      </c>
      <c r="AA40">
        <f t="shared" si="21"/>
        <v>52.265197878042237</v>
      </c>
      <c r="AB40" s="2">
        <f>AB39-(1-0.2925)^(6/10)</f>
        <v>39.2419379556341</v>
      </c>
    </row>
    <row r="41" spans="1:28" x14ac:dyDescent="0.3">
      <c r="N41" s="2">
        <f t="shared" si="13"/>
        <v>61</v>
      </c>
      <c r="O41" s="2">
        <f t="shared" si="14"/>
        <v>78.493459584620837</v>
      </c>
      <c r="P41" s="2">
        <f>P40-(1-0.27)^(7/10)</f>
        <v>64.508635311648902</v>
      </c>
      <c r="Q41" s="2">
        <f t="shared" si="15"/>
        <v>61</v>
      </c>
      <c r="R41" s="2">
        <f t="shared" ca="1" si="16"/>
        <v>79.489315318966405</v>
      </c>
      <c r="S41" s="2">
        <f ca="1">S40-(1-0.4464)^(7/10)</f>
        <v>65.604153174256979</v>
      </c>
      <c r="T41" s="2">
        <f t="shared" si="17"/>
        <v>61</v>
      </c>
      <c r="U41" s="2">
        <f t="shared" si="12"/>
        <v>59.961471686180545</v>
      </c>
      <c r="V41" s="2">
        <f>V40-(1-0.27)^(7/10)</f>
        <v>50.264036967963627</v>
      </c>
      <c r="W41" s="2">
        <f t="shared" si="18"/>
        <v>61</v>
      </c>
      <c r="X41" s="2">
        <f t="shared" ca="1" si="19"/>
        <v>79.797447970347577</v>
      </c>
      <c r="Y41" s="2">
        <f ca="1">Y40-(1-0.4013)^(7/10)</f>
        <v>67.116053969710435</v>
      </c>
      <c r="Z41" s="2">
        <f t="shared" si="20"/>
        <v>61</v>
      </c>
      <c r="AA41">
        <f t="shared" si="21"/>
        <v>53.310501835603084</v>
      </c>
      <c r="AB41" s="2">
        <f>AB40-(1-0.2925)^(7/10)</f>
        <v>38.45704847069311</v>
      </c>
    </row>
    <row r="42" spans="1:28" x14ac:dyDescent="0.3">
      <c r="B42" t="s">
        <v>12</v>
      </c>
      <c r="C42" t="s">
        <v>0</v>
      </c>
      <c r="D42" t="s">
        <v>12</v>
      </c>
      <c r="E42" t="s">
        <v>1</v>
      </c>
      <c r="F42" t="s">
        <v>12</v>
      </c>
      <c r="G42" t="s">
        <v>2</v>
      </c>
      <c r="H42" t="s">
        <v>12</v>
      </c>
      <c r="I42" t="s">
        <v>3</v>
      </c>
      <c r="J42" t="s">
        <v>12</v>
      </c>
      <c r="K42" t="s">
        <v>4</v>
      </c>
      <c r="N42" s="2">
        <f t="shared" si="13"/>
        <v>62</v>
      </c>
      <c r="O42" s="2">
        <f t="shared" si="14"/>
        <v>79.396134369843978</v>
      </c>
      <c r="P42" s="2">
        <f>P41-(1-0.27)^(8/10)</f>
        <v>63.731210695127409</v>
      </c>
      <c r="Q42" s="2">
        <f t="shared" si="15"/>
        <v>62</v>
      </c>
      <c r="R42" s="2">
        <f t="shared" ca="1" si="16"/>
        <v>80.467033897389697</v>
      </c>
      <c r="S42" s="2">
        <f ca="1">S41-(1-0.4464)^(8/10)</f>
        <v>64.981054445573449</v>
      </c>
      <c r="T42" s="2">
        <f t="shared" si="17"/>
        <v>62</v>
      </c>
      <c r="U42" s="2">
        <f t="shared" si="12"/>
        <v>60.291259780454538</v>
      </c>
      <c r="V42" s="2">
        <f>V41-(1-0.27)^(8/10)</f>
        <v>49.486612351442133</v>
      </c>
      <c r="W42" s="2">
        <f t="shared" si="18"/>
        <v>62</v>
      </c>
      <c r="X42" s="2">
        <f t="shared" ca="1" si="19"/>
        <v>80.58744270525402</v>
      </c>
      <c r="Y42" s="2">
        <f ca="1">Y41-(1-0.4013)^(8/10)</f>
        <v>66.452666282546616</v>
      </c>
      <c r="Z42" s="2">
        <f t="shared" si="20"/>
        <v>62</v>
      </c>
      <c r="AA42">
        <f t="shared" si="21"/>
        <v>54.376711872315148</v>
      </c>
      <c r="AB42" s="2">
        <f>AB41-(1-0.2925)^(8/10)</f>
        <v>37.698853052991289</v>
      </c>
    </row>
    <row r="43" spans="1:28" x14ac:dyDescent="0.3">
      <c r="B43">
        <f>B27</f>
        <v>53</v>
      </c>
      <c r="C43">
        <f>B28</f>
        <v>71.631884057971007</v>
      </c>
      <c r="D43">
        <f>B43</f>
        <v>53</v>
      </c>
      <c r="E43">
        <f ca="1">B29</f>
        <v>72.083333333333329</v>
      </c>
      <c r="F43">
        <f>B27</f>
        <v>53</v>
      </c>
      <c r="G43">
        <f>B30</f>
        <v>57.387285714285717</v>
      </c>
      <c r="H43">
        <f>B27</f>
        <v>53</v>
      </c>
      <c r="I43">
        <f ca="1">B31</f>
        <v>73.75</v>
      </c>
      <c r="J43">
        <f>B27</f>
        <v>53</v>
      </c>
      <c r="K43">
        <f>B32</f>
        <v>45.5</v>
      </c>
      <c r="N43" s="2">
        <f t="shared" si="13"/>
        <v>63</v>
      </c>
      <c r="O43" s="2">
        <f t="shared" si="14"/>
        <v>80.309189915097178</v>
      </c>
      <c r="P43" s="2">
        <f>P42-(1-0.27)^(9/10)</f>
        <v>62.977871481983229</v>
      </c>
      <c r="Q43" s="2">
        <f t="shared" si="15"/>
        <v>63</v>
      </c>
      <c r="R43" s="2">
        <f t="shared" ca="1" si="16"/>
        <v>81.456778414327587</v>
      </c>
      <c r="S43" s="2">
        <f ca="1">S42-(1-0.4464)^(9/10)</f>
        <v>64.393732169306659</v>
      </c>
      <c r="T43" s="2">
        <f t="shared" si="17"/>
        <v>63</v>
      </c>
      <c r="U43" s="2">
        <f t="shared" si="12"/>
        <v>60.62286170924704</v>
      </c>
      <c r="V43" s="2">
        <f>V42-(1-0.27)^(9/10)</f>
        <v>48.733273138297953</v>
      </c>
      <c r="W43" s="2">
        <f t="shared" si="18"/>
        <v>63</v>
      </c>
      <c r="X43" s="2">
        <f t="shared" ca="1" si="19"/>
        <v>81.385258388036036</v>
      </c>
      <c r="Y43" s="2">
        <f ca="1">Y42-(1-0.4013)^(9/10)</f>
        <v>65.822451867997898</v>
      </c>
      <c r="Z43" s="2">
        <f t="shared" si="20"/>
        <v>63</v>
      </c>
      <c r="AA43">
        <f t="shared" si="21"/>
        <v>55.464246109761454</v>
      </c>
      <c r="AB43" s="2">
        <f>AB42-(1-0.2925)^(9/10)</f>
        <v>36.966443838122963</v>
      </c>
    </row>
    <row r="44" spans="1:28" x14ac:dyDescent="0.3">
      <c r="B44">
        <f>C27</f>
        <v>63</v>
      </c>
      <c r="C44">
        <f>C28</f>
        <v>79.869550724637676</v>
      </c>
      <c r="D44">
        <f>B44</f>
        <v>63</v>
      </c>
      <c r="E44">
        <f ca="1">C29</f>
        <v>80.949583333333322</v>
      </c>
      <c r="F44">
        <f>C27</f>
        <v>63</v>
      </c>
      <c r="G44">
        <f>C30</f>
        <v>60.54358642857143</v>
      </c>
      <c r="H44">
        <f>C27</f>
        <v>63</v>
      </c>
      <c r="I44">
        <f ca="1">C31</f>
        <v>81.051249999999996</v>
      </c>
      <c r="J44">
        <f>C27</f>
        <v>63</v>
      </c>
      <c r="K44">
        <f>C32</f>
        <v>54.6</v>
      </c>
    </row>
    <row r="45" spans="1:28" x14ac:dyDescent="0.3">
      <c r="B45">
        <f>D27</f>
        <v>73</v>
      </c>
      <c r="C45">
        <f>D28</f>
        <v>105.58754605797101</v>
      </c>
      <c r="D45">
        <f>D27</f>
        <v>73</v>
      </c>
      <c r="E45">
        <f ca="1">D29</f>
        <v>105.88205499999998</v>
      </c>
      <c r="F45">
        <f>D27</f>
        <v>73</v>
      </c>
      <c r="G45">
        <f>D30</f>
        <v>67.203380935714293</v>
      </c>
      <c r="H45">
        <f>D27</f>
        <v>73</v>
      </c>
      <c r="I45">
        <f ca="1">D31</f>
        <v>97.099397499999995</v>
      </c>
      <c r="J45">
        <f>D27</f>
        <v>73</v>
      </c>
      <c r="K45">
        <f>D32</f>
        <v>87.360000000000014</v>
      </c>
    </row>
    <row r="46" spans="1:28" x14ac:dyDescent="0.3">
      <c r="B46">
        <f>E27</f>
        <v>83</v>
      </c>
      <c r="C46">
        <f>E28</f>
        <v>139.58673588863769</v>
      </c>
      <c r="D46">
        <f>E27</f>
        <v>83</v>
      </c>
      <c r="E46">
        <f ca="1">E29</f>
        <v>138.49372793999999</v>
      </c>
      <c r="F46">
        <f>E27</f>
        <v>83</v>
      </c>
      <c r="G46">
        <f>E30</f>
        <v>74.595752838642866</v>
      </c>
      <c r="H46">
        <f>E27</f>
        <v>83</v>
      </c>
      <c r="I46">
        <f ca="1">E31</f>
        <v>116.325078205</v>
      </c>
      <c r="J46">
        <f>E27</f>
        <v>83</v>
      </c>
      <c r="K46">
        <f>E32</f>
        <v>139.77600000000001</v>
      </c>
    </row>
    <row r="47" spans="1:28" x14ac:dyDescent="0.3">
      <c r="B47">
        <f>F27</f>
        <v>93</v>
      </c>
      <c r="C47">
        <f>F28</f>
        <v>184.53366484477903</v>
      </c>
      <c r="D47">
        <f>F27</f>
        <v>93</v>
      </c>
      <c r="E47">
        <f ca="1">F29</f>
        <v>181.14979614551999</v>
      </c>
      <c r="F47">
        <f>F27</f>
        <v>93</v>
      </c>
      <c r="G47">
        <f ca="1">F31</f>
        <v>139.35744368959001</v>
      </c>
      <c r="H47">
        <f>F27</f>
        <v>93</v>
      </c>
      <c r="I47">
        <f ca="1">F31</f>
        <v>139.35744368959001</v>
      </c>
      <c r="J47">
        <f>F27</f>
        <v>93</v>
      </c>
      <c r="K47">
        <f>F32</f>
        <v>223.64160000000001</v>
      </c>
    </row>
    <row r="55" spans="4:5" x14ac:dyDescent="0.3">
      <c r="D55" t="s">
        <v>227</v>
      </c>
      <c r="E55">
        <f ca="1">_xlfn.LET(_xlpm.ChronAge, B28, _xlpm.BioAge, MEDIAN(25, T4, 90), MAX(1, MIN(100, (100 * ((_xlpm.ChronAge + 30) - _xlpm.BioAge) / 60))))</f>
        <v>61.611698585231196</v>
      </c>
    </row>
    <row r="56" spans="4:5" x14ac:dyDescent="0.3">
      <c r="D56" t="s">
        <v>225</v>
      </c>
      <c r="E56">
        <f ca="1">_xlfn.LET(_xlpm.ChronAge, B27, _xlpm.BioAge, MEDIAN(25, T4, 90), MAX(300, MIN(850, 600 + (10 * (_xlpm.ChronAge - _xlpm.BioAge)))))</f>
        <v>483.35135093167708</v>
      </c>
    </row>
  </sheetData>
  <mergeCells count="4">
    <mergeCell ref="A23:F23"/>
    <mergeCell ref="N31:AA31"/>
    <mergeCell ref="I24:J24"/>
    <mergeCell ref="I25:J3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66CD-6F13-4E10-BC51-A4F86C0923AE}">
  <dimension ref="A1:AB55"/>
  <sheetViews>
    <sheetView topLeftCell="A32" workbookViewId="0">
      <selection activeCell="E56" sqref="E56"/>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5546875" bestFit="1" customWidth="1"/>
    <col min="9" max="9" width="21.88671875" customWidth="1"/>
    <col min="10" max="10" width="32.664062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54</v>
      </c>
      <c r="D2" s="35">
        <f>C2-(C2/100*1)</f>
        <v>53.46</v>
      </c>
      <c r="E2" s="35">
        <f t="shared" ref="E2:L2" si="0">D2-(D2/100*1)</f>
        <v>52.925400000000003</v>
      </c>
      <c r="F2" s="35">
        <f t="shared" si="0"/>
        <v>52.396146000000002</v>
      </c>
      <c r="G2" s="35">
        <f t="shared" si="0"/>
        <v>51.872184539999999</v>
      </c>
      <c r="H2" s="36">
        <f>G2-(G2/100*1)</f>
        <v>51.353462694599997</v>
      </c>
      <c r="I2" s="35">
        <f t="shared" si="0"/>
        <v>50.839928067654</v>
      </c>
      <c r="J2" s="35">
        <f t="shared" si="0"/>
        <v>50.331528786977458</v>
      </c>
      <c r="K2" s="35">
        <f t="shared" si="0"/>
        <v>49.828213499107683</v>
      </c>
      <c r="L2" s="35">
        <f t="shared" si="0"/>
        <v>49.329931364116604</v>
      </c>
      <c r="M2" s="33">
        <f t="shared" ref="M2" si="1">L2-(L2/100*M1)</f>
        <v>44.396938227704943</v>
      </c>
      <c r="N2" s="8"/>
      <c r="O2" s="21">
        <v>54</v>
      </c>
      <c r="Q2" s="3" t="s">
        <v>0</v>
      </c>
      <c r="R2" s="16">
        <f>B27+ ((1 -((C2 / 39.5) * 0.7 )-((C3 / 100) * 0.3 )) * 100)</f>
        <v>11.303797468354439</v>
      </c>
    </row>
    <row r="3" spans="1:20" x14ac:dyDescent="0.3">
      <c r="A3" s="3" t="s">
        <v>0</v>
      </c>
      <c r="B3" s="3" t="s">
        <v>16</v>
      </c>
      <c r="C3" s="9">
        <v>110</v>
      </c>
      <c r="D3" s="35">
        <f t="shared" ref="D3:K3" si="2">C3-(C3/100*1.5)</f>
        <v>108.35</v>
      </c>
      <c r="E3" s="35">
        <f t="shared" si="2"/>
        <v>106.72475</v>
      </c>
      <c r="F3" s="35">
        <f t="shared" si="2"/>
        <v>105.12387875</v>
      </c>
      <c r="G3" s="35">
        <f t="shared" si="2"/>
        <v>103.54702056875</v>
      </c>
      <c r="H3" s="36">
        <f>G3-(G3/100*1.5)</f>
        <v>101.99381526021875</v>
      </c>
      <c r="I3" s="35">
        <f t="shared" si="2"/>
        <v>100.46390803131547</v>
      </c>
      <c r="J3" s="35">
        <f t="shared" si="2"/>
        <v>98.956949410845738</v>
      </c>
      <c r="K3" s="35">
        <f t="shared" si="2"/>
        <v>97.472595169683046</v>
      </c>
      <c r="L3" s="35">
        <f>K3-(K3/100*1.5)</f>
        <v>96.010506242137794</v>
      </c>
      <c r="M3" s="33">
        <f t="shared" ref="M3" si="3">L3-(L3/100*M1)</f>
        <v>86.40945561792401</v>
      </c>
      <c r="N3" s="8"/>
      <c r="O3" s="21">
        <v>110</v>
      </c>
      <c r="Q3" s="4" t="s">
        <v>1</v>
      </c>
      <c r="R3" s="4">
        <f>((O4/100*50)+(O5/100*25)+(O6/100*25))</f>
        <v>22.5</v>
      </c>
      <c r="T3" s="23" t="s">
        <v>8</v>
      </c>
    </row>
    <row r="4" spans="1:20" ht="18" customHeight="1" x14ac:dyDescent="0.3">
      <c r="A4" s="4" t="s">
        <v>17</v>
      </c>
      <c r="B4" s="4" t="s">
        <v>18</v>
      </c>
      <c r="C4" s="10">
        <v>58</v>
      </c>
      <c r="D4" s="35">
        <f>C4-(C4/100*1)</f>
        <v>57.42</v>
      </c>
      <c r="E4" s="35">
        <f t="shared" ref="E4:L4" si="4">D4-(D4/100*1)</f>
        <v>56.845800000000004</v>
      </c>
      <c r="F4" s="35">
        <f t="shared" si="4"/>
        <v>56.277342000000004</v>
      </c>
      <c r="G4" s="35">
        <f t="shared" si="4"/>
        <v>55.714568580000005</v>
      </c>
      <c r="H4" s="36">
        <f t="shared" si="4"/>
        <v>55.157422894200003</v>
      </c>
      <c r="I4" s="35">
        <f t="shared" si="4"/>
        <v>54.605848665258002</v>
      </c>
      <c r="J4" s="35">
        <f t="shared" si="4"/>
        <v>54.059790178605418</v>
      </c>
      <c r="K4" s="35">
        <f t="shared" si="4"/>
        <v>53.519192276819361</v>
      </c>
      <c r="L4" s="35">
        <f t="shared" si="4"/>
        <v>52.984000354051169</v>
      </c>
      <c r="M4" s="33">
        <f t="shared" ref="M4" si="5">L4-(L4/100*M1)</f>
        <v>47.685600318646053</v>
      </c>
      <c r="N4" s="8"/>
      <c r="O4" s="18">
        <v>25</v>
      </c>
      <c r="Q4" s="5" t="s">
        <v>2</v>
      </c>
      <c r="R4" s="5">
        <f>B27 - 9*R11</f>
        <v>40.354738721804509</v>
      </c>
      <c r="T4" s="1">
        <f>(R2/100*20)+(R3/100*20)+(R4/100*25)+(R5/100*20)+(R6/100*15)</f>
        <v>35.574444174122014</v>
      </c>
    </row>
    <row r="5" spans="1:20" x14ac:dyDescent="0.3">
      <c r="A5" s="4" t="s">
        <v>17</v>
      </c>
      <c r="B5" s="4" t="s">
        <v>19</v>
      </c>
      <c r="C5" s="10">
        <v>4.2</v>
      </c>
      <c r="D5" s="35">
        <f>C5-(C5/100*1.2)</f>
        <v>4.1496000000000004</v>
      </c>
      <c r="E5" s="35">
        <f t="shared" ref="E5:L6" si="6">D5-(D5/100*1.2)</f>
        <v>4.0998048000000002</v>
      </c>
      <c r="F5" s="35">
        <f t="shared" si="6"/>
        <v>4.0506071424000005</v>
      </c>
      <c r="G5" s="35">
        <f t="shared" si="6"/>
        <v>4.0019998566912003</v>
      </c>
      <c r="H5" s="36">
        <f t="shared" si="6"/>
        <v>3.9539758584109057</v>
      </c>
      <c r="I5" s="35">
        <f t="shared" si="6"/>
        <v>3.9065281481099747</v>
      </c>
      <c r="J5" s="35">
        <f t="shared" si="6"/>
        <v>3.8596498103326549</v>
      </c>
      <c r="K5" s="35">
        <f t="shared" si="6"/>
        <v>3.8133340126086628</v>
      </c>
      <c r="L5" s="35">
        <f t="shared" si="6"/>
        <v>3.7675740044573587</v>
      </c>
      <c r="M5" s="34">
        <f>C5-(C5/100*12)</f>
        <v>3.6960000000000002</v>
      </c>
      <c r="N5" s="8"/>
      <c r="O5" s="18">
        <v>20</v>
      </c>
      <c r="Q5" s="6" t="s">
        <v>29</v>
      </c>
      <c r="R5" s="6">
        <f>((O14/100*30)+(O15/100*25)+(O16/100*30)+(O17/100*15))</f>
        <v>51.25</v>
      </c>
    </row>
    <row r="6" spans="1:20" x14ac:dyDescent="0.3">
      <c r="A6" s="4" t="s">
        <v>17</v>
      </c>
      <c r="B6" s="4" t="s">
        <v>20</v>
      </c>
      <c r="C6" s="10">
        <v>55</v>
      </c>
      <c r="D6" s="35">
        <f>C6-(C6/100*1.2)</f>
        <v>54.34</v>
      </c>
      <c r="E6" s="35">
        <f t="shared" si="6"/>
        <v>53.687920000000005</v>
      </c>
      <c r="F6" s="35">
        <f t="shared" si="6"/>
        <v>53.043664960000008</v>
      </c>
      <c r="G6" s="35">
        <f t="shared" si="6"/>
        <v>52.407140980480008</v>
      </c>
      <c r="H6" s="36">
        <f t="shared" si="6"/>
        <v>51.778255288714249</v>
      </c>
      <c r="I6" s="35">
        <f t="shared" si="6"/>
        <v>51.156916225249681</v>
      </c>
      <c r="J6" s="35">
        <f t="shared" si="6"/>
        <v>50.543033230546683</v>
      </c>
      <c r="K6" s="35">
        <f t="shared" si="6"/>
        <v>49.936516831780125</v>
      </c>
      <c r="L6" s="35">
        <f t="shared" si="6"/>
        <v>49.33727862979876</v>
      </c>
      <c r="M6" s="34">
        <f>C6-(C6/100*12)</f>
        <v>48.4</v>
      </c>
      <c r="N6" s="8"/>
      <c r="O6" s="18">
        <v>20</v>
      </c>
      <c r="Q6" s="7" t="s">
        <v>4</v>
      </c>
      <c r="R6" s="7">
        <f>((O18/100*60)+(O19/100*40))</f>
        <v>56.5</v>
      </c>
    </row>
    <row r="7" spans="1:20" x14ac:dyDescent="0.3">
      <c r="A7" s="5" t="s">
        <v>21</v>
      </c>
      <c r="B7" s="5" t="s">
        <v>22</v>
      </c>
      <c r="C7" s="11">
        <v>14</v>
      </c>
      <c r="D7" s="35"/>
      <c r="E7" s="35"/>
      <c r="F7" s="35"/>
      <c r="G7" s="35"/>
      <c r="H7" s="36"/>
      <c r="I7" s="35"/>
      <c r="J7" s="35"/>
      <c r="K7" s="35"/>
      <c r="L7" s="37"/>
      <c r="M7" s="34">
        <f>C7+(C7/100*6)</f>
        <v>14.84</v>
      </c>
      <c r="N7" s="8"/>
      <c r="O7" s="22"/>
    </row>
    <row r="8" spans="1:20" x14ac:dyDescent="0.3">
      <c r="A8" s="5" t="s">
        <v>21</v>
      </c>
      <c r="B8" s="5" t="s">
        <v>23</v>
      </c>
      <c r="C8" s="11">
        <v>0.44</v>
      </c>
      <c r="D8" s="35"/>
      <c r="E8" s="35"/>
      <c r="F8" s="35"/>
      <c r="G8" s="35"/>
      <c r="H8" s="36"/>
      <c r="I8" s="35"/>
      <c r="J8" s="35"/>
      <c r="K8" s="35"/>
      <c r="L8" s="37"/>
      <c r="M8" s="34">
        <f>C8+(C8/100*4)</f>
        <v>0.45760000000000001</v>
      </c>
      <c r="N8" s="8"/>
      <c r="O8" s="22">
        <f xml:space="preserve">
IF(C8&lt;=0.4,0,
IF(C8&lt;=0.5,20*(C8-0.4)/0.1,
IF(C8&lt;=0.6,20+40*(C8-0.5)/0.1,
60+40*(MIN(C8,0.75)-0.6)/0.15)))</f>
        <v>7.9999999999999956</v>
      </c>
    </row>
    <row r="9" spans="1:20" x14ac:dyDescent="0.3">
      <c r="A9" s="5" t="s">
        <v>21</v>
      </c>
      <c r="B9" s="5" t="s">
        <v>24</v>
      </c>
      <c r="C9" s="11">
        <v>4.4000000000000004</v>
      </c>
      <c r="D9" s="35"/>
      <c r="E9" s="35"/>
      <c r="F9" s="35"/>
      <c r="G9" s="35"/>
      <c r="H9" s="36"/>
      <c r="I9" s="35"/>
      <c r="J9" s="35"/>
      <c r="K9" s="35"/>
      <c r="L9" s="37"/>
      <c r="M9" s="34"/>
      <c r="N9" s="8"/>
      <c r="O9" s="22"/>
    </row>
    <row r="10" spans="1:20" x14ac:dyDescent="0.3">
      <c r="A10" s="5" t="s">
        <v>21</v>
      </c>
      <c r="B10" s="5" t="s">
        <v>25</v>
      </c>
      <c r="C10" s="11">
        <v>4.7</v>
      </c>
      <c r="D10" s="35"/>
      <c r="E10" s="35"/>
      <c r="F10" s="35"/>
      <c r="G10" s="35"/>
      <c r="H10" s="36"/>
      <c r="I10" s="35"/>
      <c r="J10" s="35"/>
      <c r="K10" s="35"/>
      <c r="L10" s="37"/>
      <c r="M10" s="34">
        <f>C10+(C10/100*5)</f>
        <v>4.9350000000000005</v>
      </c>
      <c r="N10" s="8"/>
      <c r="O10" s="22">
        <f xml:space="preserve">
IF(C10&lt;5.7,10*(C10/5.7),
IF(C10&lt;6.5,10+40*(C10-5.7)/0.8,
50+50*(MIN(C10,9)-6.5)/2.5))</f>
        <v>8.2456140350877192</v>
      </c>
      <c r="Q10" t="s">
        <v>89</v>
      </c>
      <c r="R10" t="s">
        <v>90</v>
      </c>
    </row>
    <row r="11" spans="1:20" x14ac:dyDescent="0.3">
      <c r="A11" s="5" t="s">
        <v>21</v>
      </c>
      <c r="B11" s="5" t="s">
        <v>26</v>
      </c>
      <c r="C11" s="11">
        <v>3.5</v>
      </c>
      <c r="D11" s="35"/>
      <c r="E11" s="35"/>
      <c r="F11" s="35"/>
      <c r="G11" s="35"/>
      <c r="H11" s="36"/>
      <c r="I11" s="35"/>
      <c r="J11" s="35"/>
      <c r="K11" s="35"/>
      <c r="L11" s="37"/>
      <c r="M11" s="34">
        <f>C11+(C11/100*14)</f>
        <v>3.99</v>
      </c>
      <c r="N11" s="8"/>
      <c r="O11" s="5">
        <f xml:space="preserve">
IF(C11&lt;1.6,10*(C11/1.6),
IF(C11&lt;3,10+40*(C11-1.6)/1.4,
50+50*(MIN(C11,7)-3)/4))</f>
        <v>56.25</v>
      </c>
      <c r="Q11">
        <f>(0.3*P12)+(0.2*O8)+(0.15*O10)+(0.25*O11)+(0.1*O13)</f>
        <v>36.970770676691728</v>
      </c>
      <c r="R11">
        <f xml:space="preserve">
IF(Q11&lt;=10,1.5-0.1*Q11,
IF(Q11&lt;=60,0.5-0.02*(Q11-10),
-0.5-0.03*(Q11-60)))</f>
        <v>-3.9415413533834598E-2</v>
      </c>
    </row>
    <row r="12" spans="1:20" x14ac:dyDescent="0.3">
      <c r="A12" s="5" t="s">
        <v>21</v>
      </c>
      <c r="B12" s="5" t="s">
        <v>27</v>
      </c>
      <c r="C12" s="11">
        <v>1.2</v>
      </c>
      <c r="D12" s="35"/>
      <c r="E12" s="35"/>
      <c r="F12" s="35"/>
      <c r="G12" s="35"/>
      <c r="H12" s="36"/>
      <c r="I12" s="35"/>
      <c r="J12" s="35"/>
      <c r="K12" s="35"/>
      <c r="L12" s="37"/>
      <c r="M12" s="34">
        <f>C12+(C12/100*6)</f>
        <v>1.272</v>
      </c>
      <c r="N12" s="8"/>
      <c r="O12" s="5">
        <f>C12*100</f>
        <v>120</v>
      </c>
      <c r="P12" s="5">
        <f xml:space="preserve">
IF(O12&lt;80,5*(O12/80),
IF(O12&lt;100,10+20*(O12-80)/20,
IF(O12&lt;130,30+25*(O12-100)/30,
IF(O12&lt;160,55+25*(O12-130)/30,
IF(O12&lt;200,80+20*(O12-160)/40,100)))))</f>
        <v>46.666666666666671</v>
      </c>
    </row>
    <row r="13" spans="1:20" x14ac:dyDescent="0.3">
      <c r="A13" s="5" t="s">
        <v>21</v>
      </c>
      <c r="B13" s="5" t="s">
        <v>28</v>
      </c>
      <c r="C13" s="11">
        <v>4.5</v>
      </c>
      <c r="D13" s="35"/>
      <c r="E13" s="35"/>
      <c r="F13" s="35"/>
      <c r="G13" s="35"/>
      <c r="H13" s="36"/>
      <c r="I13" s="35"/>
      <c r="J13" s="35"/>
      <c r="K13" s="35"/>
      <c r="L13" s="37"/>
      <c r="M13" s="34">
        <f>C13+(C13/100*18)</f>
        <v>5.31</v>
      </c>
      <c r="N13" s="8"/>
      <c r="O13" s="5">
        <f xml:space="preserve">
IF(C13&lt;1,10*(C13/1),
IF(C13&lt;3,10+40*(C13-1)/2,
50+50*(MIN(C13,10)-3)/7))</f>
        <v>60.714285714285715</v>
      </c>
    </row>
    <row r="14" spans="1:20" x14ac:dyDescent="0.3">
      <c r="A14" s="6" t="s">
        <v>29</v>
      </c>
      <c r="B14" s="6" t="s">
        <v>30</v>
      </c>
      <c r="C14" s="12">
        <v>1.35</v>
      </c>
      <c r="D14" s="35">
        <f>C14-(C14/100*0.6)</f>
        <v>1.3419000000000001</v>
      </c>
      <c r="E14" s="35">
        <f t="shared" ref="E14:L14" si="7">D14-(D14/100*0.6)</f>
        <v>1.3338486000000001</v>
      </c>
      <c r="F14" s="35">
        <f t="shared" si="7"/>
        <v>1.3258455084</v>
      </c>
      <c r="G14" s="35">
        <f t="shared" si="7"/>
        <v>1.3178904353495999</v>
      </c>
      <c r="H14" s="36">
        <f t="shared" si="7"/>
        <v>1.3099830927375022</v>
      </c>
      <c r="I14" s="35">
        <f t="shared" si="7"/>
        <v>1.3021231941810771</v>
      </c>
      <c r="J14" s="35">
        <f t="shared" si="7"/>
        <v>1.2943104550159907</v>
      </c>
      <c r="K14" s="35">
        <f t="shared" si="7"/>
        <v>1.2865445922858947</v>
      </c>
      <c r="L14" s="35">
        <f t="shared" si="7"/>
        <v>1.2788253247321792</v>
      </c>
      <c r="M14" s="34">
        <f>C14-(C14/100*6)</f>
        <v>1.2690000000000001</v>
      </c>
      <c r="N14" s="8"/>
      <c r="O14" s="12">
        <v>20</v>
      </c>
    </row>
    <row r="15" spans="1:20" x14ac:dyDescent="0.3">
      <c r="A15" s="6" t="s">
        <v>29</v>
      </c>
      <c r="B15" s="6" t="s">
        <v>31</v>
      </c>
      <c r="C15" s="12">
        <v>7.5</v>
      </c>
      <c r="D15" s="35">
        <f>C15+(C15/100*1)</f>
        <v>7.5750000000000002</v>
      </c>
      <c r="E15" s="35">
        <f t="shared" ref="E15:L15" si="8">D15+(D15/100*1)</f>
        <v>7.6507500000000004</v>
      </c>
      <c r="F15" s="35">
        <f t="shared" si="8"/>
        <v>7.7272575000000003</v>
      </c>
      <c r="G15" s="35">
        <f t="shared" si="8"/>
        <v>7.8045300750000006</v>
      </c>
      <c r="H15" s="35">
        <f t="shared" si="8"/>
        <v>7.882575375750001</v>
      </c>
      <c r="I15" s="35">
        <f t="shared" si="8"/>
        <v>7.9614011295075011</v>
      </c>
      <c r="J15" s="35">
        <f t="shared" si="8"/>
        <v>8.0410151408025765</v>
      </c>
      <c r="K15" s="35">
        <f t="shared" si="8"/>
        <v>8.1214252922106027</v>
      </c>
      <c r="L15" s="35">
        <f t="shared" si="8"/>
        <v>8.2026395451327083</v>
      </c>
      <c r="M15" s="34">
        <f>C15+(C15/100*10)</f>
        <v>8.25</v>
      </c>
      <c r="N15" s="8"/>
      <c r="O15" s="12">
        <v>85</v>
      </c>
    </row>
    <row r="16" spans="1:20" x14ac:dyDescent="0.3">
      <c r="A16" s="6" t="s">
        <v>29</v>
      </c>
      <c r="B16" s="6" t="s">
        <v>32</v>
      </c>
      <c r="C16" s="12">
        <v>20</v>
      </c>
      <c r="D16" s="35">
        <f>C16+(C16/100*2)</f>
        <v>20.399999999999999</v>
      </c>
      <c r="E16" s="35">
        <f>D16+(D16/100*2)</f>
        <v>20.808</v>
      </c>
      <c r="F16" s="35">
        <f t="shared" ref="F16:L16" si="9">E16+(E16/100*2)</f>
        <v>21.224160000000001</v>
      </c>
      <c r="G16" s="35">
        <f t="shared" si="9"/>
        <v>21.648643200000002</v>
      </c>
      <c r="H16" s="36">
        <f t="shared" si="9"/>
        <v>22.081616064000002</v>
      </c>
      <c r="I16" s="35">
        <f t="shared" si="9"/>
        <v>22.523248385280002</v>
      </c>
      <c r="J16" s="35">
        <f t="shared" si="9"/>
        <v>22.973713352985602</v>
      </c>
      <c r="K16" s="35">
        <f t="shared" si="9"/>
        <v>23.433187620045313</v>
      </c>
      <c r="L16" s="35">
        <f t="shared" si="9"/>
        <v>23.90185137244622</v>
      </c>
      <c r="M16" s="34">
        <f>C16+(C16/100*20)</f>
        <v>24</v>
      </c>
      <c r="N16" s="8"/>
      <c r="O16" s="12">
        <v>60</v>
      </c>
    </row>
    <row r="17" spans="1:28" x14ac:dyDescent="0.3">
      <c r="A17" s="6" t="s">
        <v>29</v>
      </c>
      <c r="B17" s="6" t="s">
        <v>33</v>
      </c>
      <c r="C17" s="12">
        <v>22</v>
      </c>
      <c r="D17" s="35">
        <f>C17-(C17/100*1)</f>
        <v>21.78</v>
      </c>
      <c r="E17" s="35">
        <f t="shared" ref="E17:L17" si="10">D17-(D17/100*1)</f>
        <v>21.562200000000001</v>
      </c>
      <c r="F17" s="35">
        <f t="shared" si="10"/>
        <v>21.346578000000001</v>
      </c>
      <c r="G17" s="35">
        <f t="shared" si="10"/>
        <v>21.133112220000001</v>
      </c>
      <c r="H17" s="36">
        <f t="shared" si="10"/>
        <v>20.9217810978</v>
      </c>
      <c r="I17" s="35">
        <f t="shared" si="10"/>
        <v>20.712563286822</v>
      </c>
      <c r="J17" s="35">
        <f t="shared" si="10"/>
        <v>20.505437653953781</v>
      </c>
      <c r="K17" s="35">
        <f t="shared" si="10"/>
        <v>20.300383277414245</v>
      </c>
      <c r="L17" s="35">
        <f t="shared" si="10"/>
        <v>20.097379444640101</v>
      </c>
      <c r="M17" s="34">
        <f>C17+(C17/100*10)</f>
        <v>24.2</v>
      </c>
      <c r="N17" s="8"/>
      <c r="O17" s="12">
        <v>40</v>
      </c>
    </row>
    <row r="18" spans="1:28" x14ac:dyDescent="0.3">
      <c r="A18" s="7" t="s">
        <v>34</v>
      </c>
      <c r="B18" s="7" t="s">
        <v>35</v>
      </c>
      <c r="C18" s="13">
        <v>-1.1000000000000001</v>
      </c>
      <c r="D18" s="35">
        <f>C18+-0.02</f>
        <v>-1.1200000000000001</v>
      </c>
      <c r="E18" s="35">
        <f t="shared" ref="E18:L18" si="11">D18+-0.02</f>
        <v>-1.1400000000000001</v>
      </c>
      <c r="F18" s="35">
        <f t="shared" si="11"/>
        <v>-1.1600000000000001</v>
      </c>
      <c r="G18" s="35">
        <f t="shared" si="11"/>
        <v>-1.1800000000000002</v>
      </c>
      <c r="H18" s="36">
        <f t="shared" si="11"/>
        <v>-1.2000000000000002</v>
      </c>
      <c r="I18" s="35">
        <f t="shared" si="11"/>
        <v>-1.2200000000000002</v>
      </c>
      <c r="J18" s="35">
        <f t="shared" si="11"/>
        <v>-1.2400000000000002</v>
      </c>
      <c r="K18" s="35">
        <f t="shared" si="11"/>
        <v>-1.2600000000000002</v>
      </c>
      <c r="L18" s="35">
        <f t="shared" si="11"/>
        <v>-1.2800000000000002</v>
      </c>
      <c r="M18" s="34">
        <f>C18 +(-0.2)</f>
        <v>-1.3</v>
      </c>
      <c r="N18" s="8"/>
      <c r="O18" s="20">
        <f>MAX(18,B27-(C18*25))</f>
        <v>67.5</v>
      </c>
    </row>
    <row r="19" spans="1:28" x14ac:dyDescent="0.3">
      <c r="A19" s="7" t="s">
        <v>34</v>
      </c>
      <c r="B19" s="7" t="s">
        <v>36</v>
      </c>
      <c r="C19" s="13">
        <v>-0.5</v>
      </c>
      <c r="D19" s="35">
        <f>C19-0.02</f>
        <v>-0.52</v>
      </c>
      <c r="E19" s="35">
        <f t="shared" ref="E19:L19" si="12">D19-0.02</f>
        <v>-0.54</v>
      </c>
      <c r="F19" s="35">
        <f t="shared" si="12"/>
        <v>-0.56000000000000005</v>
      </c>
      <c r="G19" s="35">
        <f t="shared" si="12"/>
        <v>-0.58000000000000007</v>
      </c>
      <c r="H19" s="36">
        <f t="shared" si="12"/>
        <v>-0.60000000000000009</v>
      </c>
      <c r="I19" s="35">
        <f t="shared" si="12"/>
        <v>-0.62000000000000011</v>
      </c>
      <c r="J19" s="35">
        <f t="shared" si="12"/>
        <v>-0.64000000000000012</v>
      </c>
      <c r="K19" s="35">
        <f t="shared" si="12"/>
        <v>-0.66000000000000014</v>
      </c>
      <c r="L19" s="35">
        <f t="shared" si="12"/>
        <v>-0.68000000000000016</v>
      </c>
      <c r="M19" s="34">
        <f>C19+(-0.2)</f>
        <v>-0.7</v>
      </c>
      <c r="N19" s="8"/>
      <c r="O19" s="20">
        <f>MAX(18,B27-(J1925))</f>
        <v>40</v>
      </c>
    </row>
    <row r="23" spans="1:28" x14ac:dyDescent="0.3">
      <c r="A23" s="43" t="s">
        <v>37</v>
      </c>
      <c r="B23" s="43"/>
      <c r="C23" s="43"/>
      <c r="D23" s="43"/>
      <c r="E23" s="43"/>
      <c r="F23" s="43"/>
    </row>
    <row r="25" spans="1:28" x14ac:dyDescent="0.3">
      <c r="B25" t="s">
        <v>5</v>
      </c>
      <c r="C25" t="s">
        <v>6</v>
      </c>
      <c r="D25" t="s">
        <v>9</v>
      </c>
      <c r="E25" t="s">
        <v>10</v>
      </c>
      <c r="F25" t="s">
        <v>11</v>
      </c>
    </row>
    <row r="26" spans="1:28" x14ac:dyDescent="0.3">
      <c r="A26" t="s">
        <v>43</v>
      </c>
      <c r="B26" t="s">
        <v>44</v>
      </c>
      <c r="I26" s="43" t="s">
        <v>144</v>
      </c>
      <c r="J26" s="43"/>
    </row>
    <row r="27" spans="1:28" x14ac:dyDescent="0.3">
      <c r="A27" t="s">
        <v>7</v>
      </c>
      <c r="B27">
        <v>40</v>
      </c>
      <c r="C27">
        <f>B27+10</f>
        <v>50</v>
      </c>
      <c r="D27">
        <f>C27+10</f>
        <v>60</v>
      </c>
      <c r="E27">
        <f>D27+10</f>
        <v>70</v>
      </c>
      <c r="F27">
        <f>E27+10</f>
        <v>80</v>
      </c>
      <c r="I27" s="44" t="s">
        <v>238</v>
      </c>
      <c r="J27" s="45"/>
    </row>
    <row r="28" spans="1:28" x14ac:dyDescent="0.3">
      <c r="A28" t="s">
        <v>0</v>
      </c>
      <c r="B28" s="24">
        <f>R2</f>
        <v>11.303797468354439</v>
      </c>
      <c r="C28">
        <f>B28+(B28/100*11.5)</f>
        <v>12.6037341772152</v>
      </c>
      <c r="D28">
        <f>C28+(C28/100*32.2)</f>
        <v>16.662136582278496</v>
      </c>
      <c r="E28">
        <f>D28+(D28/100*32.2)</f>
        <v>22.027344561772171</v>
      </c>
      <c r="F28">
        <f>E28+(E28/100*32.2)</f>
        <v>29.120149510662813</v>
      </c>
      <c r="I28" s="45"/>
      <c r="J28" s="45"/>
    </row>
    <row r="29" spans="1:28" x14ac:dyDescent="0.3">
      <c r="A29" t="s">
        <v>1</v>
      </c>
      <c r="B29">
        <f>R3</f>
        <v>22.5</v>
      </c>
      <c r="C29">
        <f>B29+(B29/100*12.3)</f>
        <v>25.267499999999998</v>
      </c>
      <c r="D29">
        <f>C29+(C29/100*30.8)</f>
        <v>33.049889999999998</v>
      </c>
      <c r="E29">
        <f>D29+(D29/100*30.8)</f>
        <v>43.229256119999995</v>
      </c>
      <c r="F29">
        <f>E29+(E29/100*30.8)</f>
        <v>56.543867004959992</v>
      </c>
      <c r="I29" s="45"/>
      <c r="J29" s="45"/>
    </row>
    <row r="30" spans="1:28" x14ac:dyDescent="0.3">
      <c r="A30" t="s">
        <v>2</v>
      </c>
      <c r="B30">
        <f>R4</f>
        <v>40.354738721804509</v>
      </c>
      <c r="C30">
        <f>B30+(B30/100*5.5)</f>
        <v>42.574249351503759</v>
      </c>
      <c r="D30">
        <f>C30+(C30/100*11)</f>
        <v>47.257416780169173</v>
      </c>
      <c r="E30">
        <f>D30+(D30/100*11)</f>
        <v>52.455732625987778</v>
      </c>
      <c r="F30">
        <f>E30+(E30/100*11)</f>
        <v>58.225863214846434</v>
      </c>
      <c r="I30" s="45"/>
      <c r="J30" s="45"/>
    </row>
    <row r="31" spans="1:28" x14ac:dyDescent="0.3">
      <c r="A31" t="s">
        <v>3</v>
      </c>
      <c r="B31">
        <f>R5</f>
        <v>51.25</v>
      </c>
      <c r="C31">
        <f>B31+(B31/100*9.9)</f>
        <v>56.323749999999997</v>
      </c>
      <c r="D31">
        <f>C31+(C31/100*19.8)</f>
        <v>67.475852500000002</v>
      </c>
      <c r="E31">
        <f>D31+(D31/100*19.8)</f>
        <v>80.836071294999996</v>
      </c>
      <c r="F31">
        <f>E31+(E31/100*19.8)</f>
        <v>96.841613411409995</v>
      </c>
      <c r="I31" s="45"/>
      <c r="J31" s="45"/>
      <c r="N31" s="46" t="s">
        <v>104</v>
      </c>
      <c r="O31" s="46"/>
      <c r="P31" s="46"/>
      <c r="Q31" s="46"/>
      <c r="R31" s="46"/>
      <c r="S31" s="46"/>
      <c r="T31" s="46"/>
      <c r="U31" s="46"/>
      <c r="V31" s="46"/>
      <c r="W31" s="46"/>
      <c r="X31" s="46"/>
      <c r="Y31" s="46"/>
      <c r="Z31" s="46"/>
      <c r="AA31" s="46"/>
    </row>
    <row r="32" spans="1:28" ht="84" customHeight="1" x14ac:dyDescent="0.3">
      <c r="A32" t="s">
        <v>4</v>
      </c>
      <c r="B32">
        <f>R6</f>
        <v>56.5</v>
      </c>
      <c r="C32">
        <f>B32+(B32/100*20)</f>
        <v>67.8</v>
      </c>
      <c r="D32">
        <f>C32+(C32/100*60)</f>
        <v>108.47999999999999</v>
      </c>
      <c r="E32">
        <f>D32+(D32/100*60)</f>
        <v>173.56799999999998</v>
      </c>
      <c r="F32">
        <f>E32+(E32/100*60)</f>
        <v>277.7088</v>
      </c>
      <c r="I32" s="45"/>
      <c r="J32" s="45"/>
      <c r="N32" s="2" t="s">
        <v>103</v>
      </c>
      <c r="O32" s="2" t="s">
        <v>147</v>
      </c>
      <c r="P32" s="2" t="s">
        <v>220</v>
      </c>
      <c r="Q32" s="2" t="s">
        <v>103</v>
      </c>
      <c r="R32" s="2" t="s">
        <v>105</v>
      </c>
      <c r="S32" s="2" t="s">
        <v>221</v>
      </c>
      <c r="T32" s="2" t="s">
        <v>103</v>
      </c>
      <c r="U32" s="2" t="s">
        <v>121</v>
      </c>
      <c r="V32" s="2" t="s">
        <v>222</v>
      </c>
      <c r="W32" s="2" t="s">
        <v>103</v>
      </c>
      <c r="X32" s="2" t="s">
        <v>108</v>
      </c>
      <c r="Y32" s="2" t="s">
        <v>223</v>
      </c>
      <c r="Z32" s="2" t="s">
        <v>103</v>
      </c>
      <c r="AA32" s="2" t="s">
        <v>123</v>
      </c>
      <c r="AB32" s="2" t="s">
        <v>224</v>
      </c>
    </row>
    <row r="33" spans="1:28" x14ac:dyDescent="0.3">
      <c r="N33" s="2">
        <f>B27</f>
        <v>40</v>
      </c>
      <c r="O33" s="27">
        <f>R2</f>
        <v>11.303797468354439</v>
      </c>
      <c r="P33" s="27">
        <f>O33</f>
        <v>11.303797468354439</v>
      </c>
      <c r="Q33" s="2">
        <f>N33</f>
        <v>40</v>
      </c>
      <c r="R33" s="2">
        <f>R3</f>
        <v>22.5</v>
      </c>
      <c r="S33" s="27">
        <f>R33</f>
        <v>22.5</v>
      </c>
      <c r="T33" s="2">
        <f>N33</f>
        <v>40</v>
      </c>
      <c r="U33" s="2">
        <f>R4</f>
        <v>40.354738721804509</v>
      </c>
      <c r="V33" s="27">
        <f>U33</f>
        <v>40.354738721804509</v>
      </c>
      <c r="W33" s="2">
        <f>N33</f>
        <v>40</v>
      </c>
      <c r="X33" s="2">
        <f>R5</f>
        <v>51.25</v>
      </c>
      <c r="Y33" s="27">
        <f>X33</f>
        <v>51.25</v>
      </c>
      <c r="Z33" s="2">
        <f>N33</f>
        <v>40</v>
      </c>
      <c r="AA33">
        <f>R6</f>
        <v>56.5</v>
      </c>
      <c r="AB33" s="27">
        <f>AA33</f>
        <v>56.5</v>
      </c>
    </row>
    <row r="34" spans="1:28" x14ac:dyDescent="0.3">
      <c r="N34" s="2">
        <f>N33+1</f>
        <v>41</v>
      </c>
      <c r="O34" s="2">
        <f>O33+(O33*0.0115)</f>
        <v>11.433791139240515</v>
      </c>
      <c r="P34" s="2">
        <f>O33-(1-0.27)^(1/10)</f>
        <v>10.334778482931881</v>
      </c>
      <c r="Q34" s="2">
        <f>Q33+1</f>
        <v>41</v>
      </c>
      <c r="R34" s="2">
        <f>R33+(R33*0.0123)</f>
        <v>22.77675</v>
      </c>
      <c r="S34" s="2">
        <f>R33-(1-0.27)^(1/10)</f>
        <v>21.530981014577442</v>
      </c>
      <c r="T34" s="2">
        <f>T33+1</f>
        <v>41</v>
      </c>
      <c r="U34" s="2">
        <f t="shared" ref="U34:U43" si="13">U33+(U33*0.0055)</f>
        <v>40.57668978477443</v>
      </c>
      <c r="V34" s="2">
        <f>U33-(1-0.27)^(1/10)</f>
        <v>39.385719736381951</v>
      </c>
      <c r="W34" s="2">
        <f>W33+1</f>
        <v>41</v>
      </c>
      <c r="X34" s="2">
        <f>X33+(X33*0.0099)</f>
        <v>51.757375000000003</v>
      </c>
      <c r="Y34" s="2">
        <f>X33-(1-0.4013)^(1/10)</f>
        <v>50.300005861213577</v>
      </c>
      <c r="Z34" s="2">
        <f>Z33+1</f>
        <v>41</v>
      </c>
      <c r="AA34">
        <f>AA33+(AA33*0.02)</f>
        <v>57.63</v>
      </c>
      <c r="AB34" s="2">
        <f>AA33-(1-0.2925)^(1/10)</f>
        <v>55.534009969239399</v>
      </c>
    </row>
    <row r="35" spans="1:28" x14ac:dyDescent="0.3">
      <c r="N35" s="2">
        <f t="shared" ref="N35:N43" si="14">N34+1</f>
        <v>42</v>
      </c>
      <c r="O35" s="2">
        <f t="shared" ref="O35:O43" si="15">O34+(O34*0.0115)</f>
        <v>11.565279737341781</v>
      </c>
      <c r="P35" s="2">
        <f>P34-(1-0.27)^(2/10)</f>
        <v>9.3957806888225175</v>
      </c>
      <c r="Q35" s="2">
        <f t="shared" ref="Q35:Q43" si="16">Q34+1</f>
        <v>42</v>
      </c>
      <c r="R35" s="2">
        <f t="shared" ref="R35:R43" si="17">R34+(R34*0.0123)</f>
        <v>23.056904025000001</v>
      </c>
      <c r="S35" s="2">
        <f>S34-(1-0.4464)^(2/10)</f>
        <v>20.642518280638569</v>
      </c>
      <c r="T35" s="2">
        <f t="shared" ref="T35:T43" si="18">T34+1</f>
        <v>42</v>
      </c>
      <c r="U35" s="2">
        <f t="shared" si="13"/>
        <v>40.799861578590686</v>
      </c>
      <c r="V35" s="2">
        <f>V34-(1-0.27)^(2/10)</f>
        <v>38.446721942272589</v>
      </c>
      <c r="W35" s="2">
        <f t="shared" ref="W35:W43" si="19">W34+1</f>
        <v>42</v>
      </c>
      <c r="X35" s="2">
        <f t="shared" ref="X35:X43" si="20">X34+(X34*0.0099)</f>
        <v>52.269773012500004</v>
      </c>
      <c r="Y35" s="2">
        <f>Y34-(1-0.4013)^(2/10)</f>
        <v>49.397516997485013</v>
      </c>
      <c r="Z35" s="2">
        <f t="shared" ref="Z35:Z43" si="21">Z34+1</f>
        <v>42</v>
      </c>
      <c r="AA35">
        <f t="shared" ref="AA35:AA43" si="22">AA34+(AA34*0.02)</f>
        <v>58.782600000000002</v>
      </c>
      <c r="AB35" s="2">
        <f>AB34-(1-0.2925)^(2/10)</f>
        <v>54.600873229710537</v>
      </c>
    </row>
    <row r="36" spans="1:28" x14ac:dyDescent="0.3">
      <c r="A36" t="s">
        <v>8</v>
      </c>
      <c r="N36" s="2">
        <f t="shared" si="14"/>
        <v>43</v>
      </c>
      <c r="O36" s="2">
        <f t="shared" si="15"/>
        <v>11.69828045432121</v>
      </c>
      <c r="P36" s="2">
        <f>P35-(1-0.27)^(2/10)</f>
        <v>8.4567828947131538</v>
      </c>
      <c r="Q36" s="2">
        <f t="shared" si="16"/>
        <v>43</v>
      </c>
      <c r="R36" s="2">
        <f t="shared" si="17"/>
        <v>23.3405039445075</v>
      </c>
      <c r="S36" s="2">
        <f>S35-(1-0.4464)^(2/10)</f>
        <v>19.754055546699696</v>
      </c>
      <c r="T36" s="2">
        <f t="shared" si="18"/>
        <v>43</v>
      </c>
      <c r="U36" s="2">
        <f t="shared" si="13"/>
        <v>41.024260817272932</v>
      </c>
      <c r="V36" s="2">
        <f>V35-(1-0.27)^(2/10)</f>
        <v>37.507724148163227</v>
      </c>
      <c r="W36" s="2">
        <f t="shared" si="19"/>
        <v>43</v>
      </c>
      <c r="X36" s="2">
        <f t="shared" si="20"/>
        <v>52.787243765323751</v>
      </c>
      <c r="Y36" s="2">
        <f>Y35-(1-0.4013)^(2/10)</f>
        <v>48.495028133756449</v>
      </c>
      <c r="Z36" s="2">
        <f t="shared" si="21"/>
        <v>43</v>
      </c>
      <c r="AA36">
        <f t="shared" si="22"/>
        <v>59.958252000000002</v>
      </c>
      <c r="AB36" s="2">
        <f>AB35-(1-0.2925)^(2/10)</f>
        <v>53.667736490181674</v>
      </c>
    </row>
    <row r="37" spans="1:28" x14ac:dyDescent="0.3">
      <c r="A37" s="1">
        <f>(B28/100*20)+(B29/100*20)+(B30/100*25)+(B31/100*20)+(B32/100*15)</f>
        <v>35.574444174122014</v>
      </c>
      <c r="N37" s="2">
        <f t="shared" si="14"/>
        <v>44</v>
      </c>
      <c r="O37" s="2">
        <f t="shared" si="15"/>
        <v>11.832810679545904</v>
      </c>
      <c r="P37" s="2">
        <f>P36-(1-0.27)^(3/10)</f>
        <v>7.5468762049512792</v>
      </c>
      <c r="Q37" s="2">
        <f t="shared" si="16"/>
        <v>44</v>
      </c>
      <c r="R37" s="2">
        <f t="shared" si="17"/>
        <v>23.627592143024941</v>
      </c>
      <c r="S37" s="2">
        <f>S36-(1-0.4464)^(3/10)</f>
        <v>18.916605667163473</v>
      </c>
      <c r="T37" s="2">
        <f t="shared" si="18"/>
        <v>44</v>
      </c>
      <c r="U37" s="2">
        <f t="shared" si="13"/>
        <v>41.249894251767934</v>
      </c>
      <c r="V37" s="2">
        <f>V36-(1-0.27)^(3/10)</f>
        <v>36.597817458401352</v>
      </c>
      <c r="W37" s="2">
        <f t="shared" si="19"/>
        <v>44</v>
      </c>
      <c r="X37" s="2">
        <f t="shared" si="20"/>
        <v>53.309837478600457</v>
      </c>
      <c r="Y37" s="2">
        <f>Y36-(1-0.4013)^(3/10)</f>
        <v>47.637669002894292</v>
      </c>
      <c r="Z37" s="2">
        <f t="shared" si="21"/>
        <v>44</v>
      </c>
      <c r="AA37">
        <f t="shared" si="22"/>
        <v>61.157417039999999</v>
      </c>
      <c r="AB37" s="2">
        <f>AB36-(1-0.2925)^(3/10)</f>
        <v>52.766335702460339</v>
      </c>
    </row>
    <row r="38" spans="1:28" x14ac:dyDescent="0.3">
      <c r="N38" s="2">
        <f t="shared" si="14"/>
        <v>45</v>
      </c>
      <c r="O38" s="2">
        <f t="shared" si="15"/>
        <v>11.968888002360682</v>
      </c>
      <c r="P38" s="2">
        <f>P37-(1-0.27)^(4/10)</f>
        <v>6.6651593476090296</v>
      </c>
      <c r="Q38" s="2">
        <f t="shared" si="16"/>
        <v>45</v>
      </c>
      <c r="R38" s="2">
        <f t="shared" si="17"/>
        <v>23.918211526384148</v>
      </c>
      <c r="S38" s="2">
        <f>S37-(1-0.4464)^(4/10)</f>
        <v>18.127239637565339</v>
      </c>
      <c r="T38" s="2">
        <f t="shared" si="18"/>
        <v>45</v>
      </c>
      <c r="U38" s="2">
        <f t="shared" si="13"/>
        <v>41.476768670152659</v>
      </c>
      <c r="V38" s="2">
        <f>V37-(1-0.27)^(4/10)</f>
        <v>35.716100601059104</v>
      </c>
      <c r="W38" s="2">
        <f t="shared" si="19"/>
        <v>45</v>
      </c>
      <c r="X38" s="2">
        <f t="shared" si="20"/>
        <v>53.837604869638604</v>
      </c>
      <c r="Y38" s="2">
        <f>Y37-(1-0.4013)^(4/10)</f>
        <v>46.823182853740221</v>
      </c>
      <c r="Z38" s="2">
        <f t="shared" si="21"/>
        <v>45</v>
      </c>
      <c r="AA38">
        <f t="shared" si="22"/>
        <v>62.3805653808</v>
      </c>
      <c r="AB38" s="2">
        <f>AB37-(1-0.2925)^(4/10)</f>
        <v>51.895591527801777</v>
      </c>
    </row>
    <row r="39" spans="1:28" x14ac:dyDescent="0.3">
      <c r="N39" s="2">
        <f t="shared" si="14"/>
        <v>46</v>
      </c>
      <c r="O39" s="2">
        <f t="shared" si="15"/>
        <v>12.10653021438783</v>
      </c>
      <c r="P39" s="2">
        <f>P38-(1-0.27)^(5/10)</f>
        <v>5.8107589730772764</v>
      </c>
      <c r="Q39" s="2">
        <f t="shared" si="16"/>
        <v>46</v>
      </c>
      <c r="R39" s="2">
        <f t="shared" si="17"/>
        <v>24.212405528158673</v>
      </c>
      <c r="S39" s="2">
        <f>S38-(1-0.4464)^(5/10)</f>
        <v>17.383196628055806</v>
      </c>
      <c r="T39" s="2">
        <f t="shared" si="18"/>
        <v>46</v>
      </c>
      <c r="U39" s="2">
        <f t="shared" si="13"/>
        <v>41.704890897838496</v>
      </c>
      <c r="V39" s="2">
        <f>V38-(1-0.27)^(5/10)</f>
        <v>34.861700226527354</v>
      </c>
      <c r="W39" s="2">
        <f t="shared" si="19"/>
        <v>46</v>
      </c>
      <c r="X39" s="2">
        <f t="shared" si="20"/>
        <v>54.370597157848024</v>
      </c>
      <c r="Y39" s="2">
        <f>Y38-(1-0.4013)^(5/10)</f>
        <v>46.04942578592113</v>
      </c>
      <c r="Z39" s="2">
        <f t="shared" si="21"/>
        <v>46</v>
      </c>
      <c r="AA39">
        <f t="shared" si="22"/>
        <v>63.628176688415998</v>
      </c>
      <c r="AB39" s="2">
        <f>AB38-(1-0.2925)^(5/10)</f>
        <v>51.054461335738743</v>
      </c>
    </row>
    <row r="40" spans="1:28" x14ac:dyDescent="0.3">
      <c r="N40" s="2">
        <f t="shared" si="14"/>
        <v>47</v>
      </c>
      <c r="O40" s="2">
        <f t="shared" si="15"/>
        <v>12.245755311853289</v>
      </c>
      <c r="P40" s="2">
        <f>P39-(1-0.27)^(6/10)</f>
        <v>4.9828287890038636</v>
      </c>
      <c r="Q40" s="2">
        <f t="shared" si="16"/>
        <v>47</v>
      </c>
      <c r="R40" s="2">
        <f t="shared" si="17"/>
        <v>24.510218116155023</v>
      </c>
      <c r="S40" s="2">
        <f>S39-(1-0.4464)^(6/10)</f>
        <v>16.681874327320575</v>
      </c>
      <c r="T40" s="2">
        <f t="shared" si="18"/>
        <v>47</v>
      </c>
      <c r="U40" s="2">
        <f t="shared" si="13"/>
        <v>41.934267797776606</v>
      </c>
      <c r="V40" s="2">
        <f>V39-(1-0.27)^(6/10)</f>
        <v>34.033770042453938</v>
      </c>
      <c r="W40" s="2">
        <f t="shared" si="19"/>
        <v>47</v>
      </c>
      <c r="X40" s="2">
        <f t="shared" si="20"/>
        <v>54.908866069710719</v>
      </c>
      <c r="Y40" s="2">
        <f>Y39-(1-0.4013)^(6/10)</f>
        <v>45.31436110664842</v>
      </c>
      <c r="Z40" s="2">
        <f t="shared" si="21"/>
        <v>47</v>
      </c>
      <c r="AA40">
        <f t="shared" si="22"/>
        <v>64.900740222184311</v>
      </c>
      <c r="AB40" s="2">
        <f>AB39-(1-0.2925)^(6/10)</f>
        <v>50.2419379556341</v>
      </c>
    </row>
    <row r="41" spans="1:28" x14ac:dyDescent="0.3">
      <c r="N41" s="2">
        <f t="shared" si="14"/>
        <v>48</v>
      </c>
      <c r="O41" s="2">
        <f t="shared" si="15"/>
        <v>12.386581497939602</v>
      </c>
      <c r="P41" s="2">
        <f>P40-(1-0.27)^(7/10)</f>
        <v>4.1805487220323334</v>
      </c>
      <c r="Q41" s="2">
        <f t="shared" si="16"/>
        <v>48</v>
      </c>
      <c r="R41" s="2">
        <f t="shared" si="17"/>
        <v>24.811693798983729</v>
      </c>
      <c r="S41" s="2">
        <f>S40-(1-0.4464)^(7/10)</f>
        <v>16.020819840923629</v>
      </c>
      <c r="T41" s="2">
        <f t="shared" si="18"/>
        <v>48</v>
      </c>
      <c r="U41" s="2">
        <f t="shared" si="13"/>
        <v>42.164906270664375</v>
      </c>
      <c r="V41" s="2">
        <f>V40-(1-0.27)^(7/10)</f>
        <v>33.231489975482411</v>
      </c>
      <c r="W41" s="2">
        <f t="shared" si="19"/>
        <v>48</v>
      </c>
      <c r="X41" s="2">
        <f t="shared" si="20"/>
        <v>55.452463843800857</v>
      </c>
      <c r="Y41" s="2">
        <f>Y40-(1-0.4013)^(7/10)</f>
        <v>44.616053969710421</v>
      </c>
      <c r="Z41" s="2">
        <f t="shared" si="21"/>
        <v>48</v>
      </c>
      <c r="AA41">
        <f t="shared" si="22"/>
        <v>66.198755026627992</v>
      </c>
      <c r="AB41" s="2">
        <f>AB40-(1-0.2925)^(7/10)</f>
        <v>49.45704847069311</v>
      </c>
    </row>
    <row r="42" spans="1:28" x14ac:dyDescent="0.3">
      <c r="B42" t="s">
        <v>12</v>
      </c>
      <c r="C42" t="s">
        <v>0</v>
      </c>
      <c r="D42" t="s">
        <v>12</v>
      </c>
      <c r="E42" t="s">
        <v>1</v>
      </c>
      <c r="F42" t="s">
        <v>12</v>
      </c>
      <c r="G42" t="s">
        <v>2</v>
      </c>
      <c r="H42" t="s">
        <v>12</v>
      </c>
      <c r="I42" t="s">
        <v>3</v>
      </c>
      <c r="J42" t="s">
        <v>12</v>
      </c>
      <c r="K42" t="s">
        <v>4</v>
      </c>
      <c r="N42" s="2">
        <f t="shared" si="14"/>
        <v>49</v>
      </c>
      <c r="O42" s="2">
        <f t="shared" si="15"/>
        <v>12.529027185165907</v>
      </c>
      <c r="P42" s="2">
        <f>P41-(1-0.27)^(8/10)</f>
        <v>3.4031241055108401</v>
      </c>
      <c r="Q42" s="2">
        <f t="shared" si="16"/>
        <v>49</v>
      </c>
      <c r="R42" s="2">
        <f t="shared" si="17"/>
        <v>25.11687763271123</v>
      </c>
      <c r="S42" s="2">
        <f>S41-(1-0.4464)^(8/10)</f>
        <v>15.397721112240104</v>
      </c>
      <c r="T42" s="2">
        <f t="shared" si="18"/>
        <v>49</v>
      </c>
      <c r="U42" s="2">
        <f t="shared" si="13"/>
        <v>42.396813255153027</v>
      </c>
      <c r="V42" s="2">
        <f>V41-(1-0.27)^(8/10)</f>
        <v>32.454065358960918</v>
      </c>
      <c r="W42" s="2">
        <f t="shared" si="19"/>
        <v>49</v>
      </c>
      <c r="X42" s="2">
        <f t="shared" si="20"/>
        <v>56.001443235854488</v>
      </c>
      <c r="Y42" s="2">
        <f>Y41-(1-0.4013)^(8/10)</f>
        <v>43.952666282546595</v>
      </c>
      <c r="Z42" s="2">
        <f t="shared" si="21"/>
        <v>49</v>
      </c>
      <c r="AA42">
        <f t="shared" si="22"/>
        <v>67.522730127160557</v>
      </c>
      <c r="AB42" s="2">
        <f>AB41-(1-0.2925)^(8/10)</f>
        <v>48.698853052991289</v>
      </c>
    </row>
    <row r="43" spans="1:28" x14ac:dyDescent="0.3">
      <c r="B43">
        <f>B27</f>
        <v>40</v>
      </c>
      <c r="C43">
        <f>B28</f>
        <v>11.303797468354439</v>
      </c>
      <c r="D43">
        <f>B43</f>
        <v>40</v>
      </c>
      <c r="E43">
        <f>B29</f>
        <v>22.5</v>
      </c>
      <c r="F43">
        <f>B27</f>
        <v>40</v>
      </c>
      <c r="G43">
        <f>B30</f>
        <v>40.354738721804509</v>
      </c>
      <c r="H43">
        <f>B27</f>
        <v>40</v>
      </c>
      <c r="I43">
        <f>B31</f>
        <v>51.25</v>
      </c>
      <c r="J43">
        <f>B27</f>
        <v>40</v>
      </c>
      <c r="K43">
        <f>B32</f>
        <v>56.5</v>
      </c>
      <c r="N43" s="2">
        <f t="shared" si="14"/>
        <v>50</v>
      </c>
      <c r="O43" s="2">
        <f t="shared" si="15"/>
        <v>12.673110997795314</v>
      </c>
      <c r="P43" s="2">
        <f>P42-(1-0.27)^(9/10)</f>
        <v>2.6497848923666614</v>
      </c>
      <c r="Q43" s="2">
        <f t="shared" si="16"/>
        <v>50</v>
      </c>
      <c r="R43" s="2">
        <f t="shared" si="17"/>
        <v>25.425815227593578</v>
      </c>
      <c r="S43" s="2">
        <f>S42-(1-0.4464)^(9/10)</f>
        <v>14.810398835973318</v>
      </c>
      <c r="T43" s="2">
        <f t="shared" si="18"/>
        <v>50</v>
      </c>
      <c r="U43" s="2">
        <f t="shared" si="13"/>
        <v>42.629995728056372</v>
      </c>
      <c r="V43" s="2">
        <f>V42-(1-0.27)^(9/10)</f>
        <v>31.700726145816738</v>
      </c>
      <c r="W43" s="2">
        <f t="shared" si="19"/>
        <v>50</v>
      </c>
      <c r="X43" s="2">
        <f t="shared" si="20"/>
        <v>56.555857523889451</v>
      </c>
      <c r="Y43" s="2">
        <f>Y42-(1-0.4013)^(9/10)</f>
        <v>43.322451867997877</v>
      </c>
      <c r="Z43" s="2">
        <f t="shared" si="21"/>
        <v>50</v>
      </c>
      <c r="AA43">
        <f t="shared" si="22"/>
        <v>68.873184729703766</v>
      </c>
      <c r="AB43" s="2">
        <f>AB42-(1-0.2925)^(9/10)</f>
        <v>47.966443838122963</v>
      </c>
    </row>
    <row r="44" spans="1:28" x14ac:dyDescent="0.3">
      <c r="B44">
        <f>C27</f>
        <v>50</v>
      </c>
      <c r="C44">
        <f>C28</f>
        <v>12.6037341772152</v>
      </c>
      <c r="D44">
        <f>B44</f>
        <v>50</v>
      </c>
      <c r="E44">
        <f>C29</f>
        <v>25.267499999999998</v>
      </c>
      <c r="F44">
        <f>C27</f>
        <v>50</v>
      </c>
      <c r="G44">
        <f>C30</f>
        <v>42.574249351503759</v>
      </c>
      <c r="H44">
        <f>C27</f>
        <v>50</v>
      </c>
      <c r="I44">
        <f>C31</f>
        <v>56.323749999999997</v>
      </c>
      <c r="J44">
        <f>C27</f>
        <v>50</v>
      </c>
      <c r="K44">
        <f>C32</f>
        <v>67.8</v>
      </c>
    </row>
    <row r="45" spans="1:28" x14ac:dyDescent="0.3">
      <c r="B45">
        <f>D27</f>
        <v>60</v>
      </c>
      <c r="C45">
        <f>D28</f>
        <v>16.662136582278496</v>
      </c>
      <c r="D45">
        <f>D27</f>
        <v>60</v>
      </c>
      <c r="E45">
        <f>D29</f>
        <v>33.049889999999998</v>
      </c>
      <c r="F45">
        <f>D27</f>
        <v>60</v>
      </c>
      <c r="G45">
        <f>D30</f>
        <v>47.257416780169173</v>
      </c>
      <c r="H45">
        <f>D27</f>
        <v>60</v>
      </c>
      <c r="I45">
        <f>D31</f>
        <v>67.475852500000002</v>
      </c>
      <c r="J45">
        <f>D27</f>
        <v>60</v>
      </c>
      <c r="K45">
        <f>D32</f>
        <v>108.47999999999999</v>
      </c>
    </row>
    <row r="46" spans="1:28" x14ac:dyDescent="0.3">
      <c r="B46">
        <f>E27</f>
        <v>70</v>
      </c>
      <c r="C46">
        <f>E28</f>
        <v>22.027344561772171</v>
      </c>
      <c r="D46">
        <f>E27</f>
        <v>70</v>
      </c>
      <c r="E46">
        <f>E29</f>
        <v>43.229256119999995</v>
      </c>
      <c r="F46">
        <f>E27</f>
        <v>70</v>
      </c>
      <c r="G46">
        <f>E30</f>
        <v>52.455732625987778</v>
      </c>
      <c r="H46">
        <f>E27</f>
        <v>70</v>
      </c>
      <c r="I46">
        <f>E31</f>
        <v>80.836071294999996</v>
      </c>
      <c r="J46">
        <f>E27</f>
        <v>70</v>
      </c>
      <c r="K46">
        <f>E32</f>
        <v>173.56799999999998</v>
      </c>
    </row>
    <row r="47" spans="1:28" x14ac:dyDescent="0.3">
      <c r="B47">
        <f>F27</f>
        <v>80</v>
      </c>
      <c r="C47">
        <f>F28</f>
        <v>29.120149510662813</v>
      </c>
      <c r="D47">
        <f>F27</f>
        <v>80</v>
      </c>
      <c r="E47">
        <f>F29</f>
        <v>56.543867004959992</v>
      </c>
      <c r="F47">
        <f>F27</f>
        <v>80</v>
      </c>
      <c r="G47">
        <f>F31</f>
        <v>96.841613411409995</v>
      </c>
      <c r="H47">
        <f>F27</f>
        <v>80</v>
      </c>
      <c r="I47">
        <f>F31</f>
        <v>96.841613411409995</v>
      </c>
      <c r="J47">
        <f>F27</f>
        <v>80</v>
      </c>
      <c r="K47">
        <f>F32</f>
        <v>277.7088</v>
      </c>
    </row>
    <row r="54" spans="4:5" x14ac:dyDescent="0.3">
      <c r="D54" t="s">
        <v>227</v>
      </c>
      <c r="E54">
        <f>_xlfn.LET(_xlpm.ChronAge, B27, _xlpm.BioAge, MEDIAN(25, T4, 90), MAX(1, MIN(100, (100 * ((_xlpm.ChronAge + 30) - _xlpm.BioAge) / 60))))</f>
        <v>57.375926376463312</v>
      </c>
    </row>
    <row r="55" spans="4:5" x14ac:dyDescent="0.3">
      <c r="D55" t="s">
        <v>226</v>
      </c>
      <c r="E55">
        <f>_xlfn.LET(_xlpm.ChronAge, B27, _xlpm.BioAge, MEDIAN(25, T4, 90), MAX(300, MIN(850, 600 + (10 * (_xlpm.ChronAge - _xlpm.BioAge)))))</f>
        <v>644.25555825877984</v>
      </c>
    </row>
  </sheetData>
  <mergeCells count="4">
    <mergeCell ref="A23:F23"/>
    <mergeCell ref="I26:J26"/>
    <mergeCell ref="I27:J32"/>
    <mergeCell ref="N31:AA3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805E-A251-4192-876D-A5AAFF3D3B4C}">
  <dimension ref="A1:AB55"/>
  <sheetViews>
    <sheetView topLeftCell="B32" workbookViewId="0">
      <selection activeCell="D56" sqref="D56"/>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88671875" bestFit="1" customWidth="1"/>
    <col min="9" max="9" width="21.88671875" customWidth="1"/>
    <col min="10" max="10" width="28.777343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38</v>
      </c>
      <c r="D2" s="35">
        <f>C2-(C2/100*1)</f>
        <v>37.619999999999997</v>
      </c>
      <c r="E2" s="35">
        <f t="shared" ref="E2:L2" si="0">D2-(D2/100*1)</f>
        <v>37.2438</v>
      </c>
      <c r="F2" s="35">
        <f t="shared" si="0"/>
        <v>36.871361999999998</v>
      </c>
      <c r="G2" s="35">
        <f t="shared" si="0"/>
        <v>36.502648379999997</v>
      </c>
      <c r="H2" s="36">
        <f t="shared" si="0"/>
        <v>36.137621896199995</v>
      </c>
      <c r="I2" s="35">
        <f t="shared" si="0"/>
        <v>35.776245677237995</v>
      </c>
      <c r="J2" s="35">
        <f t="shared" si="0"/>
        <v>35.418483220465617</v>
      </c>
      <c r="K2" s="35">
        <f t="shared" si="0"/>
        <v>35.064298388260958</v>
      </c>
      <c r="L2" s="35">
        <f t="shared" si="0"/>
        <v>34.713655404378351</v>
      </c>
      <c r="M2" s="33">
        <f>C2-(C2/100*M1)</f>
        <v>34.200000000000003</v>
      </c>
      <c r="N2" s="8"/>
      <c r="O2" s="21"/>
      <c r="Q2" s="3" t="s">
        <v>0</v>
      </c>
      <c r="R2" s="16">
        <f>B27+ ((1 -((C2 / 26.6) * 0.7 )-((C3 / 100) * 0.3 )) * 100)</f>
        <v>14.5</v>
      </c>
    </row>
    <row r="3" spans="1:20" x14ac:dyDescent="0.3">
      <c r="A3" s="3" t="s">
        <v>0</v>
      </c>
      <c r="B3" s="3" t="s">
        <v>16</v>
      </c>
      <c r="C3" s="9">
        <v>105</v>
      </c>
      <c r="D3" s="35">
        <f t="shared" ref="D3:K3" si="1">C3-(C3/100*1.5)</f>
        <v>103.425</v>
      </c>
      <c r="E3" s="35">
        <f t="shared" si="1"/>
        <v>101.873625</v>
      </c>
      <c r="F3" s="35">
        <f t="shared" si="1"/>
        <v>100.34552062500001</v>
      </c>
      <c r="G3" s="35">
        <f t="shared" si="1"/>
        <v>98.840337815625006</v>
      </c>
      <c r="H3" s="36">
        <f t="shared" si="1"/>
        <v>97.357732748390632</v>
      </c>
      <c r="I3" s="35">
        <f t="shared" si="1"/>
        <v>95.897366757164775</v>
      </c>
      <c r="J3" s="35">
        <f t="shared" si="1"/>
        <v>94.458906255807307</v>
      </c>
      <c r="K3" s="35">
        <f t="shared" si="1"/>
        <v>93.042022661970194</v>
      </c>
      <c r="L3" s="35">
        <f>K3-(K3/100*1.5)</f>
        <v>91.64639232204064</v>
      </c>
      <c r="M3" s="33">
        <f>C3-(C3/100*M1)</f>
        <v>94.5</v>
      </c>
      <c r="N3" s="8"/>
      <c r="O3" s="21"/>
      <c r="Q3" s="4" t="s">
        <v>1</v>
      </c>
      <c r="R3" s="4">
        <f ca="1">((O4/100*50)+(O5/100*25)+(O6/100*25))</f>
        <v>47</v>
      </c>
      <c r="T3" s="23" t="s">
        <v>8</v>
      </c>
    </row>
    <row r="4" spans="1:20" ht="18" customHeight="1" x14ac:dyDescent="0.3">
      <c r="A4" s="4" t="s">
        <v>17</v>
      </c>
      <c r="B4" s="4" t="s">
        <v>18</v>
      </c>
      <c r="C4" s="10">
        <v>22</v>
      </c>
      <c r="D4" s="35">
        <f>C4-(C4/100*1)</f>
        <v>21.78</v>
      </c>
      <c r="E4" s="35">
        <f t="shared" ref="E4:L4" si="2">D4-(D4/100*1)</f>
        <v>21.562200000000001</v>
      </c>
      <c r="F4" s="35">
        <f t="shared" si="2"/>
        <v>21.346578000000001</v>
      </c>
      <c r="G4" s="35">
        <f t="shared" si="2"/>
        <v>21.133112220000001</v>
      </c>
      <c r="H4" s="36">
        <f t="shared" si="2"/>
        <v>20.9217810978</v>
      </c>
      <c r="I4" s="35">
        <f t="shared" si="2"/>
        <v>20.712563286822</v>
      </c>
      <c r="J4" s="35">
        <f t="shared" si="2"/>
        <v>20.505437653953781</v>
      </c>
      <c r="K4" s="35">
        <f t="shared" si="2"/>
        <v>20.300383277414245</v>
      </c>
      <c r="L4" s="35">
        <f t="shared" si="2"/>
        <v>20.097379444640101</v>
      </c>
      <c r="M4" s="33">
        <f>C4-(C4/100*M1)</f>
        <v>19.8</v>
      </c>
      <c r="N4" s="8"/>
      <c r="O4" s="18">
        <v>30</v>
      </c>
      <c r="Q4" s="5" t="s">
        <v>2</v>
      </c>
      <c r="R4" s="5">
        <f>B27 - 9*R11</f>
        <v>37.079342105263159</v>
      </c>
      <c r="T4" s="1">
        <f ca="1">(R2/100*20)+(R3/100*20)+(R4/100*25)+(R5/100*20)+(R6/100*15)</f>
        <v>34.412692669172927</v>
      </c>
    </row>
    <row r="5" spans="1:20" x14ac:dyDescent="0.3">
      <c r="A5" s="4" t="s">
        <v>17</v>
      </c>
      <c r="B5" s="4" t="s">
        <v>19</v>
      </c>
      <c r="C5" s="10">
        <v>1.8</v>
      </c>
      <c r="D5" s="35">
        <f>C5-(C5/100*1.2)</f>
        <v>1.7784</v>
      </c>
      <c r="E5" s="35">
        <f t="shared" ref="E5:L6" si="3">D5-(D5/100*1.2)</f>
        <v>1.7570592</v>
      </c>
      <c r="F5" s="35">
        <f t="shared" si="3"/>
        <v>1.7359744896</v>
      </c>
      <c r="G5" s="35">
        <f t="shared" si="3"/>
        <v>1.7151427957248</v>
      </c>
      <c r="H5" s="36">
        <f t="shared" si="3"/>
        <v>1.6945610821761024</v>
      </c>
      <c r="I5" s="35">
        <f t="shared" si="3"/>
        <v>1.6742263491899891</v>
      </c>
      <c r="J5" s="35">
        <f t="shared" si="3"/>
        <v>1.6541356329997092</v>
      </c>
      <c r="K5" s="35">
        <f t="shared" si="3"/>
        <v>1.6342860054037127</v>
      </c>
      <c r="L5" s="35">
        <f t="shared" si="3"/>
        <v>1.6146745733388681</v>
      </c>
      <c r="M5" s="34">
        <f>C5-(C5/100*12)</f>
        <v>1.5840000000000001</v>
      </c>
      <c r="N5" s="8"/>
      <c r="O5" s="18">
        <f ca="1">FORECAST(C5, OFFSET([1]Strength_Normative_Data!$O$3, MATCH(C5, [1]Strength_Normative_Data!$Q$3:$Q$17, -1)-1, 0, 2), OFFSET([1]Strength_Normative_Data!$Q$3, MATCH(C5, [1]Strength_Normative_Data!$Q$3:$Q$17, -1)-1, 0, 2))</f>
        <v>70</v>
      </c>
      <c r="Q5" s="6" t="s">
        <v>29</v>
      </c>
      <c r="R5" s="6">
        <f ca="1">((O14/100*30)+(O15/100*25)+(O16/100*30)+(O17/100*15))</f>
        <v>40.964285714285708</v>
      </c>
    </row>
    <row r="6" spans="1:20" x14ac:dyDescent="0.3">
      <c r="A6" s="4" t="s">
        <v>17</v>
      </c>
      <c r="B6" s="4" t="s">
        <v>20</v>
      </c>
      <c r="C6" s="10">
        <v>20</v>
      </c>
      <c r="D6" s="35">
        <f>C6-(C6/100*1.2)</f>
        <v>19.760000000000002</v>
      </c>
      <c r="E6" s="35">
        <f t="shared" si="3"/>
        <v>19.522880000000001</v>
      </c>
      <c r="F6" s="35">
        <f t="shared" si="3"/>
        <v>19.288605440000001</v>
      </c>
      <c r="G6" s="35">
        <f t="shared" si="3"/>
        <v>19.057142174720003</v>
      </c>
      <c r="H6" s="36">
        <f t="shared" si="3"/>
        <v>18.828456468623362</v>
      </c>
      <c r="I6" s="35">
        <f t="shared" si="3"/>
        <v>18.602514990999882</v>
      </c>
      <c r="J6" s="35">
        <f t="shared" si="3"/>
        <v>18.379284811107883</v>
      </c>
      <c r="K6" s="35">
        <f t="shared" si="3"/>
        <v>18.15873339337459</v>
      </c>
      <c r="L6" s="35">
        <f t="shared" si="3"/>
        <v>17.940828592654096</v>
      </c>
      <c r="M6" s="34">
        <f>C6-(C6/100*12)</f>
        <v>17.600000000000001</v>
      </c>
      <c r="N6" s="8"/>
      <c r="O6" s="18">
        <f ca="1">FORECAST(C6, OFFSET([1]Strength_Normative_Data!$J$3, MATCH(C6, [1]Strength_Normative_Data!$L$3:$L$16, -1)-1, 0, 2), OFFSET([1]Strength_Normative_Data!$L$3, MATCH(C6, [1]Strength_Normative_Data!$L$3:$L$16, -1)-1, 0, 2))</f>
        <v>58</v>
      </c>
      <c r="Q6" s="7" t="s">
        <v>4</v>
      </c>
      <c r="R6" s="7">
        <f>((O18/100*60)+(O19/100*40))</f>
        <v>31</v>
      </c>
    </row>
    <row r="7" spans="1:20" x14ac:dyDescent="0.3">
      <c r="A7" s="5" t="s">
        <v>21</v>
      </c>
      <c r="B7" s="5" t="s">
        <v>22</v>
      </c>
      <c r="C7" s="11">
        <v>24</v>
      </c>
      <c r="D7" s="35"/>
      <c r="E7" s="35"/>
      <c r="F7" s="35"/>
      <c r="G7" s="35"/>
      <c r="H7" s="34">
        <f>C7+(C7/100*3)</f>
        <v>24.72</v>
      </c>
      <c r="I7" s="35"/>
      <c r="J7" s="35"/>
      <c r="K7" s="35"/>
      <c r="L7" s="37"/>
      <c r="M7" s="34">
        <f>C7+(C7/100*6)</f>
        <v>25.44</v>
      </c>
      <c r="N7" s="8"/>
      <c r="O7" s="22"/>
    </row>
    <row r="8" spans="1:20" x14ac:dyDescent="0.3">
      <c r="A8" s="5" t="s">
        <v>21</v>
      </c>
      <c r="B8" s="5" t="s">
        <v>23</v>
      </c>
      <c r="C8" s="11">
        <v>0.42</v>
      </c>
      <c r="D8" s="35"/>
      <c r="E8" s="35"/>
      <c r="F8" s="35"/>
      <c r="G8" s="35"/>
      <c r="H8" s="34">
        <f>C8+(C8/100*2)</f>
        <v>0.4284</v>
      </c>
      <c r="I8" s="35"/>
      <c r="J8" s="35"/>
      <c r="K8" s="35"/>
      <c r="L8" s="37"/>
      <c r="M8" s="34">
        <f>C8+(C8/100*4)</f>
        <v>0.43679999999999997</v>
      </c>
      <c r="N8" s="8"/>
      <c r="O8" s="22">
        <f xml:space="preserve">
IF(C8&lt;=0.4,0,
IF(C8&lt;=0.5,20*(C8-0.4)/0.1,
IF(C8&lt;=0.6,20+40*(C8-0.5)/0.1,
60+40*(MIN(C8,0.75)-0.6)/0.15)))</f>
        <v>3.999999999999992</v>
      </c>
    </row>
    <row r="9" spans="1:20" x14ac:dyDescent="0.3">
      <c r="A9" s="5" t="s">
        <v>21</v>
      </c>
      <c r="B9" s="5" t="s">
        <v>24</v>
      </c>
      <c r="C9" s="11">
        <v>4.5999999999999996</v>
      </c>
      <c r="D9" s="35"/>
      <c r="E9" s="35"/>
      <c r="F9" s="35"/>
      <c r="G9" s="35"/>
      <c r="H9" s="35" t="s">
        <v>228</v>
      </c>
      <c r="I9" s="35"/>
      <c r="J9" s="35"/>
      <c r="K9" s="35"/>
      <c r="L9" s="37"/>
      <c r="M9" s="34"/>
      <c r="N9" s="8"/>
      <c r="O9" s="22"/>
    </row>
    <row r="10" spans="1:20" x14ac:dyDescent="0.3">
      <c r="A10" s="5" t="s">
        <v>21</v>
      </c>
      <c r="B10" s="5" t="s">
        <v>25</v>
      </c>
      <c r="C10" s="11">
        <v>4.8</v>
      </c>
      <c r="D10" s="35"/>
      <c r="E10" s="35"/>
      <c r="F10" s="35"/>
      <c r="G10" s="35"/>
      <c r="H10" s="34">
        <f>C10+(C10/100*2.5)</f>
        <v>4.92</v>
      </c>
      <c r="I10" s="35"/>
      <c r="J10" s="35"/>
      <c r="K10" s="35"/>
      <c r="L10" s="37"/>
      <c r="M10" s="34">
        <f>C10+(C10/100*5)</f>
        <v>5.04</v>
      </c>
      <c r="N10" s="8"/>
      <c r="O10" s="22">
        <f xml:space="preserve">
IF(C10&lt;5.7,10*(C10/5.7),
IF(C10&lt;6.5,10+40*(C10-5.7)/0.8,
50+50*(MIN(C10,9)-6.5)/2.5))</f>
        <v>8.4210526315789469</v>
      </c>
      <c r="Q10" t="s">
        <v>89</v>
      </c>
      <c r="R10" t="s">
        <v>90</v>
      </c>
    </row>
    <row r="11" spans="1:20" x14ac:dyDescent="0.3">
      <c r="A11" s="5" t="s">
        <v>21</v>
      </c>
      <c r="B11" s="5" t="s">
        <v>26</v>
      </c>
      <c r="C11" s="11">
        <v>0.9</v>
      </c>
      <c r="D11" s="35"/>
      <c r="E11" s="35"/>
      <c r="F11" s="35"/>
      <c r="G11" s="35"/>
      <c r="H11" s="34">
        <f>C11+(C11/100*7)</f>
        <v>0.96300000000000008</v>
      </c>
      <c r="I11" s="35"/>
      <c r="J11" s="35"/>
      <c r="K11" s="35"/>
      <c r="L11" s="37"/>
      <c r="M11" s="34">
        <f>C11+(C11/100*14)</f>
        <v>1.026</v>
      </c>
      <c r="N11" s="8"/>
      <c r="O11" s="5">
        <f xml:space="preserve">
IF(C11&lt;1.6,10*(C11/1.6),
IF(C11&lt;3,10+40*(C11-1.6)/1.4,
50+50*(MIN(C11,7)-3)/4))</f>
        <v>5.625</v>
      </c>
      <c r="Q11">
        <f>(0.3*P12)+(0.2*O8)+(0.15*O10)+(0.25*O11)+(0.1*O13)</f>
        <v>5.0881578947368409</v>
      </c>
      <c r="R11">
        <f xml:space="preserve">
IF(Q11&lt;=10,1.5-0.1*Q11,
IF(Q11&lt;=60,0.5-0.02*(Q11-10),
-0.5-0.03*(Q11-60)))</f>
        <v>0.99118421052631589</v>
      </c>
    </row>
    <row r="12" spans="1:20" x14ac:dyDescent="0.3">
      <c r="A12" s="5" t="s">
        <v>21</v>
      </c>
      <c r="B12" s="5" t="s">
        <v>27</v>
      </c>
      <c r="C12" s="11">
        <v>0.65</v>
      </c>
      <c r="D12" s="35"/>
      <c r="E12" s="35"/>
      <c r="F12" s="35"/>
      <c r="G12" s="35"/>
      <c r="H12" s="34">
        <f>C12+(C12/100*3)</f>
        <v>0.66949999999999998</v>
      </c>
      <c r="I12" s="35"/>
      <c r="J12" s="35"/>
      <c r="K12" s="35"/>
      <c r="L12" s="37"/>
      <c r="M12" s="34">
        <f>C12+(C12/100*6)</f>
        <v>0.68900000000000006</v>
      </c>
      <c r="N12" s="8"/>
      <c r="O12" s="5">
        <f>C12*100</f>
        <v>65</v>
      </c>
      <c r="P12" s="5">
        <f xml:space="preserve">
IF(O12&lt;80,5*(O12/80),
IF(O12&lt;100,10+20*(O12-80)/20,
IF(O12&lt;130,30+25*(O12-100)/30,
IF(O12&lt;160,55+25*(O12-130)/30,
IF(O12&lt;200,80+20*(O12-160)/40,100)))))</f>
        <v>4.0625</v>
      </c>
    </row>
    <row r="13" spans="1:20" x14ac:dyDescent="0.3">
      <c r="A13" s="5" t="s">
        <v>21</v>
      </c>
      <c r="B13" s="5" t="s">
        <v>28</v>
      </c>
      <c r="C13" s="11">
        <v>0.4</v>
      </c>
      <c r="D13" s="35"/>
      <c r="E13" s="35"/>
      <c r="F13" s="35"/>
      <c r="G13" s="35"/>
      <c r="H13" s="34">
        <f>C13+(C13/100*9)</f>
        <v>0.43600000000000005</v>
      </c>
      <c r="I13" s="35"/>
      <c r="J13" s="35"/>
      <c r="K13" s="35"/>
      <c r="L13" s="37"/>
      <c r="M13" s="34">
        <f>C13+(C13/100*18)</f>
        <v>0.47200000000000003</v>
      </c>
      <c r="N13" s="8"/>
      <c r="O13" s="5">
        <f xml:space="preserve">
IF(C13&lt;1,10*(C13/1),
IF(C13&lt;3,10+40*(C13-1)/2,
50+50*(MIN(C13,10)-3)/7))</f>
        <v>4</v>
      </c>
    </row>
    <row r="14" spans="1:20" x14ac:dyDescent="0.3">
      <c r="A14" s="6" t="s">
        <v>29</v>
      </c>
      <c r="B14" s="6" t="s">
        <v>30</v>
      </c>
      <c r="C14" s="12">
        <v>1.3</v>
      </c>
      <c r="D14" s="35">
        <f>C14-(C14/100*0.6)</f>
        <v>1.2922</v>
      </c>
      <c r="E14" s="35">
        <f t="shared" ref="E14:L14" si="4">D14-(D14/100*0.6)</f>
        <v>1.2844468</v>
      </c>
      <c r="F14" s="35">
        <f t="shared" si="4"/>
        <v>1.2767401192000001</v>
      </c>
      <c r="G14" s="35">
        <f t="shared" si="4"/>
        <v>1.2690796784848002</v>
      </c>
      <c r="H14" s="36">
        <f t="shared" si="4"/>
        <v>1.2614652004138913</v>
      </c>
      <c r="I14" s="35">
        <f t="shared" si="4"/>
        <v>1.253896409211408</v>
      </c>
      <c r="J14" s="35">
        <f t="shared" si="4"/>
        <v>1.2463730307561396</v>
      </c>
      <c r="K14" s="35">
        <f t="shared" si="4"/>
        <v>1.2388947925716027</v>
      </c>
      <c r="L14" s="35">
        <f t="shared" si="4"/>
        <v>1.2314614238161732</v>
      </c>
      <c r="M14" s="34">
        <f>C14-(C14/100*6)</f>
        <v>1.222</v>
      </c>
      <c r="N14" s="8"/>
      <c r="O14" s="12">
        <f ca="1">IFERROR(FORECAST(C14, OFFSET([1]Mobility_Normative_Data!$A$3, MATCH(C14, [1]Mobility_Normative_Data!$C$3:$C$17, -1)-1, 0, 2), OFFSET([1]Mobility_Normative_Data!$C$3, MATCH(C14, [1]Mobility_Normative_Data!$C$3:$C$17, -1)-1, 0, 2)), INDEX([1]Mobility_Normative_Data!$A$3:$A$17, MATCH(C14, [1]Mobility_Normative_Data!$C$3:$C$17, -1)))</f>
        <v>55.714285714285708</v>
      </c>
    </row>
    <row r="15" spans="1:20" x14ac:dyDescent="0.3">
      <c r="A15" s="6" t="s">
        <v>29</v>
      </c>
      <c r="B15" s="6" t="s">
        <v>31</v>
      </c>
      <c r="C15" s="12">
        <v>7</v>
      </c>
      <c r="D15" s="35">
        <f>C15-(C15/100*1)</f>
        <v>6.93</v>
      </c>
      <c r="E15" s="35">
        <f>D15-(D15/100*1)</f>
        <v>6.8606999999999996</v>
      </c>
      <c r="F15" s="35">
        <f t="shared" ref="F15:L15" si="5">E15-(E15/100*1)</f>
        <v>6.7920929999999995</v>
      </c>
      <c r="G15" s="35">
        <f t="shared" si="5"/>
        <v>6.7241720699999998</v>
      </c>
      <c r="H15" s="36">
        <f t="shared" si="5"/>
        <v>6.6569303492999996</v>
      </c>
      <c r="I15" s="35">
        <f t="shared" si="5"/>
        <v>6.5903610458069997</v>
      </c>
      <c r="J15" s="35">
        <f t="shared" si="5"/>
        <v>6.5244574353489293</v>
      </c>
      <c r="K15" s="35">
        <f t="shared" si="5"/>
        <v>6.4592128609954402</v>
      </c>
      <c r="L15" s="35">
        <f t="shared" si="5"/>
        <v>6.3946207323854862</v>
      </c>
      <c r="M15" s="34">
        <f>C15+(C15/100*10)</f>
        <v>7.7</v>
      </c>
      <c r="N15" s="8"/>
      <c r="O15" s="12">
        <f ca="1">FORECAST(C15, OFFSET([1]Mobility_Normative_Data!$E$3, MATCH(C15, [1]Mobility_Normative_Data!$G$3:$G$18, 1)-1, 0, 2), OFFSET([1]Mobility_Normative_Data!$G$3, MATCH(C15, [1]Mobility_Normative_Data!$G$3:$G$18, 1)-1, 0, 2))</f>
        <v>45</v>
      </c>
    </row>
    <row r="16" spans="1:20" x14ac:dyDescent="0.3">
      <c r="A16" s="6" t="s">
        <v>29</v>
      </c>
      <c r="B16" s="6" t="s">
        <v>32</v>
      </c>
      <c r="C16" s="12">
        <v>45</v>
      </c>
      <c r="D16" s="35">
        <f>C16+(C16/100*2)</f>
        <v>45.9</v>
      </c>
      <c r="E16" s="35">
        <f>D16+(D16/100*2)</f>
        <v>46.817999999999998</v>
      </c>
      <c r="F16" s="35">
        <f t="shared" ref="F16:L16" si="6">E16+(E16/100*2)</f>
        <v>47.754359999999998</v>
      </c>
      <c r="G16" s="35">
        <f t="shared" si="6"/>
        <v>48.7094472</v>
      </c>
      <c r="H16" s="36">
        <f t="shared" si="6"/>
        <v>49.683636143999998</v>
      </c>
      <c r="I16" s="35">
        <f t="shared" si="6"/>
        <v>50.677308866879997</v>
      </c>
      <c r="J16" s="35">
        <f t="shared" si="6"/>
        <v>51.690855044217599</v>
      </c>
      <c r="K16" s="35">
        <f t="shared" si="6"/>
        <v>52.724672145101948</v>
      </c>
      <c r="L16" s="35">
        <f t="shared" si="6"/>
        <v>53.779165588003984</v>
      </c>
      <c r="M16" s="34">
        <f>C16+(C16/100*20)</f>
        <v>54</v>
      </c>
      <c r="N16" s="8"/>
      <c r="O16" s="12">
        <f ca="1">FORECAST(C16, OFFSET([1]Mobility_Normative_Data!$I$3, MATCH(C16, [1]Mobility_Normative_Data!$K$3:$K$17, -1)-1, 0, 2), OFFSET([1]Mobility_Normative_Data!$K$3, MATCH(C16, [1]Mobility_Normative_Data!$K$3:$K$17, -1)-1, 0, 2))</f>
        <v>20</v>
      </c>
    </row>
    <row r="17" spans="1:28" x14ac:dyDescent="0.3">
      <c r="A17" s="6" t="s">
        <v>29</v>
      </c>
      <c r="B17" s="6" t="s">
        <v>33</v>
      </c>
      <c r="C17" s="12">
        <v>35</v>
      </c>
      <c r="D17" s="35">
        <f>C17-(C17/100*1)</f>
        <v>34.65</v>
      </c>
      <c r="E17" s="35">
        <f t="shared" ref="E17:L17" si="7">D17-(D17/100*1)</f>
        <v>34.3035</v>
      </c>
      <c r="F17" s="35">
        <f t="shared" si="7"/>
        <v>33.960464999999999</v>
      </c>
      <c r="G17" s="35">
        <f t="shared" si="7"/>
        <v>33.620860350000001</v>
      </c>
      <c r="H17" s="36">
        <f t="shared" si="7"/>
        <v>33.284651746500003</v>
      </c>
      <c r="I17" s="35">
        <f t="shared" si="7"/>
        <v>32.951805229035003</v>
      </c>
      <c r="J17" s="35">
        <f t="shared" si="7"/>
        <v>32.622287176744649</v>
      </c>
      <c r="K17" s="35">
        <f t="shared" si="7"/>
        <v>32.2960643049772</v>
      </c>
      <c r="L17" s="35">
        <f t="shared" si="7"/>
        <v>31.973103661927428</v>
      </c>
      <c r="M17" s="34">
        <f>C17+(C17/100*10)</f>
        <v>38.5</v>
      </c>
      <c r="N17" s="8"/>
      <c r="O17" s="12">
        <f ca="1">FORECAST(C17, OFFSET([1]Mobility_Normative_Data!$M$3, MATCH(C17, [1]Mobility_Normative_Data!$O$3:$O$17, -1)-1, 0, 2), OFFSET([1]Mobility_Normative_Data!$O$3, MATCH(C17, [1]Mobility_Normative_Data!$O$3:$O$17, -1)-1, 0, 2))</f>
        <v>46.666666666666671</v>
      </c>
    </row>
    <row r="18" spans="1:28" x14ac:dyDescent="0.3">
      <c r="A18" s="7" t="s">
        <v>34</v>
      </c>
      <c r="B18" s="7" t="s">
        <v>35</v>
      </c>
      <c r="C18" s="13">
        <v>1</v>
      </c>
      <c r="D18" s="35">
        <f>C18+-0.02</f>
        <v>0.98</v>
      </c>
      <c r="E18" s="35">
        <f t="shared" ref="E18:L18" si="8">D18+-0.02</f>
        <v>0.96</v>
      </c>
      <c r="F18" s="35">
        <f t="shared" si="8"/>
        <v>0.94</v>
      </c>
      <c r="G18" s="35">
        <f t="shared" si="8"/>
        <v>0.91999999999999993</v>
      </c>
      <c r="H18" s="36">
        <f t="shared" si="8"/>
        <v>0.89999999999999991</v>
      </c>
      <c r="I18" s="35">
        <f t="shared" si="8"/>
        <v>0.87999999999999989</v>
      </c>
      <c r="J18" s="35">
        <f t="shared" si="8"/>
        <v>0.85999999999999988</v>
      </c>
      <c r="K18" s="35">
        <f t="shared" si="8"/>
        <v>0.83999999999999986</v>
      </c>
      <c r="L18" s="35">
        <f t="shared" si="8"/>
        <v>0.81999999999999984</v>
      </c>
      <c r="M18" s="34">
        <f>C18 +(-0.2)</f>
        <v>0.8</v>
      </c>
      <c r="N18" s="8"/>
      <c r="O18" s="20">
        <f>MAX(18,B27-(C18*25))</f>
        <v>21</v>
      </c>
    </row>
    <row r="19" spans="1:28" x14ac:dyDescent="0.3">
      <c r="A19" s="7" t="s">
        <v>34</v>
      </c>
      <c r="B19" s="7" t="s">
        <v>36</v>
      </c>
      <c r="C19" s="13">
        <v>0.8</v>
      </c>
      <c r="D19" s="35">
        <f>C19-0.02</f>
        <v>0.78</v>
      </c>
      <c r="E19" s="35">
        <f t="shared" ref="E19:L19" si="9">D19-0.02</f>
        <v>0.76</v>
      </c>
      <c r="F19" s="35">
        <f t="shared" si="9"/>
        <v>0.74</v>
      </c>
      <c r="G19" s="35">
        <f t="shared" si="9"/>
        <v>0.72</v>
      </c>
      <c r="H19" s="36">
        <f t="shared" si="9"/>
        <v>0.7</v>
      </c>
      <c r="I19" s="35">
        <f t="shared" si="9"/>
        <v>0.67999999999999994</v>
      </c>
      <c r="J19" s="35">
        <f t="shared" si="9"/>
        <v>0.65999999999999992</v>
      </c>
      <c r="K19" s="35">
        <f t="shared" si="9"/>
        <v>0.6399999999999999</v>
      </c>
      <c r="L19" s="35">
        <f t="shared" si="9"/>
        <v>0.61999999999999988</v>
      </c>
      <c r="M19" s="34">
        <f>C19+(-0.2)</f>
        <v>0.60000000000000009</v>
      </c>
      <c r="N19" s="8"/>
      <c r="O19" s="20">
        <f>MAX(18,B27-(J1925))</f>
        <v>46</v>
      </c>
    </row>
    <row r="23" spans="1:28" x14ac:dyDescent="0.3">
      <c r="A23" s="43" t="s">
        <v>37</v>
      </c>
      <c r="B23" s="43"/>
      <c r="C23" s="43"/>
      <c r="D23" s="43"/>
      <c r="E23" s="43"/>
      <c r="F23" s="43"/>
    </row>
    <row r="24" spans="1:28" x14ac:dyDescent="0.3">
      <c r="A24" t="s">
        <v>232</v>
      </c>
      <c r="I24" s="50" t="s">
        <v>146</v>
      </c>
      <c r="J24" s="50"/>
      <c r="M24">
        <v>19</v>
      </c>
    </row>
    <row r="25" spans="1:28" x14ac:dyDescent="0.3">
      <c r="B25" t="s">
        <v>5</v>
      </c>
      <c r="C25" t="s">
        <v>6</v>
      </c>
      <c r="D25" t="s">
        <v>9</v>
      </c>
      <c r="E25" t="s">
        <v>10</v>
      </c>
      <c r="F25" t="s">
        <v>11</v>
      </c>
      <c r="I25" s="53" t="s">
        <v>231</v>
      </c>
      <c r="J25" s="54"/>
    </row>
    <row r="26" spans="1:28" x14ac:dyDescent="0.3">
      <c r="A26" t="s">
        <v>43</v>
      </c>
      <c r="B26" t="s">
        <v>143</v>
      </c>
      <c r="I26" s="54"/>
      <c r="J26" s="54"/>
    </row>
    <row r="27" spans="1:28" x14ac:dyDescent="0.3">
      <c r="A27" t="s">
        <v>7</v>
      </c>
      <c r="B27">
        <v>46</v>
      </c>
      <c r="C27">
        <f>B27+10</f>
        <v>56</v>
      </c>
      <c r="D27">
        <f>C27+10</f>
        <v>66</v>
      </c>
      <c r="E27">
        <f>D27+10</f>
        <v>76</v>
      </c>
      <c r="F27">
        <f>E27+10</f>
        <v>86</v>
      </c>
      <c r="I27" s="54"/>
      <c r="J27" s="54"/>
    </row>
    <row r="28" spans="1:28" x14ac:dyDescent="0.3">
      <c r="A28" t="s">
        <v>0</v>
      </c>
      <c r="B28" s="24">
        <f>R2</f>
        <v>14.5</v>
      </c>
      <c r="C28">
        <f>B28+(B28/100*11.5)</f>
        <v>16.1675</v>
      </c>
      <c r="D28">
        <f>C28+(C28/100*32.2)</f>
        <v>21.373435000000001</v>
      </c>
      <c r="E28">
        <f>D28+(D28/100*32.2)</f>
        <v>28.255681070000001</v>
      </c>
      <c r="F28">
        <f>E28+(E28/100*32.2)</f>
        <v>37.354010374540003</v>
      </c>
      <c r="I28" s="54"/>
      <c r="J28" s="54"/>
    </row>
    <row r="29" spans="1:28" x14ac:dyDescent="0.3">
      <c r="A29" t="s">
        <v>1</v>
      </c>
      <c r="B29">
        <f ca="1">R3</f>
        <v>47</v>
      </c>
      <c r="C29">
        <f ca="1">B29+(B29/100*12.3)</f>
        <v>52.780999999999999</v>
      </c>
      <c r="D29">
        <f ca="1">C29+(C29/100*30.8)</f>
        <v>69.037548000000001</v>
      </c>
      <c r="E29">
        <f ca="1">D29+(D29/100*30.8)</f>
        <v>90.301112783999997</v>
      </c>
      <c r="F29">
        <f ca="1">E29+(E29/100*30.8)</f>
        <v>118.113855521472</v>
      </c>
      <c r="I29" s="54"/>
      <c r="J29" s="54"/>
    </row>
    <row r="30" spans="1:28" x14ac:dyDescent="0.3">
      <c r="A30" t="s">
        <v>2</v>
      </c>
      <c r="B30">
        <f>R4</f>
        <v>37.079342105263159</v>
      </c>
      <c r="C30">
        <f>B30+(B30/100*5.5)</f>
        <v>39.11870592105263</v>
      </c>
      <c r="D30">
        <f>C30+(C30/100*11)</f>
        <v>43.42176357236842</v>
      </c>
      <c r="E30">
        <f>D30+(D30/100*11)</f>
        <v>48.198157565328948</v>
      </c>
      <c r="F30">
        <f>E30+(E30/100*11)</f>
        <v>53.499954897515131</v>
      </c>
      <c r="I30" s="54"/>
      <c r="J30" s="54"/>
    </row>
    <row r="31" spans="1:28" x14ac:dyDescent="0.3">
      <c r="A31" t="s">
        <v>3</v>
      </c>
      <c r="B31">
        <f ca="1">R5</f>
        <v>40.964285714285708</v>
      </c>
      <c r="C31">
        <f ca="1">B31+(B31/100*9.9)</f>
        <v>45.019749999999995</v>
      </c>
      <c r="D31">
        <f ca="1">C31+(C31/100*19.8)</f>
        <v>53.933660499999995</v>
      </c>
      <c r="E31">
        <f ca="1">D31+(D31/100*19.8)</f>
        <v>64.612525278999996</v>
      </c>
      <c r="F31">
        <f ca="1">E31+(E31/100*19.8)</f>
        <v>77.405805284241993</v>
      </c>
      <c r="I31" s="54"/>
      <c r="J31" s="54"/>
      <c r="N31" s="46" t="s">
        <v>104</v>
      </c>
      <c r="O31" s="46"/>
      <c r="P31" s="46"/>
      <c r="Q31" s="46"/>
      <c r="R31" s="46"/>
      <c r="S31" s="46"/>
      <c r="T31" s="46"/>
      <c r="U31" s="46"/>
      <c r="V31" s="46"/>
      <c r="W31" s="46"/>
      <c r="X31" s="46"/>
      <c r="Y31" s="46"/>
      <c r="Z31" s="46"/>
      <c r="AA31" s="46"/>
    </row>
    <row r="32" spans="1:28" ht="94.8" customHeight="1" x14ac:dyDescent="0.3">
      <c r="A32" t="s">
        <v>4</v>
      </c>
      <c r="B32">
        <f>R6</f>
        <v>31</v>
      </c>
      <c r="C32">
        <f>B32+(B32/100*20)</f>
        <v>37.200000000000003</v>
      </c>
      <c r="D32">
        <f>C32+(C32/100*60)</f>
        <v>59.52000000000001</v>
      </c>
      <c r="E32">
        <f>D32+(D32/100*60)</f>
        <v>95.232000000000014</v>
      </c>
      <c r="F32">
        <f>E32+(E32/100*60)</f>
        <v>152.37120000000002</v>
      </c>
      <c r="I32" s="54"/>
      <c r="J32" s="54"/>
      <c r="N32" s="2" t="s">
        <v>103</v>
      </c>
      <c r="O32" s="2" t="s">
        <v>147</v>
      </c>
      <c r="P32" s="2" t="s">
        <v>220</v>
      </c>
      <c r="Q32" s="2" t="s">
        <v>103</v>
      </c>
      <c r="R32" s="2" t="s">
        <v>105</v>
      </c>
      <c r="S32" s="2" t="s">
        <v>221</v>
      </c>
      <c r="T32" s="2" t="s">
        <v>103</v>
      </c>
      <c r="U32" s="2" t="s">
        <v>107</v>
      </c>
      <c r="V32" s="2" t="s">
        <v>222</v>
      </c>
      <c r="W32" s="2" t="s">
        <v>103</v>
      </c>
      <c r="X32" s="2" t="s">
        <v>122</v>
      </c>
      <c r="Y32" s="2" t="s">
        <v>223</v>
      </c>
      <c r="Z32" s="2" t="s">
        <v>103</v>
      </c>
      <c r="AA32" s="2" t="s">
        <v>109</v>
      </c>
      <c r="AB32" s="2" t="s">
        <v>224</v>
      </c>
    </row>
    <row r="33" spans="1:28" x14ac:dyDescent="0.3">
      <c r="N33" s="2">
        <f>B27</f>
        <v>46</v>
      </c>
      <c r="O33" s="27">
        <f>R2</f>
        <v>14.5</v>
      </c>
      <c r="P33" s="27">
        <f>O33</f>
        <v>14.5</v>
      </c>
      <c r="Q33" s="2">
        <f>N33</f>
        <v>46</v>
      </c>
      <c r="R33" s="2">
        <f ca="1">R3</f>
        <v>47</v>
      </c>
      <c r="S33" s="27">
        <f ca="1">R33</f>
        <v>47</v>
      </c>
      <c r="T33" s="2">
        <f>N33</f>
        <v>46</v>
      </c>
      <c r="U33" s="2">
        <f>R4</f>
        <v>37.079342105263159</v>
      </c>
      <c r="V33" s="27">
        <f>U33</f>
        <v>37.079342105263159</v>
      </c>
      <c r="W33" s="2">
        <f>N33</f>
        <v>46</v>
      </c>
      <c r="X33" s="2">
        <f ca="1">R5</f>
        <v>40.964285714285708</v>
      </c>
      <c r="Y33" s="27">
        <f ca="1">X33</f>
        <v>40.964285714285708</v>
      </c>
      <c r="Z33" s="2">
        <f>N33</f>
        <v>46</v>
      </c>
      <c r="AA33">
        <f>R6</f>
        <v>31</v>
      </c>
      <c r="AB33" s="27">
        <f>AA33</f>
        <v>31</v>
      </c>
    </row>
    <row r="34" spans="1:28" x14ac:dyDescent="0.3">
      <c r="N34" s="2">
        <f>N33+1</f>
        <v>47</v>
      </c>
      <c r="O34" s="2">
        <f>O33+(O33*0.0115)</f>
        <v>14.66675</v>
      </c>
      <c r="P34" s="2">
        <f>O33-(1-0.27)^(1/10)</f>
        <v>13.530981014577442</v>
      </c>
      <c r="Q34" s="2">
        <f>Q33+1</f>
        <v>47</v>
      </c>
      <c r="R34" s="2">
        <f ca="1">R33+(R33*0.0123)</f>
        <v>47.578099999999999</v>
      </c>
      <c r="S34" s="2">
        <f ca="1">R33-(1-0.27)^(1/10)</f>
        <v>46.030981014577442</v>
      </c>
      <c r="T34" s="2">
        <f>T33+1</f>
        <v>47</v>
      </c>
      <c r="U34" s="2">
        <f t="shared" ref="U34:U43" si="10">U33+(U33*0.0055)</f>
        <v>37.283278486842107</v>
      </c>
      <c r="V34" s="2">
        <f>U33-(1-0.27)^(1/10)</f>
        <v>36.110323119840601</v>
      </c>
      <c r="W34" s="2">
        <f>W33+1</f>
        <v>47</v>
      </c>
      <c r="X34" s="2">
        <f ca="1">X33+(X33*0.0099)</f>
        <v>41.369832142857135</v>
      </c>
      <c r="Y34" s="2">
        <f ca="1">X33-(1-0.4013)^(1/10)</f>
        <v>40.014291575499286</v>
      </c>
      <c r="Z34" s="2">
        <f>Z33+1</f>
        <v>47</v>
      </c>
      <c r="AA34">
        <f>AA33+(AA33*0.02)</f>
        <v>31.62</v>
      </c>
      <c r="AB34" s="2">
        <f>AA33-(1-0.2925)^(1/10)</f>
        <v>30.034009969239399</v>
      </c>
    </row>
    <row r="35" spans="1:28" x14ac:dyDescent="0.3">
      <c r="N35" s="2">
        <f t="shared" ref="N35:N43" si="11">N34+1</f>
        <v>48</v>
      </c>
      <c r="O35" s="2">
        <f t="shared" ref="O35:O43" si="12">O34+(O34*0.0115)</f>
        <v>14.835417625</v>
      </c>
      <c r="P35" s="2">
        <f>P34-(1-0.27)^(2/10)</f>
        <v>12.591983220468078</v>
      </c>
      <c r="Q35" s="2">
        <f t="shared" ref="Q35:Q43" si="13">Q34+1</f>
        <v>48</v>
      </c>
      <c r="R35" s="2">
        <f t="shared" ref="R35:R43" ca="1" si="14">R34+(R34*0.0123)</f>
        <v>48.163310629999998</v>
      </c>
      <c r="S35" s="2">
        <f ca="1">S34-(1-0.4464)^(2/10)</f>
        <v>45.142518280638569</v>
      </c>
      <c r="T35" s="2">
        <f t="shared" ref="T35:T43" si="15">T34+1</f>
        <v>48</v>
      </c>
      <c r="U35" s="2">
        <f t="shared" si="10"/>
        <v>37.488336518519738</v>
      </c>
      <c r="V35" s="2">
        <f>V34-(1-0.27)^(2/10)</f>
        <v>35.171325325731239</v>
      </c>
      <c r="W35" s="2">
        <f t="shared" ref="W35:W43" si="16">W34+1</f>
        <v>48</v>
      </c>
      <c r="X35" s="2">
        <f t="shared" ref="X35:X43" ca="1" si="17">X34+(X34*0.0099)</f>
        <v>41.779393481071423</v>
      </c>
      <c r="Y35" s="2">
        <f ca="1">Y34-(1-0.4013)^(2/10)</f>
        <v>39.111802711770721</v>
      </c>
      <c r="Z35" s="2">
        <f t="shared" ref="Z35:Z43" si="18">Z34+1</f>
        <v>48</v>
      </c>
      <c r="AA35">
        <f t="shared" ref="AA35:AA43" si="19">AA34+(AA34*0.02)</f>
        <v>32.252400000000002</v>
      </c>
      <c r="AB35" s="2">
        <f>AB34-(1-0.2925)^(2/10)</f>
        <v>29.100873229710533</v>
      </c>
    </row>
    <row r="36" spans="1:28" x14ac:dyDescent="0.3">
      <c r="A36" t="s">
        <v>8</v>
      </c>
      <c r="N36" s="2">
        <f t="shared" si="11"/>
        <v>49</v>
      </c>
      <c r="O36" s="2">
        <f t="shared" si="12"/>
        <v>15.0060249276875</v>
      </c>
      <c r="P36" s="2">
        <f>P35-(1-0.27)^(2/10)</f>
        <v>11.652985426358715</v>
      </c>
      <c r="Q36" s="2">
        <f t="shared" si="13"/>
        <v>49</v>
      </c>
      <c r="R36" s="2">
        <f t="shared" ca="1" si="14"/>
        <v>48.755719350748997</v>
      </c>
      <c r="S36" s="2">
        <f ca="1">S35-(1-0.4464)^(2/10)</f>
        <v>44.254055546699696</v>
      </c>
      <c r="T36" s="2">
        <f t="shared" si="15"/>
        <v>49</v>
      </c>
      <c r="U36" s="2">
        <f t="shared" si="10"/>
        <v>37.694522369371597</v>
      </c>
      <c r="V36" s="2">
        <f>V35-(1-0.27)^(2/10)</f>
        <v>34.232327531621877</v>
      </c>
      <c r="W36" s="2">
        <f t="shared" si="16"/>
        <v>49</v>
      </c>
      <c r="X36" s="2">
        <f t="shared" ca="1" si="17"/>
        <v>42.19300947653403</v>
      </c>
      <c r="Y36" s="2">
        <f ca="1">Y35-(1-0.4013)^(2/10)</f>
        <v>38.209313848042157</v>
      </c>
      <c r="Z36" s="2">
        <f t="shared" si="18"/>
        <v>49</v>
      </c>
      <c r="AA36">
        <f t="shared" si="19"/>
        <v>32.897448000000004</v>
      </c>
      <c r="AB36" s="2">
        <f>AB35-(1-0.2925)^(2/10)</f>
        <v>28.167736490181667</v>
      </c>
    </row>
    <row r="37" spans="1:28" x14ac:dyDescent="0.3">
      <c r="A37" s="1">
        <f ca="1">(B28/100*20)+(B29/100*20)+(B30/100*25)+(B31/100*20)+(B32/100*15)</f>
        <v>34.412692669172927</v>
      </c>
      <c r="N37" s="2">
        <f t="shared" si="11"/>
        <v>50</v>
      </c>
      <c r="O37" s="2">
        <f t="shared" si="12"/>
        <v>15.178594214355906</v>
      </c>
      <c r="P37" s="2">
        <f>P36-(1-0.27)^(3/10)</f>
        <v>10.743078736596839</v>
      </c>
      <c r="Q37" s="2">
        <f t="shared" si="13"/>
        <v>50</v>
      </c>
      <c r="R37" s="2">
        <f t="shared" ca="1" si="14"/>
        <v>49.355414698763212</v>
      </c>
      <c r="S37" s="2">
        <f ca="1">S36-(1-0.4464)^(3/10)</f>
        <v>43.416605667163473</v>
      </c>
      <c r="T37" s="2">
        <f t="shared" si="15"/>
        <v>50</v>
      </c>
      <c r="U37" s="2">
        <f t="shared" si="10"/>
        <v>37.901842242403141</v>
      </c>
      <c r="V37" s="2">
        <f>V36-(1-0.27)^(3/10)</f>
        <v>33.322420841860001</v>
      </c>
      <c r="W37" s="2">
        <f t="shared" si="16"/>
        <v>50</v>
      </c>
      <c r="X37" s="2">
        <f t="shared" ca="1" si="17"/>
        <v>42.61072027035172</v>
      </c>
      <c r="Y37" s="2">
        <f ca="1">Y36-(1-0.4013)^(3/10)</f>
        <v>37.35195471718</v>
      </c>
      <c r="Z37" s="2">
        <f t="shared" si="18"/>
        <v>50</v>
      </c>
      <c r="AA37">
        <f t="shared" si="19"/>
        <v>33.555396960000003</v>
      </c>
      <c r="AB37" s="2">
        <f>AB36-(1-0.2925)^(3/10)</f>
        <v>27.266335702460331</v>
      </c>
    </row>
    <row r="38" spans="1:28" x14ac:dyDescent="0.3">
      <c r="N38" s="2">
        <f t="shared" si="11"/>
        <v>51</v>
      </c>
      <c r="O38" s="2">
        <f t="shared" si="12"/>
        <v>15.353148047821</v>
      </c>
      <c r="P38" s="2">
        <f>P37-(1-0.27)^(4/10)</f>
        <v>9.8613618792545896</v>
      </c>
      <c r="Q38" s="2">
        <f t="shared" si="13"/>
        <v>51</v>
      </c>
      <c r="R38" s="2">
        <f t="shared" ca="1" si="14"/>
        <v>49.962486299558002</v>
      </c>
      <c r="S38" s="2">
        <f ca="1">S37-(1-0.4464)^(4/10)</f>
        <v>42.627239637565339</v>
      </c>
      <c r="T38" s="2">
        <f t="shared" si="15"/>
        <v>51</v>
      </c>
      <c r="U38" s="2">
        <f t="shared" si="10"/>
        <v>38.110302374736357</v>
      </c>
      <c r="V38" s="2">
        <f>V37-(1-0.27)^(4/10)</f>
        <v>32.440703984517754</v>
      </c>
      <c r="W38" s="2">
        <f t="shared" si="16"/>
        <v>51</v>
      </c>
      <c r="X38" s="2">
        <f t="shared" ca="1" si="17"/>
        <v>43.032566401028205</v>
      </c>
      <c r="Y38" s="2">
        <f ca="1">Y37-(1-0.4013)^(4/10)</f>
        <v>36.537468568025929</v>
      </c>
      <c r="Z38" s="2">
        <f t="shared" si="18"/>
        <v>51</v>
      </c>
      <c r="AA38">
        <f t="shared" si="19"/>
        <v>34.226504899200002</v>
      </c>
      <c r="AB38" s="2">
        <f>AB37-(1-0.2925)^(4/10)</f>
        <v>26.39559152780177</v>
      </c>
    </row>
    <row r="39" spans="1:28" x14ac:dyDescent="0.3">
      <c r="N39" s="2">
        <f t="shared" si="11"/>
        <v>52</v>
      </c>
      <c r="O39" s="2">
        <f t="shared" si="12"/>
        <v>15.52970925037094</v>
      </c>
      <c r="P39" s="2">
        <f>P38-(1-0.27)^(5/10)</f>
        <v>9.0069615047228364</v>
      </c>
      <c r="Q39" s="2">
        <f t="shared" si="13"/>
        <v>52</v>
      </c>
      <c r="R39" s="2">
        <f t="shared" ca="1" si="14"/>
        <v>50.577024881042568</v>
      </c>
      <c r="S39" s="2">
        <f ca="1">S38-(1-0.4464)^(5/10)</f>
        <v>41.883196628055806</v>
      </c>
      <c r="T39" s="2">
        <f t="shared" si="15"/>
        <v>52</v>
      </c>
      <c r="U39" s="2">
        <f t="shared" si="10"/>
        <v>38.319909037797409</v>
      </c>
      <c r="V39" s="2">
        <f>V38-(1-0.27)^(5/10)</f>
        <v>31.586303609986</v>
      </c>
      <c r="W39" s="2">
        <f t="shared" si="16"/>
        <v>52</v>
      </c>
      <c r="X39" s="2">
        <f t="shared" ca="1" si="17"/>
        <v>43.458588808398382</v>
      </c>
      <c r="Y39" s="2">
        <f ca="1">Y38-(1-0.4013)^(5/10)</f>
        <v>35.763711500206838</v>
      </c>
      <c r="Z39" s="2">
        <f t="shared" si="18"/>
        <v>52</v>
      </c>
      <c r="AA39">
        <f t="shared" si="19"/>
        <v>34.911034997184004</v>
      </c>
      <c r="AB39" s="2">
        <f>AB38-(1-0.2925)^(5/10)</f>
        <v>25.554461335738733</v>
      </c>
    </row>
    <row r="40" spans="1:28" x14ac:dyDescent="0.3">
      <c r="N40" s="2">
        <f t="shared" si="11"/>
        <v>53</v>
      </c>
      <c r="O40" s="2">
        <f t="shared" si="12"/>
        <v>15.708300906750207</v>
      </c>
      <c r="P40" s="2">
        <f>P39-(1-0.27)^(6/10)</f>
        <v>8.1790313206494236</v>
      </c>
      <c r="Q40" s="2">
        <f t="shared" si="13"/>
        <v>53</v>
      </c>
      <c r="R40" s="2">
        <f t="shared" ca="1" si="14"/>
        <v>51.199122287079391</v>
      </c>
      <c r="S40" s="2">
        <f ca="1">S39-(1-0.4464)^(6/10)</f>
        <v>41.181874327320571</v>
      </c>
      <c r="T40" s="2">
        <f t="shared" si="15"/>
        <v>53</v>
      </c>
      <c r="U40" s="2">
        <f t="shared" si="10"/>
        <v>38.530668537505292</v>
      </c>
      <c r="V40" s="2">
        <f>V39-(1-0.27)^(6/10)</f>
        <v>30.758373425912588</v>
      </c>
      <c r="W40" s="2">
        <f t="shared" si="16"/>
        <v>53</v>
      </c>
      <c r="X40" s="2">
        <f t="shared" ca="1" si="17"/>
        <v>43.888828837601523</v>
      </c>
      <c r="Y40" s="2">
        <f ca="1">Y39-(1-0.4013)^(6/10)</f>
        <v>35.028646820934128</v>
      </c>
      <c r="Z40" s="2">
        <f t="shared" si="18"/>
        <v>53</v>
      </c>
      <c r="AA40">
        <f t="shared" si="19"/>
        <v>35.609255697127686</v>
      </c>
      <c r="AB40" s="2">
        <f>AB39-(1-0.2925)^(6/10)</f>
        <v>24.741937955634093</v>
      </c>
    </row>
    <row r="41" spans="1:28" x14ac:dyDescent="0.3">
      <c r="N41" s="2">
        <f t="shared" si="11"/>
        <v>54</v>
      </c>
      <c r="O41" s="2">
        <f t="shared" si="12"/>
        <v>15.888946367177834</v>
      </c>
      <c r="P41" s="2">
        <f>P40-(1-0.27)^(7/10)</f>
        <v>7.3767512536778934</v>
      </c>
      <c r="Q41" s="2">
        <f t="shared" si="13"/>
        <v>54</v>
      </c>
      <c r="R41" s="2">
        <f t="shared" ca="1" si="14"/>
        <v>51.828871491210464</v>
      </c>
      <c r="S41" s="2">
        <f ca="1">S40-(1-0.4464)^(7/10)</f>
        <v>40.520819840923629</v>
      </c>
      <c r="T41" s="2">
        <f t="shared" si="15"/>
        <v>54</v>
      </c>
      <c r="U41" s="2">
        <f t="shared" si="10"/>
        <v>38.742587214461572</v>
      </c>
      <c r="V41" s="2">
        <f>V40-(1-0.27)^(7/10)</f>
        <v>29.956093358941057</v>
      </c>
      <c r="W41" s="2">
        <f t="shared" si="16"/>
        <v>54</v>
      </c>
      <c r="X41" s="2">
        <f t="shared" ca="1" si="17"/>
        <v>44.323328243093776</v>
      </c>
      <c r="Y41" s="2">
        <f ca="1">Y40-(1-0.4013)^(7/10)</f>
        <v>34.330339683996129</v>
      </c>
      <c r="Z41" s="2">
        <f t="shared" si="18"/>
        <v>54</v>
      </c>
      <c r="AA41">
        <f t="shared" si="19"/>
        <v>36.321440811070239</v>
      </c>
      <c r="AB41" s="2">
        <f>AB40-(1-0.2925)^(7/10)</f>
        <v>23.957048470693103</v>
      </c>
    </row>
    <row r="42" spans="1:28" x14ac:dyDescent="0.3">
      <c r="B42" t="s">
        <v>12</v>
      </c>
      <c r="C42" t="s">
        <v>0</v>
      </c>
      <c r="D42" t="s">
        <v>12</v>
      </c>
      <c r="E42" t="s">
        <v>1</v>
      </c>
      <c r="F42" t="s">
        <v>12</v>
      </c>
      <c r="G42" t="s">
        <v>2</v>
      </c>
      <c r="H42" t="s">
        <v>12</v>
      </c>
      <c r="I42" t="s">
        <v>3</v>
      </c>
      <c r="J42" t="s">
        <v>12</v>
      </c>
      <c r="K42" t="s">
        <v>4</v>
      </c>
      <c r="N42" s="2">
        <f t="shared" si="11"/>
        <v>55</v>
      </c>
      <c r="O42" s="2">
        <f t="shared" si="12"/>
        <v>16.07166925040038</v>
      </c>
      <c r="P42" s="2">
        <f>P41-(1-0.27)^(8/10)</f>
        <v>6.5993266371564001</v>
      </c>
      <c r="Q42" s="2">
        <f t="shared" si="13"/>
        <v>55</v>
      </c>
      <c r="R42" s="2">
        <f t="shared" ca="1" si="14"/>
        <v>52.466366610552356</v>
      </c>
      <c r="S42" s="2">
        <f ca="1">S41-(1-0.4464)^(8/10)</f>
        <v>39.897721112240106</v>
      </c>
      <c r="T42" s="2">
        <f t="shared" si="15"/>
        <v>55</v>
      </c>
      <c r="U42" s="2">
        <f t="shared" si="10"/>
        <v>38.95567144414111</v>
      </c>
      <c r="V42" s="2">
        <f>V41-(1-0.27)^(8/10)</f>
        <v>29.178668742419564</v>
      </c>
      <c r="W42" s="2">
        <f t="shared" si="16"/>
        <v>55</v>
      </c>
      <c r="X42" s="2">
        <f t="shared" ca="1" si="17"/>
        <v>44.762129192700407</v>
      </c>
      <c r="Y42" s="2">
        <f ca="1">Y41-(1-0.4013)^(8/10)</f>
        <v>33.666951996832303</v>
      </c>
      <c r="Z42" s="2">
        <f t="shared" si="18"/>
        <v>55</v>
      </c>
      <c r="AA42">
        <f t="shared" si="19"/>
        <v>37.047869627291647</v>
      </c>
      <c r="AB42" s="2">
        <f>AB41-(1-0.2925)^(8/10)</f>
        <v>23.198853052991286</v>
      </c>
    </row>
    <row r="43" spans="1:28" x14ac:dyDescent="0.3">
      <c r="B43">
        <f>B27</f>
        <v>46</v>
      </c>
      <c r="C43">
        <f>B28</f>
        <v>14.5</v>
      </c>
      <c r="D43">
        <f>B43</f>
        <v>46</v>
      </c>
      <c r="E43">
        <f ca="1">B29</f>
        <v>47</v>
      </c>
      <c r="F43">
        <f>B27</f>
        <v>46</v>
      </c>
      <c r="G43">
        <f>B30</f>
        <v>37.079342105263159</v>
      </c>
      <c r="H43">
        <f>B27</f>
        <v>46</v>
      </c>
      <c r="I43">
        <f ca="1">B31</f>
        <v>40.964285714285708</v>
      </c>
      <c r="J43">
        <f>B27</f>
        <v>46</v>
      </c>
      <c r="K43">
        <f>B32</f>
        <v>31</v>
      </c>
      <c r="N43" s="2">
        <f t="shared" si="11"/>
        <v>56</v>
      </c>
      <c r="O43" s="2">
        <f t="shared" si="12"/>
        <v>16.256493446779984</v>
      </c>
      <c r="P43" s="2">
        <f>P42-(1-0.27)^(9/10)</f>
        <v>5.8459874240122218</v>
      </c>
      <c r="Q43" s="2">
        <f t="shared" si="13"/>
        <v>56</v>
      </c>
      <c r="R43" s="2">
        <f t="shared" ca="1" si="14"/>
        <v>53.111702919862147</v>
      </c>
      <c r="S43" s="2">
        <f ca="1">S42-(1-0.4464)^(9/10)</f>
        <v>39.310398835973317</v>
      </c>
      <c r="T43" s="2">
        <f t="shared" si="15"/>
        <v>56</v>
      </c>
      <c r="U43" s="2">
        <f t="shared" si="10"/>
        <v>39.169927637083887</v>
      </c>
      <c r="V43" s="2">
        <f>V42-(1-0.27)^(9/10)</f>
        <v>28.425329529275384</v>
      </c>
      <c r="W43" s="2">
        <f t="shared" si="16"/>
        <v>56</v>
      </c>
      <c r="X43" s="2">
        <f t="shared" ca="1" si="17"/>
        <v>45.205274271708141</v>
      </c>
      <c r="Y43" s="2">
        <f ca="1">Y42-(1-0.4013)^(9/10)</f>
        <v>33.036737582283585</v>
      </c>
      <c r="Z43" s="2">
        <f t="shared" si="18"/>
        <v>56</v>
      </c>
      <c r="AA43">
        <f t="shared" si="19"/>
        <v>37.788827019837477</v>
      </c>
      <c r="AB43" s="2">
        <f>AB42-(1-0.2925)^(9/10)</f>
        <v>22.466443838122959</v>
      </c>
    </row>
    <row r="44" spans="1:28" x14ac:dyDescent="0.3">
      <c r="B44">
        <f>C27</f>
        <v>56</v>
      </c>
      <c r="C44">
        <f>C28</f>
        <v>16.1675</v>
      </c>
      <c r="D44">
        <f>B44</f>
        <v>56</v>
      </c>
      <c r="E44">
        <f ca="1">C29</f>
        <v>52.780999999999999</v>
      </c>
      <c r="F44">
        <f>C27</f>
        <v>56</v>
      </c>
      <c r="G44">
        <f>C30</f>
        <v>39.11870592105263</v>
      </c>
      <c r="H44">
        <f>C27</f>
        <v>56</v>
      </c>
      <c r="I44">
        <f ca="1">C31</f>
        <v>45.019749999999995</v>
      </c>
      <c r="J44">
        <f>C27</f>
        <v>56</v>
      </c>
      <c r="K44">
        <f>C32</f>
        <v>37.200000000000003</v>
      </c>
    </row>
    <row r="45" spans="1:28" x14ac:dyDescent="0.3">
      <c r="B45">
        <f>D27</f>
        <v>66</v>
      </c>
      <c r="C45">
        <f>D28</f>
        <v>21.373435000000001</v>
      </c>
      <c r="D45">
        <f>D27</f>
        <v>66</v>
      </c>
      <c r="E45">
        <f ca="1">D29</f>
        <v>69.037548000000001</v>
      </c>
      <c r="F45">
        <f>D27</f>
        <v>66</v>
      </c>
      <c r="G45">
        <f>D30</f>
        <v>43.42176357236842</v>
      </c>
      <c r="H45">
        <f>D27</f>
        <v>66</v>
      </c>
      <c r="I45">
        <f ca="1">D31</f>
        <v>53.933660499999995</v>
      </c>
      <c r="J45">
        <f>D27</f>
        <v>66</v>
      </c>
      <c r="K45">
        <f>D32</f>
        <v>59.52000000000001</v>
      </c>
    </row>
    <row r="46" spans="1:28" x14ac:dyDescent="0.3">
      <c r="B46">
        <f>E27</f>
        <v>76</v>
      </c>
      <c r="C46">
        <f>E28</f>
        <v>28.255681070000001</v>
      </c>
      <c r="D46">
        <f>E27</f>
        <v>76</v>
      </c>
      <c r="E46">
        <f ca="1">E29</f>
        <v>90.301112783999997</v>
      </c>
      <c r="F46">
        <f>E27</f>
        <v>76</v>
      </c>
      <c r="G46">
        <f>E30</f>
        <v>48.198157565328948</v>
      </c>
      <c r="H46">
        <f>E27</f>
        <v>76</v>
      </c>
      <c r="I46">
        <f ca="1">E31</f>
        <v>64.612525278999996</v>
      </c>
      <c r="J46">
        <f>E27</f>
        <v>76</v>
      </c>
      <c r="K46">
        <f>E32</f>
        <v>95.232000000000014</v>
      </c>
    </row>
    <row r="47" spans="1:28" x14ac:dyDescent="0.3">
      <c r="B47">
        <f>F27</f>
        <v>86</v>
      </c>
      <c r="C47">
        <f>F28</f>
        <v>37.354010374540003</v>
      </c>
      <c r="D47">
        <f>F27</f>
        <v>86</v>
      </c>
      <c r="E47">
        <f ca="1">F29</f>
        <v>118.113855521472</v>
      </c>
      <c r="F47">
        <f>F27</f>
        <v>86</v>
      </c>
      <c r="G47">
        <f ca="1">F31</f>
        <v>77.405805284241993</v>
      </c>
      <c r="H47">
        <f>F27</f>
        <v>86</v>
      </c>
      <c r="I47">
        <f ca="1">F31</f>
        <v>77.405805284241993</v>
      </c>
      <c r="J47">
        <f>F27</f>
        <v>86</v>
      </c>
      <c r="K47">
        <f>F32</f>
        <v>152.37120000000002</v>
      </c>
    </row>
    <row r="54" spans="3:4" x14ac:dyDescent="0.3">
      <c r="C54" t="s">
        <v>227</v>
      </c>
      <c r="D54">
        <f ca="1">_xlfn.LET(_xlpm.ChronAge, B27, _xlpm.BioAge, MEDIAN(25, T4, 90), MAX(1, MIN(100, (100 * ((_xlpm.ChronAge + 30) - _xlpm.BioAge) / 60))))</f>
        <v>69.312178884711784</v>
      </c>
    </row>
    <row r="55" spans="3:4" x14ac:dyDescent="0.3">
      <c r="C55" t="s">
        <v>226</v>
      </c>
      <c r="D55">
        <f ca="1">_xlfn.LET(_xlpm.ChronAge, B27, _xlpm.BioAge, MEDIAN(25, T4, 90), MAX(300, MIN(850, 600 + (10 * (_xlpm.ChronAge - _xlpm.BioAge)))))</f>
        <v>715.8730733082707</v>
      </c>
    </row>
  </sheetData>
  <mergeCells count="4">
    <mergeCell ref="A23:F23"/>
    <mergeCell ref="I24:J24"/>
    <mergeCell ref="I25:J32"/>
    <mergeCell ref="N31:AA3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D980-7E1E-48F9-9BEB-4253D7058D93}">
  <dimension ref="A1:AB56"/>
  <sheetViews>
    <sheetView topLeftCell="J1" zoomScale="89" zoomScaleNormal="89" workbookViewId="0">
      <selection activeCell="E57" sqref="E57"/>
    </sheetView>
  </sheetViews>
  <sheetFormatPr defaultRowHeight="14.4" x14ac:dyDescent="0.3"/>
  <cols>
    <col min="1" max="1" width="22.6640625" customWidth="1"/>
    <col min="2" max="2" width="29.88671875" customWidth="1"/>
    <col min="3" max="3" width="16.5546875" customWidth="1"/>
    <col min="4" max="4" width="21.21875" customWidth="1"/>
    <col min="5" max="5" width="13.109375" customWidth="1"/>
    <col min="6" max="6" width="12.21875" customWidth="1"/>
    <col min="7" max="7" width="11.109375" customWidth="1"/>
    <col min="9" max="9" width="21.88671875" customWidth="1"/>
    <col min="10" max="10" width="39.88671875" customWidth="1"/>
    <col min="11" max="11" width="16" customWidth="1"/>
    <col min="12" max="12" width="13.6640625" customWidth="1"/>
    <col min="13" max="13" width="14.44140625" customWidth="1"/>
    <col min="14" max="14" width="20.77734375" customWidth="1"/>
    <col min="15" max="15" width="12.33203125" customWidth="1"/>
    <col min="16" max="16" width="11.5546875" bestFit="1" customWidth="1"/>
    <col min="17" max="17" width="18.77734375" customWidth="1"/>
    <col min="18" max="18" width="17" customWidth="1"/>
    <col min="19" max="19" width="11.5546875" bestFit="1" customWidth="1"/>
    <col min="20" max="20" width="21" customWidth="1"/>
    <col min="21" max="21" width="13.21875" customWidth="1"/>
    <col min="22" max="22" width="11.5546875" bestFit="1" customWidth="1"/>
    <col min="25" max="25" width="13.109375" customWidth="1"/>
    <col min="26" max="26" width="11.21875" customWidth="1"/>
    <col min="28" max="28" width="13.664062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21</v>
      </c>
      <c r="D2" s="35">
        <f>C2-(C2/100*1)</f>
        <v>20.79</v>
      </c>
      <c r="E2" s="35">
        <f>D2-(D2/100*1)</f>
        <v>20.582100000000001</v>
      </c>
      <c r="F2" s="35">
        <f t="shared" ref="F2:L2" si="0">E2-(E2/100*1)</f>
        <v>20.376279</v>
      </c>
      <c r="G2" s="35">
        <f t="shared" si="0"/>
        <v>20.172516210000001</v>
      </c>
      <c r="H2" s="36">
        <f t="shared" si="0"/>
        <v>19.970791047900001</v>
      </c>
      <c r="I2" s="35">
        <f t="shared" si="0"/>
        <v>19.771083137421002</v>
      </c>
      <c r="J2" s="35">
        <f t="shared" si="0"/>
        <v>19.573372306046792</v>
      </c>
      <c r="K2" s="35">
        <f t="shared" si="0"/>
        <v>19.377638582986325</v>
      </c>
      <c r="L2" s="35">
        <f t="shared" si="0"/>
        <v>19.183862197156461</v>
      </c>
      <c r="M2" s="33">
        <f>L2-(L2/100*M1)</f>
        <v>17.265475977440815</v>
      </c>
      <c r="N2" s="8"/>
      <c r="O2" s="21"/>
      <c r="Q2" s="3" t="s">
        <v>0</v>
      </c>
      <c r="R2" s="16">
        <f>B27+ ((1 -((C2 / 34.5) * 0.7 )-((C3 / 100) * 0.3 )) * 100)</f>
        <v>92.991304347826087</v>
      </c>
    </row>
    <row r="3" spans="1:20" x14ac:dyDescent="0.3">
      <c r="A3" s="3" t="s">
        <v>0</v>
      </c>
      <c r="B3" s="3" t="s">
        <v>16</v>
      </c>
      <c r="C3" s="9">
        <v>78</v>
      </c>
      <c r="D3" s="35">
        <f t="shared" ref="D3:J3" si="1">C3-(C3/100*1.5)</f>
        <v>76.83</v>
      </c>
      <c r="E3" s="35">
        <f t="shared" si="1"/>
        <v>75.677549999999997</v>
      </c>
      <c r="F3" s="35">
        <f t="shared" si="1"/>
        <v>74.542386749999991</v>
      </c>
      <c r="G3" s="35">
        <f t="shared" si="1"/>
        <v>73.424250948749986</v>
      </c>
      <c r="H3" s="36">
        <f t="shared" si="1"/>
        <v>72.322887184518734</v>
      </c>
      <c r="I3" s="35">
        <f t="shared" si="1"/>
        <v>71.23804387675095</v>
      </c>
      <c r="J3" s="35">
        <f t="shared" si="1"/>
        <v>70.169473218599691</v>
      </c>
      <c r="K3" s="35">
        <f>J3-(J3/100*1.5)</f>
        <v>69.1169311203207</v>
      </c>
      <c r="L3" s="35">
        <f>K3-(K3/100*1.5)</f>
        <v>68.080177153515891</v>
      </c>
      <c r="M3" s="33">
        <f>L3-(L3/100*15)</f>
        <v>57.868150580488503</v>
      </c>
      <c r="N3" s="8"/>
      <c r="O3" s="21"/>
      <c r="Q3" s="4" t="s">
        <v>1</v>
      </c>
      <c r="R3" s="4">
        <f ca="1">((O4/100*50)+(O5/100*25)+(O6/100*25))</f>
        <v>42.5</v>
      </c>
      <c r="T3" s="23" t="s">
        <v>8</v>
      </c>
    </row>
    <row r="4" spans="1:20" ht="18" customHeight="1" x14ac:dyDescent="0.3">
      <c r="A4" s="4" t="s">
        <v>17</v>
      </c>
      <c r="B4" s="4" t="s">
        <v>18</v>
      </c>
      <c r="C4" s="10">
        <v>62</v>
      </c>
      <c r="D4" s="35">
        <f>C4-(C4/100*1)</f>
        <v>61.38</v>
      </c>
      <c r="E4" s="35">
        <f t="shared" ref="E4:L4" si="2">D4-(D4/100*1)</f>
        <v>60.766200000000005</v>
      </c>
      <c r="F4" s="35">
        <f t="shared" si="2"/>
        <v>60.158538000000007</v>
      </c>
      <c r="G4" s="35">
        <f t="shared" si="2"/>
        <v>59.556952620000004</v>
      </c>
      <c r="H4" s="36">
        <f t="shared" si="2"/>
        <v>58.961383093800002</v>
      </c>
      <c r="I4" s="35">
        <f t="shared" si="2"/>
        <v>58.371769262862003</v>
      </c>
      <c r="J4" s="35">
        <f t="shared" si="2"/>
        <v>57.788051570233385</v>
      </c>
      <c r="K4" s="35">
        <f t="shared" si="2"/>
        <v>57.210171054531052</v>
      </c>
      <c r="L4" s="35">
        <f t="shared" si="2"/>
        <v>56.638069343985741</v>
      </c>
      <c r="M4" s="33">
        <f t="shared" ref="M4" si="3">L4-(L4/100*M1)</f>
        <v>50.974262409587169</v>
      </c>
      <c r="N4" s="8"/>
      <c r="O4" s="18">
        <v>25</v>
      </c>
      <c r="Q4" s="5" t="s">
        <v>2</v>
      </c>
      <c r="R4" s="5">
        <f>B27 - 9*R11</f>
        <v>63.589999999999996</v>
      </c>
      <c r="T4" s="1">
        <f ca="1">(R2/100*20)+(R3/100*20)+(R4/100*25)+(R5/100*20)+(R6/100*15)</f>
        <v>69.295760869565214</v>
      </c>
    </row>
    <row r="5" spans="1:20" x14ac:dyDescent="0.3">
      <c r="A5" s="4" t="s">
        <v>17</v>
      </c>
      <c r="B5" s="4" t="s">
        <v>19</v>
      </c>
      <c r="C5" s="10">
        <v>3.5</v>
      </c>
      <c r="D5" s="35">
        <f>C5-(C5/100*1.2)</f>
        <v>3.4580000000000002</v>
      </c>
      <c r="E5" s="35">
        <f t="shared" ref="E5:L6" si="4">D5-(D5/100*1.2)</f>
        <v>3.4165040000000002</v>
      </c>
      <c r="F5" s="35">
        <f t="shared" si="4"/>
        <v>3.3755059520000001</v>
      </c>
      <c r="G5" s="35">
        <f t="shared" si="4"/>
        <v>3.3349998805759999</v>
      </c>
      <c r="H5" s="36">
        <f t="shared" si="4"/>
        <v>3.2949798820090881</v>
      </c>
      <c r="I5" s="35">
        <f t="shared" si="4"/>
        <v>3.2554401234249792</v>
      </c>
      <c r="J5" s="35">
        <f t="shared" si="4"/>
        <v>3.2163748419438796</v>
      </c>
      <c r="K5" s="35">
        <f t="shared" si="4"/>
        <v>3.1777783438405529</v>
      </c>
      <c r="L5" s="35">
        <f t="shared" si="4"/>
        <v>3.1396450037144663</v>
      </c>
      <c r="M5" s="34">
        <f>C5-(C5/100*12)</f>
        <v>3.08</v>
      </c>
      <c r="N5" s="8"/>
      <c r="O5" s="18">
        <f ca="1">FORECAST(C5, OFFSET(Strength_Normative_Data!$O$3, MATCH(C5, Strength_Normative_Data!$P$3:$P$17, -1)-1, 0, 2), OFFSET(Strength_Normative_Data!$P$3, MATCH(C5, Strength_Normative_Data!$P$3:$P$17, -1)-1, 0, 2))</f>
        <v>40</v>
      </c>
      <c r="Q5" s="6" t="s">
        <v>29</v>
      </c>
      <c r="R5" s="6">
        <f ca="1">((O14/100*30)+(O15/100*25)+(O16/100*30)+(O17/100*15))</f>
        <v>78.25</v>
      </c>
    </row>
    <row r="6" spans="1:20" x14ac:dyDescent="0.3">
      <c r="A6" s="4" t="s">
        <v>17</v>
      </c>
      <c r="B6" s="4" t="s">
        <v>20</v>
      </c>
      <c r="C6" s="10">
        <v>15</v>
      </c>
      <c r="D6" s="35">
        <f>C6-(C6/100*1.2)</f>
        <v>14.82</v>
      </c>
      <c r="E6" s="35">
        <f t="shared" si="4"/>
        <v>14.642160000000001</v>
      </c>
      <c r="F6" s="35">
        <f t="shared" si="4"/>
        <v>14.46645408</v>
      </c>
      <c r="G6" s="35">
        <f t="shared" si="4"/>
        <v>14.292856631039999</v>
      </c>
      <c r="H6" s="36">
        <f t="shared" si="4"/>
        <v>14.12134235146752</v>
      </c>
      <c r="I6" s="35">
        <f t="shared" si="4"/>
        <v>13.951886243249911</v>
      </c>
      <c r="J6" s="35">
        <f t="shared" si="4"/>
        <v>13.784463608330912</v>
      </c>
      <c r="K6" s="35">
        <f t="shared" si="4"/>
        <v>13.61905004503094</v>
      </c>
      <c r="L6" s="35">
        <f t="shared" si="4"/>
        <v>13.45562144449057</v>
      </c>
      <c r="M6" s="34">
        <f>C6-(C6/100*12)</f>
        <v>13.2</v>
      </c>
      <c r="N6" s="8"/>
      <c r="O6" s="18">
        <v>80</v>
      </c>
      <c r="Q6" s="7" t="s">
        <v>4</v>
      </c>
      <c r="R6" s="7">
        <f>((O18/100*60)+(O19/100*40))</f>
        <v>71</v>
      </c>
    </row>
    <row r="7" spans="1:20" x14ac:dyDescent="0.3">
      <c r="A7" s="5" t="s">
        <v>21</v>
      </c>
      <c r="B7" s="5" t="s">
        <v>22</v>
      </c>
      <c r="C7" s="11">
        <v>38</v>
      </c>
      <c r="D7" s="35"/>
      <c r="E7" s="35"/>
      <c r="F7" s="35"/>
      <c r="G7" s="35"/>
      <c r="H7" s="34">
        <f>C7+(C7/100*3)</f>
        <v>39.14</v>
      </c>
      <c r="I7" s="35"/>
      <c r="J7" s="35"/>
      <c r="K7" s="35"/>
      <c r="L7" s="37"/>
      <c r="M7" s="34">
        <f>C7+(C7/100*6)</f>
        <v>40.28</v>
      </c>
      <c r="N7" s="8"/>
      <c r="O7" s="22"/>
    </row>
    <row r="8" spans="1:20" x14ac:dyDescent="0.3">
      <c r="A8" s="5" t="s">
        <v>21</v>
      </c>
      <c r="B8" s="5" t="s">
        <v>23</v>
      </c>
      <c r="C8" s="11">
        <v>0.7</v>
      </c>
      <c r="D8" s="35"/>
      <c r="E8" s="35"/>
      <c r="F8" s="35"/>
      <c r="G8" s="35"/>
      <c r="H8" s="34">
        <f>C8+(C8/100*2)</f>
        <v>0.71399999999999997</v>
      </c>
      <c r="I8" s="35"/>
      <c r="J8" s="35"/>
      <c r="K8" s="35"/>
      <c r="L8" s="37"/>
      <c r="M8" s="34">
        <f>C8+(C8/100*4)</f>
        <v>0.72799999999999998</v>
      </c>
      <c r="N8" s="8"/>
      <c r="O8" s="22">
        <f xml:space="preserve">
IF(C8&lt;=0.4,0,
IF(C8&lt;=0.5,20*(C8-0.4)/0.1,
IF(C8&lt;=0.6,20+40*(C8-0.5)/0.1,
60+40*(MIN(C8,0.75)-0.6)/0.15)))</f>
        <v>86.666666666666657</v>
      </c>
    </row>
    <row r="9" spans="1:20" x14ac:dyDescent="0.3">
      <c r="A9" s="5" t="s">
        <v>21</v>
      </c>
      <c r="B9" s="5" t="s">
        <v>24</v>
      </c>
      <c r="C9" s="11">
        <v>5.9</v>
      </c>
      <c r="D9" s="35" t="s">
        <v>228</v>
      </c>
      <c r="E9" s="35" t="s">
        <v>228</v>
      </c>
      <c r="F9" s="35" t="s">
        <v>228</v>
      </c>
      <c r="G9" s="35" t="s">
        <v>228</v>
      </c>
      <c r="H9" s="35" t="s">
        <v>228</v>
      </c>
      <c r="I9" s="35" t="s">
        <v>228</v>
      </c>
      <c r="J9" s="35" t="s">
        <v>228</v>
      </c>
      <c r="K9" s="35" t="s">
        <v>228</v>
      </c>
      <c r="L9" s="35" t="s">
        <v>228</v>
      </c>
      <c r="M9" s="35" t="s">
        <v>228</v>
      </c>
      <c r="N9" s="8"/>
      <c r="O9" s="22"/>
    </row>
    <row r="10" spans="1:20" x14ac:dyDescent="0.3">
      <c r="A10" s="5" t="s">
        <v>21</v>
      </c>
      <c r="B10" s="5" t="s">
        <v>25</v>
      </c>
      <c r="C10" s="11">
        <v>5.7</v>
      </c>
      <c r="D10" s="35"/>
      <c r="E10" s="35"/>
      <c r="F10" s="35"/>
      <c r="G10" s="35"/>
      <c r="H10" s="34">
        <f>C10+(C10/100*2.5)</f>
        <v>5.8425000000000002</v>
      </c>
      <c r="I10" s="35"/>
      <c r="J10" s="35"/>
      <c r="K10" s="35"/>
      <c r="L10" s="37"/>
      <c r="M10" s="34">
        <f>C10+(C10/100*5)</f>
        <v>5.9850000000000003</v>
      </c>
      <c r="N10" s="8"/>
      <c r="O10" s="22">
        <f xml:space="preserve">
IF(C10&lt;5.7,10*(C10/5.7),
IF(C10&lt;6.5,10+40*(C10-5.7)/0.8,
50+50*(MIN(C10,9)-6.5)/2.5))</f>
        <v>10</v>
      </c>
      <c r="Q10" t="s">
        <v>89</v>
      </c>
      <c r="R10" t="s">
        <v>90</v>
      </c>
    </row>
    <row r="11" spans="1:20" x14ac:dyDescent="0.3">
      <c r="A11" s="5" t="s">
        <v>21</v>
      </c>
      <c r="B11" s="5" t="s">
        <v>26</v>
      </c>
      <c r="C11" s="11">
        <v>2.9</v>
      </c>
      <c r="D11" s="35"/>
      <c r="E11" s="35"/>
      <c r="F11" s="35"/>
      <c r="G11" s="35"/>
      <c r="H11" s="34">
        <f>C11+(C11/100*7)</f>
        <v>3.1029999999999998</v>
      </c>
      <c r="I11" s="35"/>
      <c r="J11" s="35"/>
      <c r="K11" s="35"/>
      <c r="L11" s="37"/>
      <c r="M11" s="34">
        <f>C11+(C11/100*14)</f>
        <v>3.306</v>
      </c>
      <c r="N11" s="8"/>
      <c r="O11" s="5">
        <f xml:space="preserve">
IF(C11&lt;1.6,10*(C11/1.6),
IF(C11&lt;3,10+40*(C11-1.6)/1.4,
50+50*(MIN(C11,7)-3)/4))</f>
        <v>47.142857142857139</v>
      </c>
      <c r="Q11">
        <f>(0.3*P12)+(0.2*O8)+(0.15*O10)+(0.25*O11)+(0.1*O13)</f>
        <v>60.333333333333329</v>
      </c>
      <c r="R11">
        <f xml:space="preserve">
IF(Q11&lt;=10,1.5-0.1*Q11,
IF(Q11&lt;=60,0.5-0.02*(Q11-10),
-0.5-0.03*(Q11-60)))</f>
        <v>-0.5099999999999999</v>
      </c>
    </row>
    <row r="12" spans="1:20" x14ac:dyDescent="0.3">
      <c r="A12" s="5" t="s">
        <v>21</v>
      </c>
      <c r="B12" s="5" t="s">
        <v>27</v>
      </c>
      <c r="C12" s="11">
        <v>1.5</v>
      </c>
      <c r="D12" s="35"/>
      <c r="E12" s="35"/>
      <c r="F12" s="35"/>
      <c r="G12" s="35"/>
      <c r="H12" s="34">
        <f>C12+(C12/100*3)</f>
        <v>1.5449999999999999</v>
      </c>
      <c r="I12" s="35"/>
      <c r="J12" s="35"/>
      <c r="K12" s="35"/>
      <c r="L12" s="37"/>
      <c r="M12" s="34">
        <f>C12+(C12/100*6)</f>
        <v>1.59</v>
      </c>
      <c r="N12" s="8"/>
      <c r="O12" s="5">
        <f>C12*100</f>
        <v>150</v>
      </c>
      <c r="P12" s="5">
        <f xml:space="preserve">
IF(O12&lt;80,5*(O12/80),
IF(O12&lt;100,10+20*(O12-80)/20,
IF(O12&lt;130,30+25*(O12-100)/30,
IF(O12&lt;160,55+25*(O12-130)/30,
IF(O12&lt;200,80+20*(O12-160)/40,100)))))</f>
        <v>71.666666666666671</v>
      </c>
    </row>
    <row r="13" spans="1:20" x14ac:dyDescent="0.3">
      <c r="A13" s="5" t="s">
        <v>21</v>
      </c>
      <c r="B13" s="5" t="s">
        <v>28</v>
      </c>
      <c r="C13" s="11">
        <v>7.5</v>
      </c>
      <c r="D13" s="35"/>
      <c r="E13" s="35"/>
      <c r="F13" s="35"/>
      <c r="G13" s="35"/>
      <c r="H13" s="34">
        <f>C13+(C13/100*9)</f>
        <v>8.1750000000000007</v>
      </c>
      <c r="I13" s="35"/>
      <c r="J13" s="35"/>
      <c r="K13" s="35"/>
      <c r="L13" s="37"/>
      <c r="M13" s="34">
        <f>C13+(C13/100*18)</f>
        <v>8.85</v>
      </c>
      <c r="N13" s="8"/>
      <c r="O13" s="5">
        <f xml:space="preserve">
IF(C13&lt;1,10*(C13/1),
IF(C13&lt;3,10+40*(C13-1)/2,
50+50*(MIN(C13,10)-3)/7))</f>
        <v>82.142857142857139</v>
      </c>
    </row>
    <row r="14" spans="1:20" x14ac:dyDescent="0.3">
      <c r="A14" s="6" t="s">
        <v>29</v>
      </c>
      <c r="B14" s="6" t="s">
        <v>30</v>
      </c>
      <c r="C14" s="12">
        <v>0.9</v>
      </c>
      <c r="D14" s="35">
        <f>C14-(C14/100*0.6)</f>
        <v>0.89460000000000006</v>
      </c>
      <c r="E14" s="35">
        <f t="shared" ref="E14:L14" si="5">D14-(D14/100*0.6)</f>
        <v>0.88923240000000003</v>
      </c>
      <c r="F14" s="35">
        <f t="shared" si="5"/>
        <v>0.88389700560000006</v>
      </c>
      <c r="G14" s="35">
        <f t="shared" si="5"/>
        <v>0.87859362356640003</v>
      </c>
      <c r="H14" s="36">
        <f t="shared" si="5"/>
        <v>0.87332206182500161</v>
      </c>
      <c r="I14" s="35">
        <f t="shared" si="5"/>
        <v>0.86808212945405161</v>
      </c>
      <c r="J14" s="35">
        <f t="shared" si="5"/>
        <v>0.8628736366773273</v>
      </c>
      <c r="K14" s="35">
        <f t="shared" si="5"/>
        <v>0.85769639485726334</v>
      </c>
      <c r="L14" s="35">
        <f t="shared" si="5"/>
        <v>0.85255021648811979</v>
      </c>
      <c r="M14" s="34">
        <f>C14-(C14/100*6)</f>
        <v>0.84599999999999997</v>
      </c>
      <c r="N14" s="8"/>
      <c r="O14" s="12">
        <v>55</v>
      </c>
    </row>
    <row r="15" spans="1:20" x14ac:dyDescent="0.3">
      <c r="A15" s="6" t="s">
        <v>29</v>
      </c>
      <c r="B15" s="6" t="s">
        <v>31</v>
      </c>
      <c r="C15" s="12">
        <v>11</v>
      </c>
      <c r="D15" s="35">
        <f>C15-(C15/100*1)</f>
        <v>10.89</v>
      </c>
      <c r="E15" s="35">
        <f>D15-(D15/100*1)</f>
        <v>10.7811</v>
      </c>
      <c r="F15" s="35">
        <f t="shared" ref="F15:L15" si="6">E15-(E15/100*1)</f>
        <v>10.673289</v>
      </c>
      <c r="G15" s="35">
        <f t="shared" si="6"/>
        <v>10.566556110000001</v>
      </c>
      <c r="H15" s="36">
        <f t="shared" si="6"/>
        <v>10.4608905489</v>
      </c>
      <c r="I15" s="35">
        <f t="shared" si="6"/>
        <v>10.356281643411</v>
      </c>
      <c r="J15" s="35">
        <f t="shared" si="6"/>
        <v>10.25271882697689</v>
      </c>
      <c r="K15" s="35">
        <f t="shared" si="6"/>
        <v>10.150191638707122</v>
      </c>
      <c r="L15" s="35">
        <f t="shared" si="6"/>
        <v>10.04868972232005</v>
      </c>
      <c r="M15" s="34">
        <f>C15+(C15/100*10)</f>
        <v>12.1</v>
      </c>
      <c r="N15" s="8"/>
      <c r="O15" s="12">
        <f ca="1">FORECAST(C15, OFFSET(Mobility_Normative_Data!$E$3, MATCH(C15, Mobility_Normative_Data!$F$3:$F$18, 1)-1, 0, 2), OFFSET(Mobility_Normative_Data!$F$3, MATCH(C15, Mobility_Normative_Data!$F$3:$F$18, 1)-1, 0, 2))</f>
        <v>85</v>
      </c>
    </row>
    <row r="16" spans="1:20" x14ac:dyDescent="0.3">
      <c r="A16" s="6" t="s">
        <v>29</v>
      </c>
      <c r="B16" s="6" t="s">
        <v>32</v>
      </c>
      <c r="C16" s="12">
        <v>5</v>
      </c>
      <c r="D16" s="35">
        <f>C16-(C16/100*2)</f>
        <v>4.9000000000000004</v>
      </c>
      <c r="E16" s="35">
        <f t="shared" ref="E16:L16" si="7">D16-(D16/100*2)</f>
        <v>4.8020000000000005</v>
      </c>
      <c r="F16" s="35">
        <f t="shared" si="7"/>
        <v>4.7059600000000001</v>
      </c>
      <c r="G16" s="35">
        <f t="shared" si="7"/>
        <v>4.6118408000000004</v>
      </c>
      <c r="H16" s="36">
        <f t="shared" si="7"/>
        <v>4.5196039840000006</v>
      </c>
      <c r="I16" s="35">
        <f t="shared" si="7"/>
        <v>4.4292119043200007</v>
      </c>
      <c r="J16" s="35">
        <f t="shared" si="7"/>
        <v>4.3406276662336003</v>
      </c>
      <c r="K16" s="35">
        <f t="shared" si="7"/>
        <v>4.2538151129089279</v>
      </c>
      <c r="L16" s="35">
        <f t="shared" si="7"/>
        <v>4.1687388106507495</v>
      </c>
      <c r="M16" s="34">
        <f>C16-(C16/100*20)</f>
        <v>4</v>
      </c>
      <c r="N16" s="8"/>
      <c r="O16" s="12">
        <v>90</v>
      </c>
    </row>
    <row r="17" spans="1:28" x14ac:dyDescent="0.3">
      <c r="A17" s="6" t="s">
        <v>29</v>
      </c>
      <c r="B17" s="6" t="s">
        <v>33</v>
      </c>
      <c r="C17" s="12">
        <v>-20</v>
      </c>
      <c r="D17" s="35">
        <f>C17-(C17/100*1)</f>
        <v>-19.8</v>
      </c>
      <c r="E17" s="35">
        <f t="shared" ref="E17:L17" si="8">D17-(D17/100*1)</f>
        <v>-19.602</v>
      </c>
      <c r="F17" s="35">
        <f t="shared" si="8"/>
        <v>-19.40598</v>
      </c>
      <c r="G17" s="35">
        <f t="shared" si="8"/>
        <v>-19.211920199999998</v>
      </c>
      <c r="H17" s="36">
        <f t="shared" si="8"/>
        <v>-19.019800997999997</v>
      </c>
      <c r="I17" s="35">
        <f t="shared" si="8"/>
        <v>-18.829602988019996</v>
      </c>
      <c r="J17" s="35">
        <f t="shared" si="8"/>
        <v>-18.641306958139797</v>
      </c>
      <c r="K17" s="35">
        <f t="shared" si="8"/>
        <v>-18.454893888558399</v>
      </c>
      <c r="L17" s="35">
        <f t="shared" si="8"/>
        <v>-18.270344949672815</v>
      </c>
      <c r="M17" s="34">
        <f>C17-(C17/100*10)</f>
        <v>-18</v>
      </c>
      <c r="N17" s="8"/>
      <c r="O17" s="12">
        <v>90</v>
      </c>
    </row>
    <row r="18" spans="1:28" x14ac:dyDescent="0.3">
      <c r="A18" s="7" t="s">
        <v>34</v>
      </c>
      <c r="B18" s="7" t="s">
        <v>35</v>
      </c>
      <c r="C18" s="13">
        <v>-0.8</v>
      </c>
      <c r="D18" s="35">
        <f>C18+-0.02</f>
        <v>-0.82000000000000006</v>
      </c>
      <c r="E18" s="35">
        <f t="shared" ref="E18:L18" si="9">D18+-0.02</f>
        <v>-0.84000000000000008</v>
      </c>
      <c r="F18" s="35">
        <f t="shared" si="9"/>
        <v>-0.8600000000000001</v>
      </c>
      <c r="G18" s="35">
        <f t="shared" si="9"/>
        <v>-0.88000000000000012</v>
      </c>
      <c r="H18" s="36">
        <f t="shared" si="9"/>
        <v>-0.90000000000000013</v>
      </c>
      <c r="I18" s="35">
        <f t="shared" si="9"/>
        <v>-0.92000000000000015</v>
      </c>
      <c r="J18" s="35">
        <f t="shared" si="9"/>
        <v>-0.94000000000000017</v>
      </c>
      <c r="K18" s="35">
        <f t="shared" si="9"/>
        <v>-0.96000000000000019</v>
      </c>
      <c r="L18" s="35">
        <f t="shared" si="9"/>
        <v>-0.9800000000000002</v>
      </c>
      <c r="M18" s="34">
        <f>C18 +(-0.2)</f>
        <v>-1</v>
      </c>
      <c r="N18" s="8"/>
      <c r="O18" s="20">
        <f>MAX(18,B27-(C18*25))</f>
        <v>79</v>
      </c>
    </row>
    <row r="19" spans="1:28" x14ac:dyDescent="0.3">
      <c r="A19" s="7" t="s">
        <v>34</v>
      </c>
      <c r="B19" s="7" t="s">
        <v>36</v>
      </c>
      <c r="C19" s="13">
        <v>-0.5</v>
      </c>
      <c r="D19" s="35">
        <f>C19-0.02</f>
        <v>-0.52</v>
      </c>
      <c r="E19" s="35">
        <f t="shared" ref="E19:L19" si="10">D19-0.02</f>
        <v>-0.54</v>
      </c>
      <c r="F19" s="35">
        <f t="shared" si="10"/>
        <v>-0.56000000000000005</v>
      </c>
      <c r="G19" s="35">
        <f t="shared" si="10"/>
        <v>-0.58000000000000007</v>
      </c>
      <c r="H19" s="36">
        <f t="shared" si="10"/>
        <v>-0.60000000000000009</v>
      </c>
      <c r="I19" s="35">
        <f t="shared" si="10"/>
        <v>-0.62000000000000011</v>
      </c>
      <c r="J19" s="35">
        <f t="shared" si="10"/>
        <v>-0.64000000000000012</v>
      </c>
      <c r="K19" s="35">
        <f t="shared" si="10"/>
        <v>-0.66000000000000014</v>
      </c>
      <c r="L19" s="35">
        <f t="shared" si="10"/>
        <v>-0.68000000000000016</v>
      </c>
      <c r="M19" s="34">
        <f>C19+(-0.2)</f>
        <v>-0.7</v>
      </c>
      <c r="N19" s="8"/>
      <c r="O19" s="20">
        <f>MAX(18,B27-(J1925))</f>
        <v>59</v>
      </c>
    </row>
    <row r="23" spans="1:28" x14ac:dyDescent="0.3">
      <c r="A23" s="43" t="s">
        <v>37</v>
      </c>
      <c r="B23" s="43"/>
      <c r="C23" s="43"/>
      <c r="D23" s="43"/>
      <c r="E23" s="43"/>
      <c r="F23" s="43"/>
    </row>
    <row r="24" spans="1:28" x14ac:dyDescent="0.3">
      <c r="A24" t="s">
        <v>229</v>
      </c>
      <c r="B24" t="s">
        <v>233</v>
      </c>
      <c r="I24" s="43" t="s">
        <v>142</v>
      </c>
      <c r="J24" s="43"/>
    </row>
    <row r="25" spans="1:28" x14ac:dyDescent="0.3">
      <c r="B25" t="s">
        <v>5</v>
      </c>
      <c r="C25" t="s">
        <v>6</v>
      </c>
      <c r="D25" t="s">
        <v>9</v>
      </c>
      <c r="E25" t="s">
        <v>10</v>
      </c>
      <c r="F25" t="s">
        <v>11</v>
      </c>
      <c r="I25" s="44" t="s">
        <v>234</v>
      </c>
      <c r="J25" s="45"/>
    </row>
    <row r="26" spans="1:28" x14ac:dyDescent="0.3">
      <c r="A26" t="s">
        <v>43</v>
      </c>
      <c r="B26" t="s">
        <v>44</v>
      </c>
      <c r="I26" s="45"/>
      <c r="J26" s="45"/>
    </row>
    <row r="27" spans="1:28" x14ac:dyDescent="0.3">
      <c r="A27" t="s">
        <v>7</v>
      </c>
      <c r="B27">
        <v>59</v>
      </c>
      <c r="C27">
        <f>B27+10</f>
        <v>69</v>
      </c>
      <c r="D27">
        <f>C27+10</f>
        <v>79</v>
      </c>
      <c r="E27">
        <f>D27+10</f>
        <v>89</v>
      </c>
      <c r="F27">
        <f>E27+10</f>
        <v>99</v>
      </c>
      <c r="I27" s="45"/>
      <c r="J27" s="45"/>
    </row>
    <row r="28" spans="1:28" x14ac:dyDescent="0.3">
      <c r="A28" t="s">
        <v>0</v>
      </c>
      <c r="B28" s="24">
        <f>R2</f>
        <v>92.991304347826087</v>
      </c>
      <c r="C28">
        <f>B28+(B28/100*11.5)</f>
        <v>103.68530434782609</v>
      </c>
      <c r="D28">
        <f>C28+(C28/100*32.2)</f>
        <v>137.07197234782609</v>
      </c>
      <c r="E28">
        <f>D28+(D28/100*32.2)</f>
        <v>181.20914744382611</v>
      </c>
      <c r="F28">
        <f>E28+(E28/100*32.2)</f>
        <v>239.55849292073813</v>
      </c>
      <c r="I28" s="45"/>
      <c r="J28" s="45"/>
    </row>
    <row r="29" spans="1:28" x14ac:dyDescent="0.3">
      <c r="A29" t="s">
        <v>1</v>
      </c>
      <c r="B29">
        <f ca="1">R3</f>
        <v>42.5</v>
      </c>
      <c r="C29">
        <f ca="1">B29+(B29/100*12.3)</f>
        <v>47.727499999999999</v>
      </c>
      <c r="D29">
        <f ca="1">C29+(C29/100*30.8)</f>
        <v>62.427570000000003</v>
      </c>
      <c r="E29">
        <f ca="1">D29+(D29/100*30.8)</f>
        <v>81.65526156</v>
      </c>
      <c r="F29">
        <f ca="1">E29+(E29/100*30.8)</f>
        <v>106.80508212047999</v>
      </c>
      <c r="I29" s="45"/>
      <c r="J29" s="45"/>
    </row>
    <row r="30" spans="1:28" x14ac:dyDescent="0.3">
      <c r="A30" t="s">
        <v>2</v>
      </c>
      <c r="B30">
        <f>R4</f>
        <v>63.589999999999996</v>
      </c>
      <c r="C30">
        <f>B30+(B30/100*5.5)</f>
        <v>67.08744999999999</v>
      </c>
      <c r="D30">
        <f>C30+(C30/100*11)</f>
        <v>74.467069499999994</v>
      </c>
      <c r="E30">
        <f>D30+(D30/100*11)</f>
        <v>82.658447144999997</v>
      </c>
      <c r="F30">
        <f>E30+(E30/100*11)</f>
        <v>91.750876330949993</v>
      </c>
      <c r="I30" s="45"/>
      <c r="J30" s="45"/>
    </row>
    <row r="31" spans="1:28" ht="97.2" customHeight="1" x14ac:dyDescent="0.3">
      <c r="A31" t="s">
        <v>3</v>
      </c>
      <c r="B31">
        <f ca="1">R5</f>
        <v>78.25</v>
      </c>
      <c r="C31">
        <f ca="1">B31+(B31/100*9.9)</f>
        <v>85.996750000000006</v>
      </c>
      <c r="D31">
        <f ca="1">C31+(C31/100*19.8)</f>
        <v>103.02410650000002</v>
      </c>
      <c r="E31">
        <f ca="1">D31+(D31/100*19.8)</f>
        <v>123.42287958700003</v>
      </c>
      <c r="F31">
        <f ca="1">E31+(E31/100*19.8)</f>
        <v>147.86060974522604</v>
      </c>
      <c r="I31" s="45"/>
      <c r="J31" s="45"/>
      <c r="N31" s="46" t="s">
        <v>104</v>
      </c>
      <c r="O31" s="46"/>
      <c r="P31" s="46"/>
      <c r="Q31" s="46"/>
      <c r="R31" s="46"/>
      <c r="S31" s="46"/>
      <c r="T31" s="46"/>
      <c r="U31" s="46"/>
      <c r="V31" s="46"/>
      <c r="W31" s="46"/>
      <c r="X31" s="46"/>
      <c r="Y31" s="46"/>
      <c r="Z31" s="46"/>
      <c r="AA31" s="46"/>
    </row>
    <row r="32" spans="1:28" ht="43.2" x14ac:dyDescent="0.3">
      <c r="A32" t="s">
        <v>4</v>
      </c>
      <c r="B32">
        <f>R6</f>
        <v>71</v>
      </c>
      <c r="C32">
        <f>B32+(B32/100*20)</f>
        <v>85.2</v>
      </c>
      <c r="D32">
        <f>C32+(C32/100*60)</f>
        <v>136.32</v>
      </c>
      <c r="E32">
        <f>D32+(D32/100*60)</f>
        <v>218.11199999999999</v>
      </c>
      <c r="F32">
        <f>E32+(E32/100*60)</f>
        <v>348.97919999999999</v>
      </c>
      <c r="N32" s="2" t="s">
        <v>103</v>
      </c>
      <c r="O32" s="2" t="s">
        <v>106</v>
      </c>
      <c r="P32" s="2" t="s">
        <v>220</v>
      </c>
      <c r="Q32" s="2" t="s">
        <v>103</v>
      </c>
      <c r="R32" s="2" t="s">
        <v>120</v>
      </c>
      <c r="S32" s="2" t="s">
        <v>221</v>
      </c>
      <c r="T32" s="2" t="s">
        <v>103</v>
      </c>
      <c r="U32" s="2" t="s">
        <v>121</v>
      </c>
      <c r="V32" s="2" t="s">
        <v>222</v>
      </c>
      <c r="W32" s="2" t="s">
        <v>103</v>
      </c>
      <c r="X32" s="2" t="s">
        <v>122</v>
      </c>
      <c r="Y32" s="2" t="s">
        <v>223</v>
      </c>
      <c r="Z32" s="2" t="s">
        <v>103</v>
      </c>
      <c r="AA32" s="2" t="s">
        <v>123</v>
      </c>
      <c r="AB32" s="2" t="s">
        <v>224</v>
      </c>
    </row>
    <row r="33" spans="1:28" x14ac:dyDescent="0.3">
      <c r="N33" s="2">
        <f>B27</f>
        <v>59</v>
      </c>
      <c r="O33" s="27">
        <f>R2</f>
        <v>92.991304347826087</v>
      </c>
      <c r="P33" s="27">
        <f>O33</f>
        <v>92.991304347826087</v>
      </c>
      <c r="Q33" s="2">
        <f>N33</f>
        <v>59</v>
      </c>
      <c r="R33" s="2">
        <f ca="1">R3</f>
        <v>42.5</v>
      </c>
      <c r="S33" s="27">
        <f ca="1">R33</f>
        <v>42.5</v>
      </c>
      <c r="T33" s="2">
        <f>N33</f>
        <v>59</v>
      </c>
      <c r="U33" s="2">
        <f>R4</f>
        <v>63.589999999999996</v>
      </c>
      <c r="V33" s="27">
        <f>U33</f>
        <v>63.589999999999996</v>
      </c>
      <c r="W33" s="2">
        <f>N33</f>
        <v>59</v>
      </c>
      <c r="X33" s="2">
        <f ca="1">R5</f>
        <v>78.25</v>
      </c>
      <c r="Y33" s="27">
        <f ca="1">X33</f>
        <v>78.25</v>
      </c>
      <c r="Z33" s="2">
        <f>N33</f>
        <v>59</v>
      </c>
      <c r="AA33">
        <f>R6</f>
        <v>71</v>
      </c>
      <c r="AB33" s="27">
        <f>AA33</f>
        <v>71</v>
      </c>
    </row>
    <row r="34" spans="1:28" x14ac:dyDescent="0.3">
      <c r="N34" s="2">
        <f>N33+1</f>
        <v>60</v>
      </c>
      <c r="O34" s="2">
        <f>O33+(O33*0.0115)</f>
        <v>94.060704347826089</v>
      </c>
      <c r="P34" s="2">
        <f>O33-(1-0.27)^(1/10)</f>
        <v>92.022285362403537</v>
      </c>
      <c r="Q34" s="2">
        <f>Q33+1</f>
        <v>60</v>
      </c>
      <c r="R34" s="2">
        <f ca="1">R33+(R33*0.0123)</f>
        <v>43.022750000000002</v>
      </c>
      <c r="S34" s="2">
        <f ca="1">R33-(1-0.27)^(1/10)</f>
        <v>41.530981014577442</v>
      </c>
      <c r="T34" s="2">
        <f>T33+1</f>
        <v>60</v>
      </c>
      <c r="U34" s="2">
        <f t="shared" ref="U34:U43" si="11">U33+(U33*0.0055)</f>
        <v>63.939744999999995</v>
      </c>
      <c r="V34" s="2">
        <f>U33-(1-0.27)^(1/10)</f>
        <v>62.620981014577438</v>
      </c>
      <c r="W34" s="2">
        <f>W33+1</f>
        <v>60</v>
      </c>
      <c r="X34" s="2">
        <f ca="1">X33+(X33*0.0099)</f>
        <v>79.024675000000002</v>
      </c>
      <c r="Y34" s="2">
        <f ca="1">X33-(1-0.4013)^(1/10)</f>
        <v>77.300005861213577</v>
      </c>
      <c r="Z34" s="2">
        <f>Z33+1</f>
        <v>60</v>
      </c>
      <c r="AA34">
        <f>AA33+(AA33*0.02)</f>
        <v>72.42</v>
      </c>
      <c r="AB34" s="2">
        <f>AA33-(1-0.2925)^(1/10)</f>
        <v>70.034009969239406</v>
      </c>
    </row>
    <row r="35" spans="1:28" x14ac:dyDescent="0.3">
      <c r="N35" s="2">
        <f t="shared" ref="N35:N43" si="12">N34+1</f>
        <v>61</v>
      </c>
      <c r="O35" s="2">
        <f t="shared" ref="O35:O43" si="13">O34+(O34*0.0115)</f>
        <v>95.142402447826086</v>
      </c>
      <c r="P35" s="2">
        <f>P34-(1-0.27)^(2/10)</f>
        <v>91.083287568294168</v>
      </c>
      <c r="Q35" s="2">
        <f t="shared" ref="Q35:Q43" si="14">Q34+1</f>
        <v>61</v>
      </c>
      <c r="R35" s="2">
        <f t="shared" ref="R35:R43" ca="1" si="15">R34+(R34*0.0123)</f>
        <v>43.551929825000002</v>
      </c>
      <c r="S35" s="2">
        <f ca="1">S34-(1-0.4464)^(2/10)</f>
        <v>40.642518280638569</v>
      </c>
      <c r="T35" s="2">
        <f t="shared" ref="T35:T43" si="16">T34+1</f>
        <v>61</v>
      </c>
      <c r="U35" s="2">
        <f t="shared" si="11"/>
        <v>64.291413597499997</v>
      </c>
      <c r="V35" s="2">
        <f>V34-(1-0.27)^(2/10)</f>
        <v>61.681983220468076</v>
      </c>
      <c r="W35" s="2">
        <f t="shared" ref="W35:W43" si="17">W34+1</f>
        <v>61</v>
      </c>
      <c r="X35" s="2">
        <f t="shared" ref="X35:X43" ca="1" si="18">X34+(X34*0.0099)</f>
        <v>79.807019282500008</v>
      </c>
      <c r="Y35" s="2">
        <f ca="1">Y34-(1-0.4013)^(2/10)</f>
        <v>76.397516997485013</v>
      </c>
      <c r="Z35" s="2">
        <f t="shared" ref="Z35:Z43" si="19">Z34+1</f>
        <v>61</v>
      </c>
      <c r="AA35">
        <f t="shared" ref="AA35:AA43" si="20">AA34+(AA34*0.02)</f>
        <v>73.868400000000008</v>
      </c>
      <c r="AB35" s="2">
        <f>AB34-(1-0.2925)^(2/10)</f>
        <v>69.100873229710544</v>
      </c>
    </row>
    <row r="36" spans="1:28" x14ac:dyDescent="0.3">
      <c r="A36" t="s">
        <v>8</v>
      </c>
      <c r="N36" s="2">
        <f t="shared" si="12"/>
        <v>62</v>
      </c>
      <c r="O36" s="2">
        <f t="shared" si="13"/>
        <v>96.23654007597608</v>
      </c>
      <c r="P36" s="2">
        <f>P35-(1-0.27)^(2/10)</f>
        <v>90.144289774184799</v>
      </c>
      <c r="Q36" s="2">
        <f t="shared" si="14"/>
        <v>62</v>
      </c>
      <c r="R36" s="2">
        <f t="shared" ca="1" si="15"/>
        <v>44.087618561847499</v>
      </c>
      <c r="S36" s="2">
        <f ca="1">S35-(1-0.4464)^(2/10)</f>
        <v>39.754055546699696</v>
      </c>
      <c r="T36" s="2">
        <f t="shared" si="16"/>
        <v>62</v>
      </c>
      <c r="U36" s="2">
        <f t="shared" si="11"/>
        <v>64.64501637228625</v>
      </c>
      <c r="V36" s="2">
        <f>V35-(1-0.27)^(2/10)</f>
        <v>60.742985426358715</v>
      </c>
      <c r="W36" s="2">
        <f t="shared" si="17"/>
        <v>62</v>
      </c>
      <c r="X36" s="2">
        <f t="shared" ca="1" si="18"/>
        <v>80.597108773396755</v>
      </c>
      <c r="Y36" s="2">
        <f ca="1">Y35-(1-0.4013)^(2/10)</f>
        <v>75.495028133756449</v>
      </c>
      <c r="Z36" s="2">
        <f t="shared" si="19"/>
        <v>62</v>
      </c>
      <c r="AA36">
        <f t="shared" si="20"/>
        <v>75.345768000000007</v>
      </c>
      <c r="AB36" s="2">
        <f>AB35-(1-0.2925)^(2/10)</f>
        <v>68.167736490181682</v>
      </c>
    </row>
    <row r="37" spans="1:28" x14ac:dyDescent="0.3">
      <c r="A37" s="1">
        <f ca="1">(B28/100*20)+(B29/100*20)+(B30/100*25)+(B31/100*20)+(B32/100*15)</f>
        <v>69.295760869565214</v>
      </c>
      <c r="N37" s="2">
        <f t="shared" si="12"/>
        <v>63</v>
      </c>
      <c r="O37" s="2">
        <f t="shared" si="13"/>
        <v>97.343260286849812</v>
      </c>
      <c r="P37" s="2">
        <f>P36-(1-0.27)^(3/10)</f>
        <v>89.23438308442293</v>
      </c>
      <c r="Q37" s="2">
        <f t="shared" si="14"/>
        <v>63</v>
      </c>
      <c r="R37" s="2">
        <f t="shared" ca="1" si="15"/>
        <v>44.629896270158227</v>
      </c>
      <c r="S37" s="2">
        <f ca="1">S36-(1-0.4464)^(3/10)</f>
        <v>38.916605667163473</v>
      </c>
      <c r="T37" s="2">
        <f t="shared" si="16"/>
        <v>63</v>
      </c>
      <c r="U37" s="2">
        <f t="shared" si="11"/>
        <v>65.000563962333828</v>
      </c>
      <c r="V37" s="2">
        <f>V36-(1-0.27)^(3/10)</f>
        <v>59.833078736596839</v>
      </c>
      <c r="W37" s="2">
        <f t="shared" si="17"/>
        <v>63</v>
      </c>
      <c r="X37" s="2">
        <f t="shared" ca="1" si="18"/>
        <v>81.395020150253387</v>
      </c>
      <c r="Y37" s="2">
        <f ca="1">Y36-(1-0.4013)^(3/10)</f>
        <v>74.637669002894299</v>
      </c>
      <c r="Z37" s="2">
        <f t="shared" si="19"/>
        <v>63</v>
      </c>
      <c r="AA37">
        <f t="shared" si="20"/>
        <v>76.85268336</v>
      </c>
      <c r="AB37" s="2">
        <f>AB36-(1-0.2925)^(3/10)</f>
        <v>67.266335702460353</v>
      </c>
    </row>
    <row r="38" spans="1:28" x14ac:dyDescent="0.3">
      <c r="N38" s="2">
        <f t="shared" si="12"/>
        <v>64</v>
      </c>
      <c r="O38" s="2">
        <f t="shared" si="13"/>
        <v>98.462707780148591</v>
      </c>
      <c r="P38" s="2">
        <f>P37-(1-0.27)^(4/10)</f>
        <v>88.352666227080675</v>
      </c>
      <c r="Q38" s="2">
        <f t="shared" si="14"/>
        <v>64</v>
      </c>
      <c r="R38" s="2">
        <f t="shared" ca="1" si="15"/>
        <v>45.178843994281173</v>
      </c>
      <c r="S38" s="2">
        <f ca="1">S37-(1-0.4464)^(4/10)</f>
        <v>38.127239637565339</v>
      </c>
      <c r="T38" s="2">
        <f t="shared" si="16"/>
        <v>64</v>
      </c>
      <c r="U38" s="2">
        <f t="shared" si="11"/>
        <v>65.358067064126658</v>
      </c>
      <c r="V38" s="2">
        <f>V37-(1-0.27)^(4/10)</f>
        <v>58.951361879254591</v>
      </c>
      <c r="W38" s="2">
        <f t="shared" si="17"/>
        <v>64</v>
      </c>
      <c r="X38" s="2">
        <f t="shared" ca="1" si="18"/>
        <v>82.200830849740896</v>
      </c>
      <c r="Y38" s="2">
        <f ca="1">Y37-(1-0.4013)^(4/10)</f>
        <v>73.823182853740235</v>
      </c>
      <c r="Z38" s="2">
        <f t="shared" si="19"/>
        <v>64</v>
      </c>
      <c r="AA38">
        <f t="shared" si="20"/>
        <v>78.389737027199999</v>
      </c>
      <c r="AB38" s="2">
        <f>AB37-(1-0.2925)^(4/10)</f>
        <v>66.395591527801798</v>
      </c>
    </row>
    <row r="39" spans="1:28" x14ac:dyDescent="0.3">
      <c r="N39" s="2">
        <f t="shared" si="12"/>
        <v>65</v>
      </c>
      <c r="O39" s="2">
        <f t="shared" si="13"/>
        <v>99.595028919620304</v>
      </c>
      <c r="P39" s="2">
        <f>P38-(1-0.27)^(5/10)</f>
        <v>87.498265852548926</v>
      </c>
      <c r="Q39" s="2">
        <f t="shared" si="14"/>
        <v>65</v>
      </c>
      <c r="R39" s="2">
        <f t="shared" ca="1" si="15"/>
        <v>45.734543775410835</v>
      </c>
      <c r="S39" s="2">
        <f ca="1">S38-(1-0.4464)^(5/10)</f>
        <v>37.383196628055806</v>
      </c>
      <c r="T39" s="2">
        <f t="shared" si="16"/>
        <v>65</v>
      </c>
      <c r="U39" s="2">
        <f t="shared" si="11"/>
        <v>65.717536432979358</v>
      </c>
      <c r="V39" s="2">
        <f>V38-(1-0.27)^(5/10)</f>
        <v>58.096961504722842</v>
      </c>
      <c r="W39" s="2">
        <f t="shared" si="17"/>
        <v>65</v>
      </c>
      <c r="X39" s="2">
        <f t="shared" ca="1" si="18"/>
        <v>83.014619075153334</v>
      </c>
      <c r="Y39" s="2">
        <f ca="1">Y38-(1-0.4013)^(5/10)</f>
        <v>73.049425785921144</v>
      </c>
      <c r="Z39" s="2">
        <f t="shared" si="19"/>
        <v>65</v>
      </c>
      <c r="AA39">
        <f t="shared" si="20"/>
        <v>79.957531767744001</v>
      </c>
      <c r="AB39" s="2">
        <f>AB38-(1-0.2925)^(5/10)</f>
        <v>65.554461335738765</v>
      </c>
    </row>
    <row r="40" spans="1:28" x14ac:dyDescent="0.3">
      <c r="N40" s="2">
        <f t="shared" si="12"/>
        <v>66</v>
      </c>
      <c r="O40" s="2">
        <f t="shared" si="13"/>
        <v>100.74037175219594</v>
      </c>
      <c r="P40" s="2">
        <f>P39-(1-0.27)^(6/10)</f>
        <v>86.670335668475516</v>
      </c>
      <c r="Q40" s="2">
        <f t="shared" si="14"/>
        <v>66</v>
      </c>
      <c r="R40" s="2">
        <f t="shared" ca="1" si="15"/>
        <v>46.297078663848389</v>
      </c>
      <c r="S40" s="2">
        <f ca="1">S39-(1-0.4464)^(6/10)</f>
        <v>36.681874327320571</v>
      </c>
      <c r="T40" s="2">
        <f t="shared" si="16"/>
        <v>66</v>
      </c>
      <c r="U40" s="2">
        <f t="shared" si="11"/>
        <v>66.078982883360752</v>
      </c>
      <c r="V40" s="2">
        <f>V39-(1-0.27)^(6/10)</f>
        <v>57.269031320649432</v>
      </c>
      <c r="W40" s="2">
        <f t="shared" si="17"/>
        <v>66</v>
      </c>
      <c r="X40" s="2">
        <f t="shared" ca="1" si="18"/>
        <v>83.836463803997347</v>
      </c>
      <c r="Y40" s="2">
        <f ca="1">Y39-(1-0.4013)^(6/10)</f>
        <v>72.314361106648434</v>
      </c>
      <c r="Z40" s="2">
        <f t="shared" si="19"/>
        <v>66</v>
      </c>
      <c r="AA40">
        <f t="shared" si="20"/>
        <v>81.556682403098876</v>
      </c>
      <c r="AB40" s="2">
        <f>AB39-(1-0.2925)^(6/10)</f>
        <v>64.741937955634128</v>
      </c>
    </row>
    <row r="41" spans="1:28" x14ac:dyDescent="0.3">
      <c r="N41" s="2">
        <f t="shared" si="12"/>
        <v>67</v>
      </c>
      <c r="O41" s="2">
        <f t="shared" si="13"/>
        <v>101.89888602734619</v>
      </c>
      <c r="P41" s="2">
        <f>P40-(1-0.27)^(7/10)</f>
        <v>85.868055601503983</v>
      </c>
      <c r="Q41" s="2">
        <f t="shared" si="14"/>
        <v>67</v>
      </c>
      <c r="R41" s="2">
        <f t="shared" ca="1" si="15"/>
        <v>46.866532731413727</v>
      </c>
      <c r="S41" s="2">
        <f ca="1">S40-(1-0.4464)^(7/10)</f>
        <v>36.020819840923629</v>
      </c>
      <c r="T41" s="2">
        <f t="shared" si="16"/>
        <v>67</v>
      </c>
      <c r="U41" s="2">
        <f t="shared" si="11"/>
        <v>66.442417289219236</v>
      </c>
      <c r="V41" s="2">
        <f>V40-(1-0.27)^(7/10)</f>
        <v>56.466751253677906</v>
      </c>
      <c r="W41" s="2">
        <f t="shared" si="17"/>
        <v>67</v>
      </c>
      <c r="X41" s="2">
        <f t="shared" ca="1" si="18"/>
        <v>84.666444795656915</v>
      </c>
      <c r="Y41" s="2">
        <f ca="1">Y40-(1-0.4013)^(7/10)</f>
        <v>71.616053969710435</v>
      </c>
      <c r="Z41" s="2">
        <f t="shared" si="19"/>
        <v>67</v>
      </c>
      <c r="AA41">
        <f t="shared" si="20"/>
        <v>83.187816051160851</v>
      </c>
      <c r="AB41" s="2">
        <f>AB40-(1-0.2925)^(7/10)</f>
        <v>63.957048470693138</v>
      </c>
    </row>
    <row r="42" spans="1:28" x14ac:dyDescent="0.3">
      <c r="B42" t="s">
        <v>12</v>
      </c>
      <c r="C42" t="s">
        <v>0</v>
      </c>
      <c r="D42" t="s">
        <v>12</v>
      </c>
      <c r="E42" t="s">
        <v>1</v>
      </c>
      <c r="F42" t="s">
        <v>12</v>
      </c>
      <c r="G42" t="s">
        <v>2</v>
      </c>
      <c r="H42" t="s">
        <v>12</v>
      </c>
      <c r="I42" t="s">
        <v>3</v>
      </c>
      <c r="J42" t="s">
        <v>12</v>
      </c>
      <c r="K42" t="s">
        <v>4</v>
      </c>
      <c r="N42" s="2">
        <f t="shared" si="12"/>
        <v>68</v>
      </c>
      <c r="O42" s="2">
        <f t="shared" si="13"/>
        <v>103.07072321666068</v>
      </c>
      <c r="P42" s="2">
        <f>P41-(1-0.27)^(8/10)</f>
        <v>85.090630984982482</v>
      </c>
      <c r="Q42" s="2">
        <f t="shared" si="14"/>
        <v>68</v>
      </c>
      <c r="R42" s="2">
        <f t="shared" ca="1" si="15"/>
        <v>47.442991084010117</v>
      </c>
      <c r="S42" s="2">
        <f ca="1">S41-(1-0.4464)^(8/10)</f>
        <v>35.397721112240106</v>
      </c>
      <c r="T42" s="2">
        <f t="shared" si="16"/>
        <v>68</v>
      </c>
      <c r="U42" s="2">
        <f t="shared" si="11"/>
        <v>66.807850584309946</v>
      </c>
      <c r="V42" s="2">
        <f>V41-(1-0.27)^(8/10)</f>
        <v>55.689326637156412</v>
      </c>
      <c r="W42" s="2">
        <f t="shared" si="17"/>
        <v>68</v>
      </c>
      <c r="X42" s="2">
        <f t="shared" ca="1" si="18"/>
        <v>85.504642599133916</v>
      </c>
      <c r="Y42" s="2">
        <f ca="1">Y41-(1-0.4013)^(8/10)</f>
        <v>70.952666282546616</v>
      </c>
      <c r="Z42" s="2">
        <f t="shared" si="19"/>
        <v>68</v>
      </c>
      <c r="AA42">
        <f t="shared" si="20"/>
        <v>84.851572372184066</v>
      </c>
      <c r="AB42" s="2">
        <f>AB41-(1-0.2925)^(8/10)</f>
        <v>63.198853052991318</v>
      </c>
    </row>
    <row r="43" spans="1:28" x14ac:dyDescent="0.3">
      <c r="B43">
        <f>B27</f>
        <v>59</v>
      </c>
      <c r="C43">
        <f>B28</f>
        <v>92.991304347826087</v>
      </c>
      <c r="D43">
        <f>B43</f>
        <v>59</v>
      </c>
      <c r="E43">
        <f ca="1">B29</f>
        <v>42.5</v>
      </c>
      <c r="F43">
        <f>B27</f>
        <v>59</v>
      </c>
      <c r="G43">
        <f>B30</f>
        <v>63.589999999999996</v>
      </c>
      <c r="H43">
        <f>B27</f>
        <v>59</v>
      </c>
      <c r="I43">
        <f ca="1">B31</f>
        <v>78.25</v>
      </c>
      <c r="J43">
        <f>B27</f>
        <v>59</v>
      </c>
      <c r="K43">
        <f>B32</f>
        <v>71</v>
      </c>
      <c r="N43" s="2">
        <f t="shared" si="12"/>
        <v>69</v>
      </c>
      <c r="O43" s="2">
        <f t="shared" si="13"/>
        <v>104.25603653365228</v>
      </c>
      <c r="P43" s="2">
        <f>P42-(1-0.27)^(9/10)</f>
        <v>84.337291771838309</v>
      </c>
      <c r="Q43" s="2">
        <f t="shared" si="14"/>
        <v>69</v>
      </c>
      <c r="R43" s="2">
        <f t="shared" ca="1" si="15"/>
        <v>48.026539874343442</v>
      </c>
      <c r="S43" s="2">
        <f ca="1">S42-(1-0.4464)^(9/10)</f>
        <v>34.810398835973317</v>
      </c>
      <c r="T43" s="2">
        <f t="shared" si="16"/>
        <v>69</v>
      </c>
      <c r="U43" s="2">
        <f t="shared" si="11"/>
        <v>67.175293762523651</v>
      </c>
      <c r="V43" s="2">
        <f>V42-(1-0.27)^(9/10)</f>
        <v>54.935987424012232</v>
      </c>
      <c r="W43" s="2">
        <f t="shared" si="17"/>
        <v>69</v>
      </c>
      <c r="X43" s="2">
        <f t="shared" ca="1" si="18"/>
        <v>86.351138560865337</v>
      </c>
      <c r="Y43" s="2">
        <f ca="1">Y42-(1-0.4013)^(9/10)</f>
        <v>70.322451867997898</v>
      </c>
      <c r="Z43" s="2">
        <f t="shared" si="19"/>
        <v>69</v>
      </c>
      <c r="AA43">
        <f t="shared" si="20"/>
        <v>86.548603819627743</v>
      </c>
      <c r="AB43" s="2">
        <f>AB42-(1-0.2925)^(9/10)</f>
        <v>62.466443838122991</v>
      </c>
    </row>
    <row r="44" spans="1:28" x14ac:dyDescent="0.3">
      <c r="B44">
        <f>C27</f>
        <v>69</v>
      </c>
      <c r="C44">
        <f>C28</f>
        <v>103.68530434782609</v>
      </c>
      <c r="D44">
        <f>B44</f>
        <v>69</v>
      </c>
      <c r="E44">
        <f ca="1">C29</f>
        <v>47.727499999999999</v>
      </c>
      <c r="F44">
        <f>C27</f>
        <v>69</v>
      </c>
      <c r="G44">
        <f>C30</f>
        <v>67.08744999999999</v>
      </c>
      <c r="H44">
        <f>C27</f>
        <v>69</v>
      </c>
      <c r="I44">
        <f ca="1">C31</f>
        <v>85.996750000000006</v>
      </c>
      <c r="J44">
        <f>C27</f>
        <v>69</v>
      </c>
      <c r="K44">
        <f>C32</f>
        <v>85.2</v>
      </c>
    </row>
    <row r="45" spans="1:28" x14ac:dyDescent="0.3">
      <c r="B45">
        <f>D27</f>
        <v>79</v>
      </c>
      <c r="C45">
        <f>D28</f>
        <v>137.07197234782609</v>
      </c>
      <c r="D45">
        <f>D27</f>
        <v>79</v>
      </c>
      <c r="E45">
        <f ca="1">D29</f>
        <v>62.427570000000003</v>
      </c>
      <c r="F45">
        <f>D27</f>
        <v>79</v>
      </c>
      <c r="G45">
        <f>D30</f>
        <v>74.467069499999994</v>
      </c>
      <c r="H45">
        <f>D27</f>
        <v>79</v>
      </c>
      <c r="I45">
        <f ca="1">D31</f>
        <v>103.02410650000002</v>
      </c>
      <c r="J45">
        <f>D27</f>
        <v>79</v>
      </c>
      <c r="K45">
        <f>D32</f>
        <v>136.32</v>
      </c>
    </row>
    <row r="46" spans="1:28" x14ac:dyDescent="0.3">
      <c r="B46">
        <f>E27</f>
        <v>89</v>
      </c>
      <c r="C46">
        <f>E28</f>
        <v>181.20914744382611</v>
      </c>
      <c r="D46">
        <f>E27</f>
        <v>89</v>
      </c>
      <c r="E46">
        <f ca="1">E29</f>
        <v>81.65526156</v>
      </c>
      <c r="F46">
        <f>E27</f>
        <v>89</v>
      </c>
      <c r="G46">
        <f>E30</f>
        <v>82.658447144999997</v>
      </c>
      <c r="H46">
        <f>E27</f>
        <v>89</v>
      </c>
      <c r="I46">
        <f ca="1">E31</f>
        <v>123.42287958700003</v>
      </c>
      <c r="J46">
        <f>E27</f>
        <v>89</v>
      </c>
      <c r="K46">
        <f>E32</f>
        <v>218.11199999999999</v>
      </c>
    </row>
    <row r="47" spans="1:28" x14ac:dyDescent="0.3">
      <c r="B47">
        <f>F27</f>
        <v>99</v>
      </c>
      <c r="C47">
        <f>F28</f>
        <v>239.55849292073813</v>
      </c>
      <c r="D47">
        <f>F27</f>
        <v>99</v>
      </c>
      <c r="E47">
        <f ca="1">F29</f>
        <v>106.80508212047999</v>
      </c>
      <c r="F47">
        <f>F27</f>
        <v>99</v>
      </c>
      <c r="G47">
        <f ca="1">F31</f>
        <v>147.86060974522604</v>
      </c>
      <c r="H47">
        <f>F27</f>
        <v>99</v>
      </c>
      <c r="I47">
        <f ca="1">F31</f>
        <v>147.86060974522604</v>
      </c>
      <c r="J47">
        <f>F27</f>
        <v>99</v>
      </c>
      <c r="K47">
        <f>F32</f>
        <v>348.97919999999999</v>
      </c>
    </row>
    <row r="55" spans="4:5" x14ac:dyDescent="0.3">
      <c r="D55" t="s">
        <v>227</v>
      </c>
      <c r="E55">
        <f ca="1">_xlfn.LET(_xlpm.ChronAge, B28, _xlpm.BioAge, MEDIAN(25, T4, 90), MAX(1, MIN(100, (100 * ((_xlpm.ChronAge + 30) - _xlpm.BioAge) / 60))))</f>
        <v>89.492572463768113</v>
      </c>
    </row>
    <row r="56" spans="4:5" x14ac:dyDescent="0.3">
      <c r="D56" t="s">
        <v>225</v>
      </c>
      <c r="E56">
        <f ca="1">_xlfn.LET(_xlpm.ChronAge, B27, _xlpm.BioAge, MEDIAN(25, T4, 90), MAX(300, MIN(850, 600 + (10 * (_xlpm.ChronAge - _xlpm.BioAge)))))</f>
        <v>497.04239130434786</v>
      </c>
    </row>
  </sheetData>
  <mergeCells count="4">
    <mergeCell ref="A23:F23"/>
    <mergeCell ref="I24:J24"/>
    <mergeCell ref="I25:J31"/>
    <mergeCell ref="N31:AA3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532A5-8830-49F2-97B7-64BB472A531B}">
  <dimension ref="A1:AB55"/>
  <sheetViews>
    <sheetView topLeftCell="A27" workbookViewId="0">
      <selection activeCell="E56" sqref="E56"/>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5546875" bestFit="1" customWidth="1"/>
    <col min="9" max="9" width="21.8867187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54</v>
      </c>
      <c r="D2" s="35">
        <f>C2-(C2/100*1)</f>
        <v>53.46</v>
      </c>
      <c r="E2" s="35">
        <f t="shared" ref="E2:L2" si="0">D2-(D2/100*1)</f>
        <v>52.925400000000003</v>
      </c>
      <c r="F2" s="35">
        <f t="shared" si="0"/>
        <v>52.396146000000002</v>
      </c>
      <c r="G2" s="35">
        <f t="shared" si="0"/>
        <v>51.872184539999999</v>
      </c>
      <c r="H2" s="36">
        <f>G2-(G2/100*1)</f>
        <v>51.353462694599997</v>
      </c>
      <c r="I2" s="35">
        <f t="shared" si="0"/>
        <v>50.839928067654</v>
      </c>
      <c r="J2" s="35">
        <f t="shared" si="0"/>
        <v>50.331528786977458</v>
      </c>
      <c r="K2" s="35">
        <f t="shared" si="0"/>
        <v>49.828213499107683</v>
      </c>
      <c r="L2" s="35">
        <f t="shared" si="0"/>
        <v>49.329931364116604</v>
      </c>
      <c r="M2" s="33">
        <f t="shared" ref="M2" si="1">L2-(L2/100*M1)</f>
        <v>44.396938227704943</v>
      </c>
      <c r="N2" s="8"/>
      <c r="O2" s="21">
        <v>54</v>
      </c>
      <c r="Q2" s="3" t="s">
        <v>0</v>
      </c>
      <c r="R2" s="16">
        <f>B27+ ((1 -((C2 / 39.5) * 0.7 )-((C3 / 100) * 0.3 )) * 100)</f>
        <v>19.303797468354439</v>
      </c>
    </row>
    <row r="3" spans="1:20" x14ac:dyDescent="0.3">
      <c r="A3" s="3" t="s">
        <v>0</v>
      </c>
      <c r="B3" s="3" t="s">
        <v>16</v>
      </c>
      <c r="C3" s="9">
        <v>110</v>
      </c>
      <c r="D3" s="35">
        <f t="shared" ref="D3:K3" si="2">C3-(C3/100*1.5)</f>
        <v>108.35</v>
      </c>
      <c r="E3" s="35">
        <f t="shared" si="2"/>
        <v>106.72475</v>
      </c>
      <c r="F3" s="35">
        <f t="shared" si="2"/>
        <v>105.12387875</v>
      </c>
      <c r="G3" s="35">
        <f t="shared" si="2"/>
        <v>103.54702056875</v>
      </c>
      <c r="H3" s="36">
        <f>G3-(G3/100*1.5)</f>
        <v>101.99381526021875</v>
      </c>
      <c r="I3" s="35">
        <f t="shared" si="2"/>
        <v>100.46390803131547</v>
      </c>
      <c r="J3" s="35">
        <f t="shared" si="2"/>
        <v>98.956949410845738</v>
      </c>
      <c r="K3" s="35">
        <f t="shared" si="2"/>
        <v>97.472595169683046</v>
      </c>
      <c r="L3" s="35">
        <f>K3-(K3/100*1.5)</f>
        <v>96.010506242137794</v>
      </c>
      <c r="M3" s="33">
        <f t="shared" ref="M3" si="3">L3-(L3/100*M1)</f>
        <v>86.40945561792401</v>
      </c>
      <c r="N3" s="8"/>
      <c r="O3" s="21">
        <v>110</v>
      </c>
      <c r="Q3" s="4" t="s">
        <v>1</v>
      </c>
      <c r="R3" s="4" t="e">
        <f ca="1">((O4/100*50)+(O5/100*25)+(O6/100*25))</f>
        <v>#N/A</v>
      </c>
      <c r="T3" s="23" t="s">
        <v>8</v>
      </c>
    </row>
    <row r="4" spans="1:20" ht="18" customHeight="1" x14ac:dyDescent="0.3">
      <c r="A4" s="4" t="s">
        <v>17</v>
      </c>
      <c r="B4" s="4" t="s">
        <v>18</v>
      </c>
      <c r="C4" s="10">
        <v>58</v>
      </c>
      <c r="D4" s="35">
        <f>C4-(C4/100*1)</f>
        <v>57.42</v>
      </c>
      <c r="E4" s="35">
        <f t="shared" ref="E4:L4" si="4">D4-(D4/100*1)</f>
        <v>56.845800000000004</v>
      </c>
      <c r="F4" s="35">
        <f t="shared" si="4"/>
        <v>56.277342000000004</v>
      </c>
      <c r="G4" s="35">
        <f t="shared" si="4"/>
        <v>55.714568580000005</v>
      </c>
      <c r="H4" s="36">
        <f t="shared" si="4"/>
        <v>55.157422894200003</v>
      </c>
      <c r="I4" s="35">
        <f t="shared" si="4"/>
        <v>54.605848665258002</v>
      </c>
      <c r="J4" s="35">
        <f t="shared" si="4"/>
        <v>54.059790178605418</v>
      </c>
      <c r="K4" s="35">
        <f t="shared" si="4"/>
        <v>53.519192276819361</v>
      </c>
      <c r="L4" s="35">
        <f t="shared" si="4"/>
        <v>52.984000354051169</v>
      </c>
      <c r="M4" s="33">
        <f t="shared" ref="M4" si="5">L4-(L4/100*M1)</f>
        <v>47.685600318646053</v>
      </c>
      <c r="N4" s="8"/>
      <c r="O4" s="18" t="e">
        <f ca="1">IF(B27&lt;30, FORECAST(C4, OFFSET([1]Strength_Normative_Data!$A$3, MATCH(C4, [1]Strength_Normative_Data!$B$3:$B$5, 1)-1, 0, 2), OFFSET([1]Strength_Normative_Data!$B$3, MATCH(C4, [1]Strength_Normative_Data!$B$3:$B$5, 1)-1, 0, 2)), FORECAST(C4, OFFSET([1]Strength_Normative_Data!$A$5, MATCH(C4, [1]Strength_Normative_Data!$B$5:$B$16, -1)-1, 0, 2), OFFSET([1]Strength_Normative_Data!$B$5, MATCH(C4, [1]Strength_Normative_Data!$B$5:$B$16, -1)-1, 0, 2)))</f>
        <v>#N/A</v>
      </c>
      <c r="Q4" s="5" t="s">
        <v>2</v>
      </c>
      <c r="R4" s="5">
        <f>B27 - 9*R11</f>
        <v>48.354738721804509</v>
      </c>
      <c r="T4" s="1" t="e">
        <f ca="1">(R2/100*20)+(R3/100*20)+(R4/100*25)+(R5/100*20)+(R6/100*15)</f>
        <v>#N/A</v>
      </c>
    </row>
    <row r="5" spans="1:20" x14ac:dyDescent="0.3">
      <c r="A5" s="4" t="s">
        <v>17</v>
      </c>
      <c r="B5" s="4" t="s">
        <v>19</v>
      </c>
      <c r="C5" s="10">
        <v>4.2</v>
      </c>
      <c r="D5" s="35">
        <f>C5-(C5/100*1.2)</f>
        <v>4.1496000000000004</v>
      </c>
      <c r="E5" s="35">
        <f t="shared" ref="E5:L6" si="6">D5-(D5/100*1.2)</f>
        <v>4.0998048000000002</v>
      </c>
      <c r="F5" s="35">
        <f t="shared" si="6"/>
        <v>4.0506071424000005</v>
      </c>
      <c r="G5" s="35">
        <f t="shared" si="6"/>
        <v>4.0019998566912003</v>
      </c>
      <c r="H5" s="36">
        <f t="shared" si="6"/>
        <v>3.9539758584109057</v>
      </c>
      <c r="I5" s="35">
        <f t="shared" si="6"/>
        <v>3.9065281481099747</v>
      </c>
      <c r="J5" s="35">
        <f t="shared" si="6"/>
        <v>3.8596498103326549</v>
      </c>
      <c r="K5" s="35">
        <f t="shared" si="6"/>
        <v>3.8133340126086628</v>
      </c>
      <c r="L5" s="35">
        <f t="shared" si="6"/>
        <v>3.7675740044573587</v>
      </c>
      <c r="M5" s="34">
        <f>C5-(C5/100*12)</f>
        <v>3.6960000000000002</v>
      </c>
      <c r="N5" s="8"/>
      <c r="O5" s="18">
        <f ca="1">FORECAST(C5, OFFSET([1]Strength_Normative_Data!$O$3, MATCH(C5, [1]Strength_Normative_Data!$P$3:$P$17, -1)-1, 0, 2), OFFSET([1]Strength_Normative_Data!$P$3, MATCH(C5, [1]Strength_Normative_Data!$P$3:$P$17, -1)-1, 0, 2))</f>
        <v>22.499999999999972</v>
      </c>
      <c r="Q5" s="6" t="s">
        <v>29</v>
      </c>
      <c r="R5" s="6">
        <f ca="1">((O14/100*30)+(O15/100*25)+(O16/100*30)+(O17/100*15))</f>
        <v>60.25</v>
      </c>
    </row>
    <row r="6" spans="1:20" x14ac:dyDescent="0.3">
      <c r="A6" s="4" t="s">
        <v>17</v>
      </c>
      <c r="B6" s="4" t="s">
        <v>20</v>
      </c>
      <c r="C6" s="10">
        <v>55</v>
      </c>
      <c r="D6" s="35">
        <f>C6-(C6/100*1.2)</f>
        <v>54.34</v>
      </c>
      <c r="E6" s="35">
        <f t="shared" si="6"/>
        <v>53.687920000000005</v>
      </c>
      <c r="F6" s="35">
        <f t="shared" si="6"/>
        <v>53.043664960000008</v>
      </c>
      <c r="G6" s="35">
        <f t="shared" si="6"/>
        <v>52.407140980480008</v>
      </c>
      <c r="H6" s="36">
        <f t="shared" si="6"/>
        <v>51.778255288714249</v>
      </c>
      <c r="I6" s="35">
        <f t="shared" si="6"/>
        <v>51.156916225249681</v>
      </c>
      <c r="J6" s="35">
        <f t="shared" si="6"/>
        <v>50.543033230546683</v>
      </c>
      <c r="K6" s="35">
        <f t="shared" si="6"/>
        <v>49.936516831780125</v>
      </c>
      <c r="L6" s="35">
        <f t="shared" si="6"/>
        <v>49.33727862979876</v>
      </c>
      <c r="M6" s="34">
        <f>C6-(C6/100*12)</f>
        <v>48.4</v>
      </c>
      <c r="N6" s="8"/>
      <c r="O6" s="18" t="e">
        <f ca="1">FORECAST(C6, OFFSET([1]Strength_Normative_Data!$J$3, MATCH(C6, [1]Strength_Normative_Data!$K$3:$K$16, -1)-1, 0, 2), OFFSET([1]Strength_Normative_Data!$K$3, MATCH(C6, [1]Strength_Normative_Data!$K$3:$K$16, -1)-1, 0, 2))</f>
        <v>#N/A</v>
      </c>
      <c r="Q6" s="7" t="s">
        <v>4</v>
      </c>
      <c r="R6" s="7">
        <f>((O18/100*60)+(O19/100*40))</f>
        <v>64.5</v>
      </c>
    </row>
    <row r="7" spans="1:20" x14ac:dyDescent="0.3">
      <c r="A7" s="5" t="s">
        <v>21</v>
      </c>
      <c r="B7" s="5" t="s">
        <v>22</v>
      </c>
      <c r="C7" s="11">
        <v>14</v>
      </c>
      <c r="D7" s="35"/>
      <c r="E7" s="35"/>
      <c r="F7" s="35"/>
      <c r="G7" s="35"/>
      <c r="H7" s="36"/>
      <c r="I7" s="35"/>
      <c r="J7" s="35"/>
      <c r="K7" s="35"/>
      <c r="L7" s="37"/>
      <c r="M7" s="34">
        <f>C7+(C7/100*6)</f>
        <v>14.84</v>
      </c>
      <c r="N7" s="8"/>
      <c r="O7" s="22"/>
    </row>
    <row r="8" spans="1:20" x14ac:dyDescent="0.3">
      <c r="A8" s="5" t="s">
        <v>21</v>
      </c>
      <c r="B8" s="5" t="s">
        <v>23</v>
      </c>
      <c r="C8" s="11">
        <v>0.44</v>
      </c>
      <c r="D8" s="35"/>
      <c r="E8" s="35"/>
      <c r="F8" s="35"/>
      <c r="G8" s="35"/>
      <c r="H8" s="36"/>
      <c r="I8" s="35"/>
      <c r="J8" s="35"/>
      <c r="K8" s="35"/>
      <c r="L8" s="37"/>
      <c r="M8" s="34">
        <f>C8+(C8/100*4)</f>
        <v>0.45760000000000001</v>
      </c>
      <c r="N8" s="8"/>
      <c r="O8" s="22">
        <f xml:space="preserve">
IF(C8&lt;=0.4,0,
IF(C8&lt;=0.5,20*(C8-0.4)/0.1,
IF(C8&lt;=0.6,20+40*(C8-0.5)/0.1,
60+40*(MIN(C8,0.75)-0.6)/0.15)))</f>
        <v>7.9999999999999956</v>
      </c>
    </row>
    <row r="9" spans="1:20" x14ac:dyDescent="0.3">
      <c r="A9" s="5" t="s">
        <v>21</v>
      </c>
      <c r="B9" s="5" t="s">
        <v>24</v>
      </c>
      <c r="C9" s="11">
        <v>4.4000000000000004</v>
      </c>
      <c r="D9" s="35"/>
      <c r="E9" s="35"/>
      <c r="F9" s="35"/>
      <c r="G9" s="35"/>
      <c r="H9" s="36"/>
      <c r="I9" s="35"/>
      <c r="J9" s="35"/>
      <c r="K9" s="35"/>
      <c r="L9" s="37"/>
      <c r="M9" s="34"/>
      <c r="N9" s="8"/>
      <c r="O9" s="22"/>
    </row>
    <row r="10" spans="1:20" x14ac:dyDescent="0.3">
      <c r="A10" s="5" t="s">
        <v>21</v>
      </c>
      <c r="B10" s="5" t="s">
        <v>25</v>
      </c>
      <c r="C10" s="11">
        <v>4.7</v>
      </c>
      <c r="D10" s="35"/>
      <c r="E10" s="35"/>
      <c r="F10" s="35"/>
      <c r="G10" s="35"/>
      <c r="H10" s="36"/>
      <c r="I10" s="35"/>
      <c r="J10" s="35"/>
      <c r="K10" s="35"/>
      <c r="L10" s="37"/>
      <c r="M10" s="34">
        <f>C10+(C10/100*5)</f>
        <v>4.9350000000000005</v>
      </c>
      <c r="N10" s="8"/>
      <c r="O10" s="22">
        <f xml:space="preserve">
IF(C10&lt;5.7,10*(C10/5.7),
IF(C10&lt;6.5,10+40*(C10-5.7)/0.8,
50+50*(MIN(C10,9)-6.5)/2.5))</f>
        <v>8.2456140350877192</v>
      </c>
      <c r="Q10" t="s">
        <v>89</v>
      </c>
      <c r="R10" t="s">
        <v>90</v>
      </c>
    </row>
    <row r="11" spans="1:20" x14ac:dyDescent="0.3">
      <c r="A11" s="5" t="s">
        <v>21</v>
      </c>
      <c r="B11" s="5" t="s">
        <v>26</v>
      </c>
      <c r="C11" s="11">
        <v>3.5</v>
      </c>
      <c r="D11" s="35"/>
      <c r="E11" s="35"/>
      <c r="F11" s="35"/>
      <c r="G11" s="35"/>
      <c r="H11" s="36"/>
      <c r="I11" s="35"/>
      <c r="J11" s="35"/>
      <c r="K11" s="35"/>
      <c r="L11" s="37"/>
      <c r="M11" s="34">
        <f>C11+(C11/100*14)</f>
        <v>3.99</v>
      </c>
      <c r="N11" s="8"/>
      <c r="O11" s="5">
        <f xml:space="preserve">
IF(C11&lt;1.6,10*(C11/1.6),
IF(C11&lt;3,10+40*(C11-1.6)/1.4,
50+50*(MIN(C11,7)-3)/4))</f>
        <v>56.25</v>
      </c>
      <c r="Q11">
        <f>(0.3*P12)+(0.2*O8)+(0.15*O10)+(0.25*O11)+(0.1*O13)</f>
        <v>36.970770676691728</v>
      </c>
      <c r="R11">
        <f xml:space="preserve">
IF(Q11&lt;=10,1.5-0.1*Q11,
IF(Q11&lt;=60,0.5-0.02*(Q11-10),
-0.5-0.03*(Q11-60)))</f>
        <v>-3.9415413533834598E-2</v>
      </c>
    </row>
    <row r="12" spans="1:20" x14ac:dyDescent="0.3">
      <c r="A12" s="5" t="s">
        <v>21</v>
      </c>
      <c r="B12" s="5" t="s">
        <v>27</v>
      </c>
      <c r="C12" s="11">
        <v>1.2</v>
      </c>
      <c r="D12" s="35"/>
      <c r="E12" s="35"/>
      <c r="F12" s="35"/>
      <c r="G12" s="35"/>
      <c r="H12" s="36"/>
      <c r="I12" s="35"/>
      <c r="J12" s="35"/>
      <c r="K12" s="35"/>
      <c r="L12" s="37"/>
      <c r="M12" s="34">
        <f>C12+(C12/100*6)</f>
        <v>1.272</v>
      </c>
      <c r="N12" s="8"/>
      <c r="O12" s="5">
        <f>C12*100</f>
        <v>120</v>
      </c>
      <c r="P12" s="5">
        <f xml:space="preserve">
IF(O12&lt;80,5*(O12/80),
IF(O12&lt;100,10+20*(O12-80)/20,
IF(O12&lt;130,30+25*(O12-100)/30,
IF(O12&lt;160,55+25*(O12-130)/30,
IF(O12&lt;200,80+20*(O12-160)/40,100)))))</f>
        <v>46.666666666666671</v>
      </c>
    </row>
    <row r="13" spans="1:20" x14ac:dyDescent="0.3">
      <c r="A13" s="5" t="s">
        <v>21</v>
      </c>
      <c r="B13" s="5" t="s">
        <v>28</v>
      </c>
      <c r="C13" s="11">
        <v>4.5</v>
      </c>
      <c r="D13" s="35"/>
      <c r="E13" s="35"/>
      <c r="F13" s="35"/>
      <c r="G13" s="35"/>
      <c r="H13" s="36"/>
      <c r="I13" s="35"/>
      <c r="J13" s="35"/>
      <c r="K13" s="35"/>
      <c r="L13" s="37"/>
      <c r="M13" s="34">
        <f>C13+(C13/100*18)</f>
        <v>5.31</v>
      </c>
      <c r="N13" s="8"/>
      <c r="O13" s="5">
        <f xml:space="preserve">
IF(C13&lt;1,10*(C13/1),
IF(C13&lt;3,10+40*(C13-1)/2,
50+50*(MIN(C13,10)-3)/7))</f>
        <v>60.714285714285715</v>
      </c>
    </row>
    <row r="14" spans="1:20" x14ac:dyDescent="0.3">
      <c r="A14" s="6" t="s">
        <v>29</v>
      </c>
      <c r="B14" s="6" t="s">
        <v>30</v>
      </c>
      <c r="C14" s="12">
        <v>1.35</v>
      </c>
      <c r="D14" s="35">
        <f>C14-(C14/100*0.6)</f>
        <v>1.3419000000000001</v>
      </c>
      <c r="E14" s="35">
        <f t="shared" ref="E14:L14" si="7">D14-(D14/100*0.6)</f>
        <v>1.3338486000000001</v>
      </c>
      <c r="F14" s="35">
        <f t="shared" si="7"/>
        <v>1.3258455084</v>
      </c>
      <c r="G14" s="35">
        <f t="shared" si="7"/>
        <v>1.3178904353495999</v>
      </c>
      <c r="H14" s="36">
        <f t="shared" si="7"/>
        <v>1.3099830927375022</v>
      </c>
      <c r="I14" s="35">
        <f t="shared" si="7"/>
        <v>1.3021231941810771</v>
      </c>
      <c r="J14" s="35">
        <f t="shared" si="7"/>
        <v>1.2943104550159907</v>
      </c>
      <c r="K14" s="35">
        <f t="shared" si="7"/>
        <v>1.2865445922858947</v>
      </c>
      <c r="L14" s="35">
        <f t="shared" si="7"/>
        <v>1.2788253247321792</v>
      </c>
      <c r="M14" s="34">
        <f>C14-(C14/100*6)</f>
        <v>1.2690000000000001</v>
      </c>
      <c r="N14" s="8"/>
      <c r="O14" s="12">
        <v>45</v>
      </c>
    </row>
    <row r="15" spans="1:20" x14ac:dyDescent="0.3">
      <c r="A15" s="6" t="s">
        <v>29</v>
      </c>
      <c r="B15" s="6" t="s">
        <v>31</v>
      </c>
      <c r="C15" s="12">
        <v>7.5</v>
      </c>
      <c r="D15" s="35">
        <f>C15+(C15/100*1)</f>
        <v>7.5750000000000002</v>
      </c>
      <c r="E15" s="35">
        <f t="shared" ref="E15:L15" si="8">D15+(D15/100*1)</f>
        <v>7.6507500000000004</v>
      </c>
      <c r="F15" s="35">
        <f t="shared" si="8"/>
        <v>7.7272575000000003</v>
      </c>
      <c r="G15" s="35">
        <f t="shared" si="8"/>
        <v>7.8045300750000006</v>
      </c>
      <c r="H15" s="35">
        <f t="shared" si="8"/>
        <v>7.882575375750001</v>
      </c>
      <c r="I15" s="35">
        <f t="shared" si="8"/>
        <v>7.9614011295075011</v>
      </c>
      <c r="J15" s="35">
        <f t="shared" si="8"/>
        <v>8.0410151408025765</v>
      </c>
      <c r="K15" s="35">
        <f t="shared" si="8"/>
        <v>8.1214252922106027</v>
      </c>
      <c r="L15" s="35">
        <f t="shared" si="8"/>
        <v>8.2026395451327083</v>
      </c>
      <c r="M15" s="34">
        <f>C15+(C15/100*10)</f>
        <v>8.25</v>
      </c>
      <c r="N15" s="8"/>
      <c r="O15" s="12">
        <f ca="1">FORECAST(C15, OFFSET([1]Mobility_Normative_Data!$E$3, MATCH(C15, [1]Mobility_Normative_Data!$F$3:$F$18, 1)-1, 0, 2), OFFSET([1]Mobility_Normative_Data!$F$3, MATCH(C15, [1]Mobility_Normative_Data!$F$3:$F$18, 1)-1, 0, 2))</f>
        <v>55</v>
      </c>
    </row>
    <row r="16" spans="1:20" x14ac:dyDescent="0.3">
      <c r="A16" s="6" t="s">
        <v>29</v>
      </c>
      <c r="B16" s="6" t="s">
        <v>32</v>
      </c>
      <c r="C16" s="12">
        <v>20</v>
      </c>
      <c r="D16" s="35">
        <f>C16+(C16/100*2)</f>
        <v>20.399999999999999</v>
      </c>
      <c r="E16" s="35">
        <f>D16+(D16/100*2)</f>
        <v>20.808</v>
      </c>
      <c r="F16" s="35">
        <f t="shared" ref="F16:L16" si="9">E16+(E16/100*2)</f>
        <v>21.224160000000001</v>
      </c>
      <c r="G16" s="35">
        <f t="shared" si="9"/>
        <v>21.648643200000002</v>
      </c>
      <c r="H16" s="36">
        <f t="shared" si="9"/>
        <v>22.081616064000002</v>
      </c>
      <c r="I16" s="35">
        <f t="shared" si="9"/>
        <v>22.523248385280002</v>
      </c>
      <c r="J16" s="35">
        <f t="shared" si="9"/>
        <v>22.973713352985602</v>
      </c>
      <c r="K16" s="35">
        <f t="shared" si="9"/>
        <v>23.433187620045313</v>
      </c>
      <c r="L16" s="35">
        <f t="shared" si="9"/>
        <v>23.90185137244622</v>
      </c>
      <c r="M16" s="34">
        <f>C16+(C16/100*20)</f>
        <v>24</v>
      </c>
      <c r="N16" s="8"/>
      <c r="O16" s="12">
        <f ca="1">FORECAST(C16, OFFSET([1]Mobility_Normative_Data!$I$3, MATCH(C16, [1]Mobility_Normative_Data!$J$3:$J$17, -1)-1, 0, 2), OFFSET([1]Mobility_Normative_Data!$J$3, MATCH(C16, [1]Mobility_Normative_Data!$J$3:$J$17, -1)-1, 0, 2))</f>
        <v>70</v>
      </c>
    </row>
    <row r="17" spans="1:28" x14ac:dyDescent="0.3">
      <c r="A17" s="6" t="s">
        <v>29</v>
      </c>
      <c r="B17" s="6" t="s">
        <v>33</v>
      </c>
      <c r="C17" s="12">
        <v>22</v>
      </c>
      <c r="D17" s="35">
        <f>C17-(C17/100*1)</f>
        <v>21.78</v>
      </c>
      <c r="E17" s="35">
        <f t="shared" ref="E17:L17" si="10">D17-(D17/100*1)</f>
        <v>21.562200000000001</v>
      </c>
      <c r="F17" s="35">
        <f t="shared" si="10"/>
        <v>21.346578000000001</v>
      </c>
      <c r="G17" s="35">
        <f t="shared" si="10"/>
        <v>21.133112220000001</v>
      </c>
      <c r="H17" s="36">
        <f t="shared" si="10"/>
        <v>20.9217810978</v>
      </c>
      <c r="I17" s="35">
        <f t="shared" si="10"/>
        <v>20.712563286822</v>
      </c>
      <c r="J17" s="35">
        <f t="shared" si="10"/>
        <v>20.505437653953781</v>
      </c>
      <c r="K17" s="35">
        <f t="shared" si="10"/>
        <v>20.300383277414245</v>
      </c>
      <c r="L17" s="35">
        <f t="shared" si="10"/>
        <v>20.097379444640101</v>
      </c>
      <c r="M17" s="34">
        <f>C17+(C17/100*10)</f>
        <v>24.2</v>
      </c>
      <c r="N17" s="8"/>
      <c r="O17" s="12">
        <f ca="1">FORECAST(C17, OFFSET([1]Mobility_Normative_Data!$M$3, MATCH(C17, [1]Mobility_Normative_Data!$N$3:$N$17, -1)-1, 0, 2), OFFSET([1]Mobility_Normative_Data!$N$3, MATCH(C17, [1]Mobility_Normative_Data!$N$3:$N$17, -1)-1, 0, 2))</f>
        <v>80</v>
      </c>
    </row>
    <row r="18" spans="1:28" x14ac:dyDescent="0.3">
      <c r="A18" s="7" t="s">
        <v>34</v>
      </c>
      <c r="B18" s="7" t="s">
        <v>35</v>
      </c>
      <c r="C18" s="13">
        <v>-1.1000000000000001</v>
      </c>
      <c r="D18" s="35">
        <f>C18+-0.02</f>
        <v>-1.1200000000000001</v>
      </c>
      <c r="E18" s="35">
        <f t="shared" ref="E18:L18" si="11">D18+-0.02</f>
        <v>-1.1400000000000001</v>
      </c>
      <c r="F18" s="35">
        <f t="shared" si="11"/>
        <v>-1.1600000000000001</v>
      </c>
      <c r="G18" s="35">
        <f t="shared" si="11"/>
        <v>-1.1800000000000002</v>
      </c>
      <c r="H18" s="36">
        <f t="shared" si="11"/>
        <v>-1.2000000000000002</v>
      </c>
      <c r="I18" s="35">
        <f t="shared" si="11"/>
        <v>-1.2200000000000002</v>
      </c>
      <c r="J18" s="35">
        <f t="shared" si="11"/>
        <v>-1.2400000000000002</v>
      </c>
      <c r="K18" s="35">
        <f t="shared" si="11"/>
        <v>-1.2600000000000002</v>
      </c>
      <c r="L18" s="35">
        <f t="shared" si="11"/>
        <v>-1.2800000000000002</v>
      </c>
      <c r="M18" s="34">
        <f>C18 +(-0.2)</f>
        <v>-1.3</v>
      </c>
      <c r="N18" s="8"/>
      <c r="O18" s="20">
        <f>MAX(18,B27-(C18*25))</f>
        <v>75.5</v>
      </c>
    </row>
    <row r="19" spans="1:28" x14ac:dyDescent="0.3">
      <c r="A19" s="7" t="s">
        <v>34</v>
      </c>
      <c r="B19" s="7" t="s">
        <v>36</v>
      </c>
      <c r="C19" s="13">
        <v>-0.5</v>
      </c>
      <c r="D19" s="35">
        <f>C19-0.02</f>
        <v>-0.52</v>
      </c>
      <c r="E19" s="35">
        <f t="shared" ref="E19:L19" si="12">D19-0.02</f>
        <v>-0.54</v>
      </c>
      <c r="F19" s="35">
        <f t="shared" si="12"/>
        <v>-0.56000000000000005</v>
      </c>
      <c r="G19" s="35">
        <f t="shared" si="12"/>
        <v>-0.58000000000000007</v>
      </c>
      <c r="H19" s="36">
        <f t="shared" si="12"/>
        <v>-0.60000000000000009</v>
      </c>
      <c r="I19" s="35">
        <f t="shared" si="12"/>
        <v>-0.62000000000000011</v>
      </c>
      <c r="J19" s="35">
        <f t="shared" si="12"/>
        <v>-0.64000000000000012</v>
      </c>
      <c r="K19" s="35">
        <f t="shared" si="12"/>
        <v>-0.66000000000000014</v>
      </c>
      <c r="L19" s="35">
        <f t="shared" si="12"/>
        <v>-0.68000000000000016</v>
      </c>
      <c r="M19" s="34">
        <f>C19+(-0.2)</f>
        <v>-0.7</v>
      </c>
      <c r="N19" s="8"/>
      <c r="O19" s="20">
        <f>MAX(18,B27-(J1925))</f>
        <v>48</v>
      </c>
    </row>
    <row r="23" spans="1:28" x14ac:dyDescent="0.3">
      <c r="A23" s="43" t="s">
        <v>37</v>
      </c>
      <c r="B23" s="43"/>
      <c r="C23" s="43"/>
      <c r="D23" s="43"/>
      <c r="E23" s="43"/>
      <c r="F23" s="43"/>
    </row>
    <row r="25" spans="1:28" x14ac:dyDescent="0.3">
      <c r="B25" t="s">
        <v>5</v>
      </c>
      <c r="C25" t="s">
        <v>6</v>
      </c>
      <c r="D25" t="s">
        <v>9</v>
      </c>
      <c r="E25" t="s">
        <v>10</v>
      </c>
      <c r="F25" t="s">
        <v>11</v>
      </c>
    </row>
    <row r="26" spans="1:28" x14ac:dyDescent="0.3">
      <c r="A26" t="s">
        <v>43</v>
      </c>
      <c r="B26" t="s">
        <v>44</v>
      </c>
      <c r="I26" s="43" t="s">
        <v>144</v>
      </c>
      <c r="J26" s="43"/>
    </row>
    <row r="27" spans="1:28" x14ac:dyDescent="0.3">
      <c r="A27" t="s">
        <v>7</v>
      </c>
      <c r="B27">
        <v>48</v>
      </c>
      <c r="C27">
        <f>B27+10</f>
        <v>58</v>
      </c>
      <c r="D27">
        <f>C27+10</f>
        <v>68</v>
      </c>
      <c r="E27">
        <f>D27+10</f>
        <v>78</v>
      </c>
      <c r="F27">
        <f>E27+10</f>
        <v>88</v>
      </c>
      <c r="I27" s="46" t="s">
        <v>145</v>
      </c>
      <c r="J27" s="50"/>
    </row>
    <row r="28" spans="1:28" x14ac:dyDescent="0.3">
      <c r="A28" t="s">
        <v>0</v>
      </c>
      <c r="B28" s="24">
        <f>R2</f>
        <v>19.303797468354439</v>
      </c>
      <c r="C28">
        <f>B28+(B28/100*11.5)</f>
        <v>21.5237341772152</v>
      </c>
      <c r="D28">
        <f>C28+(C28/100*32.2)</f>
        <v>28.454376582278496</v>
      </c>
      <c r="E28">
        <f>D28+(D28/100*32.2)</f>
        <v>37.616685841772174</v>
      </c>
      <c r="F28">
        <f>E28+(E28/100*32.2)</f>
        <v>49.729258682822817</v>
      </c>
      <c r="I28" s="50"/>
      <c r="J28" s="50"/>
    </row>
    <row r="29" spans="1:28" x14ac:dyDescent="0.3">
      <c r="A29" t="s">
        <v>1</v>
      </c>
      <c r="B29" t="e">
        <f ca="1">R3</f>
        <v>#N/A</v>
      </c>
      <c r="C29" t="e">
        <f ca="1">B29+(B29/100*12.3)</f>
        <v>#N/A</v>
      </c>
      <c r="D29" t="e">
        <f ca="1">C29+(C29/100*30.8)</f>
        <v>#N/A</v>
      </c>
      <c r="E29" t="e">
        <f ca="1">D29+(D29/100*30.8)</f>
        <v>#N/A</v>
      </c>
      <c r="F29" t="e">
        <f ca="1">E29+(E29/100*30.8)</f>
        <v>#N/A</v>
      </c>
      <c r="I29" s="50"/>
      <c r="J29" s="50"/>
    </row>
    <row r="30" spans="1:28" x14ac:dyDescent="0.3">
      <c r="A30" t="s">
        <v>2</v>
      </c>
      <c r="B30">
        <f>R4</f>
        <v>48.354738721804509</v>
      </c>
      <c r="C30">
        <f>B30+(B30/100*5.5)</f>
        <v>51.014249351503757</v>
      </c>
      <c r="D30">
        <f>C30+(C30/100*11)</f>
        <v>56.625816780169174</v>
      </c>
      <c r="E30">
        <f>D30+(D30/100*11)</f>
        <v>62.854656625987786</v>
      </c>
      <c r="F30">
        <f>E30+(E30/100*11)</f>
        <v>69.768668854846439</v>
      </c>
      <c r="I30" s="50"/>
      <c r="J30" s="50"/>
    </row>
    <row r="31" spans="1:28" x14ac:dyDescent="0.3">
      <c r="A31" t="s">
        <v>3</v>
      </c>
      <c r="B31">
        <f ca="1">R5</f>
        <v>60.25</v>
      </c>
      <c r="C31">
        <f ca="1">B31+(B31/100*9.9)</f>
        <v>66.214749999999995</v>
      </c>
      <c r="D31">
        <f ca="1">C31+(C31/100*19.8)</f>
        <v>79.325270499999988</v>
      </c>
      <c r="E31">
        <f ca="1">D31+(D31/100*19.8)</f>
        <v>95.031674058999982</v>
      </c>
      <c r="F31">
        <f ca="1">E31+(E31/100*19.8)</f>
        <v>113.84794552268198</v>
      </c>
      <c r="I31" s="50"/>
      <c r="J31" s="50"/>
      <c r="N31" s="46" t="s">
        <v>104</v>
      </c>
      <c r="O31" s="46"/>
      <c r="P31" s="46"/>
      <c r="Q31" s="46"/>
      <c r="R31" s="46"/>
      <c r="S31" s="46"/>
      <c r="T31" s="46"/>
      <c r="U31" s="46"/>
      <c r="V31" s="46"/>
      <c r="W31" s="46"/>
      <c r="X31" s="46"/>
      <c r="Y31" s="46"/>
      <c r="Z31" s="46"/>
      <c r="AA31" s="46"/>
    </row>
    <row r="32" spans="1:28" ht="43.2" x14ac:dyDescent="0.3">
      <c r="A32" t="s">
        <v>4</v>
      </c>
      <c r="B32">
        <f>R6</f>
        <v>64.5</v>
      </c>
      <c r="C32">
        <f>B32+(B32/100*20)</f>
        <v>77.400000000000006</v>
      </c>
      <c r="D32">
        <f>C32+(C32/100*60)</f>
        <v>123.84</v>
      </c>
      <c r="E32">
        <f>D32+(D32/100*60)</f>
        <v>198.14400000000001</v>
      </c>
      <c r="F32">
        <f>E32+(E32/100*60)</f>
        <v>317.03039999999999</v>
      </c>
      <c r="I32" s="50"/>
      <c r="J32" s="50"/>
      <c r="N32" s="2" t="s">
        <v>103</v>
      </c>
      <c r="O32" s="2" t="s">
        <v>147</v>
      </c>
      <c r="P32" s="2" t="s">
        <v>220</v>
      </c>
      <c r="Q32" s="2" t="s">
        <v>103</v>
      </c>
      <c r="R32" s="2" t="s">
        <v>105</v>
      </c>
      <c r="S32" s="2" t="s">
        <v>221</v>
      </c>
      <c r="T32" s="2" t="s">
        <v>103</v>
      </c>
      <c r="U32" s="2" t="s">
        <v>121</v>
      </c>
      <c r="V32" s="2" t="s">
        <v>222</v>
      </c>
      <c r="W32" s="2" t="s">
        <v>103</v>
      </c>
      <c r="X32" s="2" t="s">
        <v>108</v>
      </c>
      <c r="Y32" s="2" t="s">
        <v>223</v>
      </c>
      <c r="Z32" s="2" t="s">
        <v>103</v>
      </c>
      <c r="AA32" s="2" t="s">
        <v>123</v>
      </c>
      <c r="AB32" s="2" t="s">
        <v>224</v>
      </c>
    </row>
    <row r="33" spans="1:28" x14ac:dyDescent="0.3">
      <c r="N33" s="2">
        <f>B27</f>
        <v>48</v>
      </c>
      <c r="O33" s="27">
        <f>R2</f>
        <v>19.303797468354439</v>
      </c>
      <c r="P33" s="27">
        <f>O33</f>
        <v>19.303797468354439</v>
      </c>
      <c r="Q33" s="2">
        <f>N33</f>
        <v>48</v>
      </c>
      <c r="R33" s="2" t="e">
        <f ca="1">R3</f>
        <v>#N/A</v>
      </c>
      <c r="S33" s="27" t="e">
        <f ca="1">R33</f>
        <v>#N/A</v>
      </c>
      <c r="T33" s="2">
        <f>N33</f>
        <v>48</v>
      </c>
      <c r="U33" s="2">
        <f>R4</f>
        <v>48.354738721804509</v>
      </c>
      <c r="V33" s="27">
        <f>U33</f>
        <v>48.354738721804509</v>
      </c>
      <c r="W33" s="2">
        <f>N33</f>
        <v>48</v>
      </c>
      <c r="X33" s="2">
        <f ca="1">R5</f>
        <v>60.25</v>
      </c>
      <c r="Y33" s="27">
        <f ca="1">X33</f>
        <v>60.25</v>
      </c>
      <c r="Z33" s="2">
        <f>N33</f>
        <v>48</v>
      </c>
      <c r="AA33">
        <f>R6</f>
        <v>64.5</v>
      </c>
      <c r="AB33" s="27">
        <f>AA33</f>
        <v>64.5</v>
      </c>
    </row>
    <row r="34" spans="1:28" x14ac:dyDescent="0.3">
      <c r="N34" s="2">
        <f>N33+1</f>
        <v>49</v>
      </c>
      <c r="O34" s="2">
        <f>O33+(O33*0.0115)</f>
        <v>19.525791139240514</v>
      </c>
      <c r="P34" s="2">
        <f>O33-(1-0.27)^(1/10)</f>
        <v>18.334778482931881</v>
      </c>
      <c r="Q34" s="2">
        <f>Q33+1</f>
        <v>49</v>
      </c>
      <c r="R34" s="2" t="e">
        <f ca="1">R33+(R33*0.0123)</f>
        <v>#N/A</v>
      </c>
      <c r="S34" s="2" t="e">
        <f ca="1">R33-(1-0.27)^(1/10)</f>
        <v>#N/A</v>
      </c>
      <c r="T34" s="2">
        <f>T33+1</f>
        <v>49</v>
      </c>
      <c r="U34" s="2">
        <f t="shared" ref="U34:U43" si="13">U33+(U33*0.0055)</f>
        <v>48.620689784774434</v>
      </c>
      <c r="V34" s="2">
        <f>U33-(1-0.27)^(1/10)</f>
        <v>47.385719736381951</v>
      </c>
      <c r="W34" s="2">
        <f>W33+1</f>
        <v>49</v>
      </c>
      <c r="X34" s="2">
        <f ca="1">X33+(X33*0.0099)</f>
        <v>60.846474999999998</v>
      </c>
      <c r="Y34" s="2">
        <f ca="1">X33-(1-0.4013)^(1/10)</f>
        <v>59.300005861213577</v>
      </c>
      <c r="Z34" s="2">
        <f>Z33+1</f>
        <v>49</v>
      </c>
      <c r="AA34">
        <f>AA33+(AA33*0.02)</f>
        <v>65.790000000000006</v>
      </c>
      <c r="AB34" s="2">
        <f>AA33-(1-0.2925)^(1/10)</f>
        <v>63.534009969239399</v>
      </c>
    </row>
    <row r="35" spans="1:28" x14ac:dyDescent="0.3">
      <c r="N35" s="2">
        <f t="shared" ref="N35:N43" si="14">N34+1</f>
        <v>50</v>
      </c>
      <c r="O35" s="2">
        <f t="shared" ref="O35:O43" si="15">O34+(O34*0.0115)</f>
        <v>19.750337737341781</v>
      </c>
      <c r="P35" s="2">
        <f>P34-(1-0.27)^(2/10)</f>
        <v>17.395780688822519</v>
      </c>
      <c r="Q35" s="2">
        <f t="shared" ref="Q35:Q43" si="16">Q34+1</f>
        <v>50</v>
      </c>
      <c r="R35" s="2" t="e">
        <f t="shared" ref="R35:R43" ca="1" si="17">R34+(R34*0.0123)</f>
        <v>#N/A</v>
      </c>
      <c r="S35" s="2" t="e">
        <f ca="1">S34-(1-0.4464)^(2/10)</f>
        <v>#N/A</v>
      </c>
      <c r="T35" s="2">
        <f t="shared" ref="T35:T43" si="18">T34+1</f>
        <v>50</v>
      </c>
      <c r="U35" s="2">
        <f t="shared" si="13"/>
        <v>48.888103578590695</v>
      </c>
      <c r="V35" s="2">
        <f>V34-(1-0.27)^(2/10)</f>
        <v>46.446721942272589</v>
      </c>
      <c r="W35" s="2">
        <f t="shared" ref="W35:W43" si="19">W34+1</f>
        <v>50</v>
      </c>
      <c r="X35" s="2">
        <f t="shared" ref="X35:X43" ca="1" si="20">X34+(X34*0.0099)</f>
        <v>61.448855102499998</v>
      </c>
      <c r="Y35" s="2">
        <f ca="1">Y34-(1-0.4013)^(2/10)</f>
        <v>58.397516997485013</v>
      </c>
      <c r="Z35" s="2">
        <f t="shared" ref="Z35:Z43" si="21">Z34+1</f>
        <v>50</v>
      </c>
      <c r="AA35">
        <f t="shared" ref="AA35:AA43" si="22">AA34+(AA34*0.02)</f>
        <v>67.105800000000002</v>
      </c>
      <c r="AB35" s="2">
        <f>AB34-(1-0.2925)^(2/10)</f>
        <v>62.600873229710537</v>
      </c>
    </row>
    <row r="36" spans="1:28" x14ac:dyDescent="0.3">
      <c r="A36" t="s">
        <v>8</v>
      </c>
      <c r="N36" s="2">
        <f t="shared" si="14"/>
        <v>51</v>
      </c>
      <c r="O36" s="2">
        <f t="shared" si="15"/>
        <v>19.977466621321209</v>
      </c>
      <c r="P36" s="2">
        <f>P35-(1-0.27)^(2/10)</f>
        <v>16.456782894713157</v>
      </c>
      <c r="Q36" s="2">
        <f t="shared" si="16"/>
        <v>51</v>
      </c>
      <c r="R36" s="2" t="e">
        <f t="shared" ca="1" si="17"/>
        <v>#N/A</v>
      </c>
      <c r="S36" s="2" t="e">
        <f ca="1">S35-(1-0.4464)^(2/10)</f>
        <v>#N/A</v>
      </c>
      <c r="T36" s="2">
        <f t="shared" si="18"/>
        <v>51</v>
      </c>
      <c r="U36" s="2">
        <f t="shared" si="13"/>
        <v>49.156988148272944</v>
      </c>
      <c r="V36" s="2">
        <f>V35-(1-0.27)^(2/10)</f>
        <v>45.507724148163227</v>
      </c>
      <c r="W36" s="2">
        <f t="shared" si="19"/>
        <v>51</v>
      </c>
      <c r="X36" s="2">
        <f t="shared" ca="1" si="20"/>
        <v>62.05719876801475</v>
      </c>
      <c r="Y36" s="2">
        <f ca="1">Y35-(1-0.4013)^(2/10)</f>
        <v>57.495028133756449</v>
      </c>
      <c r="Z36" s="2">
        <f t="shared" si="21"/>
        <v>51</v>
      </c>
      <c r="AA36">
        <f t="shared" si="22"/>
        <v>68.447916000000006</v>
      </c>
      <c r="AB36" s="2">
        <f>AB35-(1-0.2925)^(2/10)</f>
        <v>61.667736490181674</v>
      </c>
    </row>
    <row r="37" spans="1:28" x14ac:dyDescent="0.3">
      <c r="A37" s="1" t="e">
        <f ca="1">(B28/100*20)+(B29/100*20)+(B30/100*25)+(B31/100*20)+(B32/100*15)</f>
        <v>#N/A</v>
      </c>
      <c r="N37" s="2">
        <f t="shared" si="14"/>
        <v>52</v>
      </c>
      <c r="O37" s="2">
        <f t="shared" si="15"/>
        <v>20.207207487466402</v>
      </c>
      <c r="P37" s="2">
        <f>P36-(1-0.27)^(3/10)</f>
        <v>15.546876204951282</v>
      </c>
      <c r="Q37" s="2">
        <f t="shared" si="16"/>
        <v>52</v>
      </c>
      <c r="R37" s="2" t="e">
        <f t="shared" ca="1" si="17"/>
        <v>#N/A</v>
      </c>
      <c r="S37" s="2" t="e">
        <f ca="1">S36-(1-0.4464)^(3/10)</f>
        <v>#N/A</v>
      </c>
      <c r="T37" s="2">
        <f t="shared" si="18"/>
        <v>52</v>
      </c>
      <c r="U37" s="2">
        <f t="shared" si="13"/>
        <v>49.427351583088445</v>
      </c>
      <c r="V37" s="2">
        <f>V36-(1-0.27)^(3/10)</f>
        <v>44.597817458401352</v>
      </c>
      <c r="W37" s="2">
        <f t="shared" si="19"/>
        <v>52</v>
      </c>
      <c r="X37" s="2">
        <f t="shared" ca="1" si="20"/>
        <v>62.671565035818098</v>
      </c>
      <c r="Y37" s="2">
        <f ca="1">Y36-(1-0.4013)^(3/10)</f>
        <v>56.637669002894292</v>
      </c>
      <c r="Z37" s="2">
        <f t="shared" si="21"/>
        <v>52</v>
      </c>
      <c r="AA37">
        <f t="shared" si="22"/>
        <v>69.816874320000011</v>
      </c>
      <c r="AB37" s="2">
        <f>AB36-(1-0.2925)^(3/10)</f>
        <v>60.766335702460339</v>
      </c>
    </row>
    <row r="38" spans="1:28" x14ac:dyDescent="0.3">
      <c r="N38" s="2">
        <f t="shared" si="14"/>
        <v>53</v>
      </c>
      <c r="O38" s="2">
        <f t="shared" si="15"/>
        <v>20.439590373572265</v>
      </c>
      <c r="P38" s="2">
        <f>P37-(1-0.27)^(4/10)</f>
        <v>14.665159347609032</v>
      </c>
      <c r="Q38" s="2">
        <f t="shared" si="16"/>
        <v>53</v>
      </c>
      <c r="R38" s="2" t="e">
        <f t="shared" ca="1" si="17"/>
        <v>#N/A</v>
      </c>
      <c r="S38" s="2" t="e">
        <f ca="1">S37-(1-0.4464)^(4/10)</f>
        <v>#N/A</v>
      </c>
      <c r="T38" s="2">
        <f t="shared" si="18"/>
        <v>53</v>
      </c>
      <c r="U38" s="2">
        <f t="shared" si="13"/>
        <v>49.699202016795432</v>
      </c>
      <c r="V38" s="2">
        <f>V37-(1-0.27)^(4/10)</f>
        <v>43.716100601059104</v>
      </c>
      <c r="W38" s="2">
        <f t="shared" si="19"/>
        <v>53</v>
      </c>
      <c r="X38" s="2">
        <f t="shared" ca="1" si="20"/>
        <v>63.292013529672694</v>
      </c>
      <c r="Y38" s="2">
        <f ca="1">Y37-(1-0.4013)^(4/10)</f>
        <v>55.823182853740221</v>
      </c>
      <c r="Z38" s="2">
        <f t="shared" si="21"/>
        <v>53</v>
      </c>
      <c r="AA38">
        <f t="shared" si="22"/>
        <v>71.213211806400011</v>
      </c>
      <c r="AB38" s="2">
        <f>AB37-(1-0.2925)^(4/10)</f>
        <v>59.895591527801777</v>
      </c>
    </row>
    <row r="39" spans="1:28" x14ac:dyDescent="0.3">
      <c r="N39" s="2">
        <f t="shared" si="14"/>
        <v>54</v>
      </c>
      <c r="O39" s="2">
        <f t="shared" si="15"/>
        <v>20.674645662868347</v>
      </c>
      <c r="P39" s="2">
        <f>P38-(1-0.27)^(5/10)</f>
        <v>13.810758973077279</v>
      </c>
      <c r="Q39" s="2">
        <f t="shared" si="16"/>
        <v>54</v>
      </c>
      <c r="R39" s="2" t="e">
        <f t="shared" ca="1" si="17"/>
        <v>#N/A</v>
      </c>
      <c r="S39" s="2" t="e">
        <f ca="1">S38-(1-0.4464)^(5/10)</f>
        <v>#N/A</v>
      </c>
      <c r="T39" s="2">
        <f t="shared" si="18"/>
        <v>54</v>
      </c>
      <c r="U39" s="2">
        <f t="shared" si="13"/>
        <v>49.972547627887806</v>
      </c>
      <c r="V39" s="2">
        <f>V38-(1-0.27)^(5/10)</f>
        <v>42.861700226527354</v>
      </c>
      <c r="W39" s="2">
        <f t="shared" si="19"/>
        <v>54</v>
      </c>
      <c r="X39" s="2">
        <f t="shared" ca="1" si="20"/>
        <v>63.918604463616454</v>
      </c>
      <c r="Y39" s="2">
        <f ca="1">Y38-(1-0.4013)^(5/10)</f>
        <v>55.04942578592113</v>
      </c>
      <c r="Z39" s="2">
        <f t="shared" si="21"/>
        <v>54</v>
      </c>
      <c r="AA39">
        <f t="shared" si="22"/>
        <v>72.637476042528007</v>
      </c>
      <c r="AB39" s="2">
        <f>AB38-(1-0.2925)^(5/10)</f>
        <v>59.054461335738743</v>
      </c>
    </row>
    <row r="40" spans="1:28" x14ac:dyDescent="0.3">
      <c r="N40" s="2">
        <f t="shared" si="14"/>
        <v>55</v>
      </c>
      <c r="O40" s="2">
        <f t="shared" si="15"/>
        <v>20.912404087991334</v>
      </c>
      <c r="P40" s="2">
        <f>P39-(1-0.27)^(6/10)</f>
        <v>12.982828789003866</v>
      </c>
      <c r="Q40" s="2">
        <f t="shared" si="16"/>
        <v>55</v>
      </c>
      <c r="R40" s="2" t="e">
        <f t="shared" ca="1" si="17"/>
        <v>#N/A</v>
      </c>
      <c r="S40" s="2" t="e">
        <f ca="1">S39-(1-0.4464)^(6/10)</f>
        <v>#N/A</v>
      </c>
      <c r="T40" s="2">
        <f t="shared" si="18"/>
        <v>55</v>
      </c>
      <c r="U40" s="2">
        <f t="shared" si="13"/>
        <v>50.247396639841192</v>
      </c>
      <c r="V40" s="2">
        <f>V39-(1-0.27)^(6/10)</f>
        <v>42.033770042453938</v>
      </c>
      <c r="W40" s="2">
        <f t="shared" si="19"/>
        <v>55</v>
      </c>
      <c r="X40" s="2">
        <f t="shared" ca="1" si="20"/>
        <v>64.551398647806252</v>
      </c>
      <c r="Y40" s="2">
        <f ca="1">Y39-(1-0.4013)^(6/10)</f>
        <v>54.31436110664842</v>
      </c>
      <c r="Z40" s="2">
        <f t="shared" si="21"/>
        <v>55</v>
      </c>
      <c r="AA40">
        <f t="shared" si="22"/>
        <v>74.090225563378567</v>
      </c>
      <c r="AB40" s="2">
        <f>AB39-(1-0.2925)^(6/10)</f>
        <v>58.2419379556341</v>
      </c>
    </row>
    <row r="41" spans="1:28" x14ac:dyDescent="0.3">
      <c r="N41" s="2">
        <f t="shared" si="14"/>
        <v>56</v>
      </c>
      <c r="O41" s="2">
        <f t="shared" si="15"/>
        <v>21.152896735003235</v>
      </c>
      <c r="P41" s="2">
        <f>P40-(1-0.27)^(7/10)</f>
        <v>12.180548722032336</v>
      </c>
      <c r="Q41" s="2">
        <f t="shared" si="16"/>
        <v>56</v>
      </c>
      <c r="R41" s="2" t="e">
        <f t="shared" ca="1" si="17"/>
        <v>#N/A</v>
      </c>
      <c r="S41" s="2" t="e">
        <f ca="1">S40-(1-0.4464)^(7/10)</f>
        <v>#N/A</v>
      </c>
      <c r="T41" s="2">
        <f t="shared" si="18"/>
        <v>56</v>
      </c>
      <c r="U41" s="2">
        <f t="shared" si="13"/>
        <v>50.523757321360321</v>
      </c>
      <c r="V41" s="2">
        <f>V40-(1-0.27)^(7/10)</f>
        <v>41.231489975482411</v>
      </c>
      <c r="W41" s="2">
        <f t="shared" si="19"/>
        <v>56</v>
      </c>
      <c r="X41" s="2">
        <f t="shared" ca="1" si="20"/>
        <v>65.190457494419533</v>
      </c>
      <c r="Y41" s="2">
        <f ca="1">Y40-(1-0.4013)^(7/10)</f>
        <v>53.616053969710421</v>
      </c>
      <c r="Z41" s="2">
        <f t="shared" si="21"/>
        <v>56</v>
      </c>
      <c r="AA41">
        <f t="shared" si="22"/>
        <v>75.572030074646136</v>
      </c>
      <c r="AB41" s="2">
        <f>AB40-(1-0.2925)^(7/10)</f>
        <v>57.45704847069311</v>
      </c>
    </row>
    <row r="42" spans="1:28" x14ac:dyDescent="0.3">
      <c r="B42" t="s">
        <v>12</v>
      </c>
      <c r="C42" t="s">
        <v>0</v>
      </c>
      <c r="D42" t="s">
        <v>12</v>
      </c>
      <c r="E42" t="s">
        <v>1</v>
      </c>
      <c r="F42" t="s">
        <v>12</v>
      </c>
      <c r="G42" t="s">
        <v>2</v>
      </c>
      <c r="H42" t="s">
        <v>12</v>
      </c>
      <c r="I42" t="s">
        <v>3</v>
      </c>
      <c r="J42" t="s">
        <v>12</v>
      </c>
      <c r="K42" t="s">
        <v>4</v>
      </c>
      <c r="N42" s="2">
        <f t="shared" si="14"/>
        <v>57</v>
      </c>
      <c r="O42" s="2">
        <f t="shared" si="15"/>
        <v>21.396155047455771</v>
      </c>
      <c r="P42" s="2">
        <f>P41-(1-0.27)^(8/10)</f>
        <v>11.403124105510843</v>
      </c>
      <c r="Q42" s="2">
        <f t="shared" si="16"/>
        <v>57</v>
      </c>
      <c r="R42" s="2" t="e">
        <f t="shared" ca="1" si="17"/>
        <v>#N/A</v>
      </c>
      <c r="S42" s="2" t="e">
        <f ca="1">S41-(1-0.4464)^(8/10)</f>
        <v>#N/A</v>
      </c>
      <c r="T42" s="2">
        <f t="shared" si="18"/>
        <v>57</v>
      </c>
      <c r="U42" s="2">
        <f t="shared" si="13"/>
        <v>50.801637986627803</v>
      </c>
      <c r="V42" s="2">
        <f>V41-(1-0.27)^(8/10)</f>
        <v>40.454065358960918</v>
      </c>
      <c r="W42" s="2">
        <f t="shared" si="19"/>
        <v>57</v>
      </c>
      <c r="X42" s="2">
        <f t="shared" ca="1" si="20"/>
        <v>65.835843023614288</v>
      </c>
      <c r="Y42" s="2">
        <f ca="1">Y41-(1-0.4013)^(8/10)</f>
        <v>52.952666282546595</v>
      </c>
      <c r="Z42" s="2">
        <f t="shared" si="21"/>
        <v>57</v>
      </c>
      <c r="AA42">
        <f t="shared" si="22"/>
        <v>77.083470676139058</v>
      </c>
      <c r="AB42" s="2">
        <f>AB41-(1-0.2925)^(8/10)</f>
        <v>56.698853052991289</v>
      </c>
    </row>
    <row r="43" spans="1:28" x14ac:dyDescent="0.3">
      <c r="B43">
        <f>B27</f>
        <v>48</v>
      </c>
      <c r="C43">
        <f>B28</f>
        <v>19.303797468354439</v>
      </c>
      <c r="D43">
        <f>B43</f>
        <v>48</v>
      </c>
      <c r="E43" t="e">
        <f ca="1">B29</f>
        <v>#N/A</v>
      </c>
      <c r="F43">
        <f>B27</f>
        <v>48</v>
      </c>
      <c r="G43">
        <f>B30</f>
        <v>48.354738721804509</v>
      </c>
      <c r="H43">
        <f>B27</f>
        <v>48</v>
      </c>
      <c r="I43">
        <f ca="1">B31</f>
        <v>60.25</v>
      </c>
      <c r="J43">
        <f>B27</f>
        <v>48</v>
      </c>
      <c r="K43">
        <f>B32</f>
        <v>64.5</v>
      </c>
      <c r="N43" s="2">
        <f t="shared" si="14"/>
        <v>58</v>
      </c>
      <c r="O43" s="2">
        <f t="shared" si="15"/>
        <v>21.642210830501512</v>
      </c>
      <c r="P43" s="2">
        <f>P42-(1-0.27)^(9/10)</f>
        <v>10.649784892366664</v>
      </c>
      <c r="Q43" s="2">
        <f t="shared" si="16"/>
        <v>58</v>
      </c>
      <c r="R43" s="2" t="e">
        <f t="shared" ca="1" si="17"/>
        <v>#N/A</v>
      </c>
      <c r="S43" s="2" t="e">
        <f ca="1">S42-(1-0.4464)^(9/10)</f>
        <v>#N/A</v>
      </c>
      <c r="T43" s="2">
        <f t="shared" si="18"/>
        <v>58</v>
      </c>
      <c r="U43" s="2">
        <f t="shared" si="13"/>
        <v>51.081046995554253</v>
      </c>
      <c r="V43" s="2">
        <f>V42-(1-0.27)^(9/10)</f>
        <v>39.700726145816738</v>
      </c>
      <c r="W43" s="2">
        <f t="shared" si="19"/>
        <v>58</v>
      </c>
      <c r="X43" s="2">
        <f t="shared" ca="1" si="20"/>
        <v>66.487617869548075</v>
      </c>
      <c r="Y43" s="2">
        <f ca="1">Y42-(1-0.4013)^(9/10)</f>
        <v>52.322451867997877</v>
      </c>
      <c r="Z43" s="2">
        <f t="shared" si="21"/>
        <v>58</v>
      </c>
      <c r="AA43">
        <f t="shared" si="22"/>
        <v>78.625140089661841</v>
      </c>
      <c r="AB43" s="2">
        <f>AB42-(1-0.2925)^(9/10)</f>
        <v>55.966443838122963</v>
      </c>
    </row>
    <row r="44" spans="1:28" x14ac:dyDescent="0.3">
      <c r="B44">
        <f>C27</f>
        <v>58</v>
      </c>
      <c r="C44">
        <f>C28</f>
        <v>21.5237341772152</v>
      </c>
      <c r="D44">
        <f>B44</f>
        <v>58</v>
      </c>
      <c r="E44" t="e">
        <f ca="1">C29</f>
        <v>#N/A</v>
      </c>
      <c r="F44">
        <f>C27</f>
        <v>58</v>
      </c>
      <c r="G44">
        <f>C30</f>
        <v>51.014249351503757</v>
      </c>
      <c r="H44">
        <f>C27</f>
        <v>58</v>
      </c>
      <c r="I44">
        <f ca="1">C31</f>
        <v>66.214749999999995</v>
      </c>
      <c r="J44">
        <f>C27</f>
        <v>58</v>
      </c>
      <c r="K44">
        <f>C32</f>
        <v>77.400000000000006</v>
      </c>
    </row>
    <row r="45" spans="1:28" x14ac:dyDescent="0.3">
      <c r="B45">
        <f>D27</f>
        <v>68</v>
      </c>
      <c r="C45">
        <f>D28</f>
        <v>28.454376582278496</v>
      </c>
      <c r="D45">
        <f>D27</f>
        <v>68</v>
      </c>
      <c r="E45" t="e">
        <f ca="1">D29</f>
        <v>#N/A</v>
      </c>
      <c r="F45">
        <f>D27</f>
        <v>68</v>
      </c>
      <c r="G45">
        <f>D30</f>
        <v>56.625816780169174</v>
      </c>
      <c r="H45">
        <f>D27</f>
        <v>68</v>
      </c>
      <c r="I45">
        <f ca="1">D31</f>
        <v>79.325270499999988</v>
      </c>
      <c r="J45">
        <f>D27</f>
        <v>68</v>
      </c>
      <c r="K45">
        <f>D32</f>
        <v>123.84</v>
      </c>
    </row>
    <row r="46" spans="1:28" x14ac:dyDescent="0.3">
      <c r="B46">
        <f>E27</f>
        <v>78</v>
      </c>
      <c r="C46">
        <f>E28</f>
        <v>37.616685841772174</v>
      </c>
      <c r="D46">
        <f>E27</f>
        <v>78</v>
      </c>
      <c r="E46" t="e">
        <f ca="1">E29</f>
        <v>#N/A</v>
      </c>
      <c r="F46">
        <f>E27</f>
        <v>78</v>
      </c>
      <c r="G46">
        <f>E30</f>
        <v>62.854656625987786</v>
      </c>
      <c r="H46">
        <f>E27</f>
        <v>78</v>
      </c>
      <c r="I46">
        <f ca="1">E31</f>
        <v>95.031674058999982</v>
      </c>
      <c r="J46">
        <f>E27</f>
        <v>78</v>
      </c>
      <c r="K46">
        <f>E32</f>
        <v>198.14400000000001</v>
      </c>
    </row>
    <row r="47" spans="1:28" x14ac:dyDescent="0.3">
      <c r="B47">
        <f>F27</f>
        <v>88</v>
      </c>
      <c r="C47">
        <f>F28</f>
        <v>49.729258682822817</v>
      </c>
      <c r="D47">
        <f>F27</f>
        <v>88</v>
      </c>
      <c r="E47" t="e">
        <f ca="1">F29</f>
        <v>#N/A</v>
      </c>
      <c r="F47">
        <f>F27</f>
        <v>88</v>
      </c>
      <c r="G47">
        <f ca="1">F31</f>
        <v>113.84794552268198</v>
      </c>
      <c r="H47">
        <f>F27</f>
        <v>88</v>
      </c>
      <c r="I47">
        <f ca="1">F31</f>
        <v>113.84794552268198</v>
      </c>
      <c r="J47">
        <f>F27</f>
        <v>88</v>
      </c>
      <c r="K47">
        <f>F32</f>
        <v>317.03039999999999</v>
      </c>
    </row>
    <row r="54" spans="4:5" x14ac:dyDescent="0.3">
      <c r="D54" t="s">
        <v>227</v>
      </c>
      <c r="E54" t="e">
        <f ca="1">_xlfn.LET(_xlpm.ChronAge, B27, _xlpm.BioAge, MEDIAN(25, T4, 90), MAX(1, MIN(100, (100 * ((_xlpm.ChronAge + 30) - _xlpm.BioAge) / 60))))</f>
        <v>#N/A</v>
      </c>
    </row>
    <row r="55" spans="4:5" x14ac:dyDescent="0.3">
      <c r="D55" t="s">
        <v>226</v>
      </c>
      <c r="E55" t="e">
        <f ca="1">_xlfn.LET(_xlpm.ChronAge, B27, _xlpm.BioAge, MEDIAN(25, T4, 90), MAX(300, MIN(850, 600 + (10 * (_xlpm.ChronAge - _xlpm.BioAge)))))</f>
        <v>#N/A</v>
      </c>
    </row>
  </sheetData>
  <mergeCells count="4">
    <mergeCell ref="A23:F23"/>
    <mergeCell ref="I26:J26"/>
    <mergeCell ref="I27:J32"/>
    <mergeCell ref="N31:AA3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B671-5D0A-486D-8F58-B04F1760DE61}">
  <dimension ref="A1:AB55"/>
  <sheetViews>
    <sheetView topLeftCell="A32" zoomScale="78" zoomScaleNormal="78" workbookViewId="0">
      <selection activeCell="D56" sqref="D56"/>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88671875" bestFit="1" customWidth="1"/>
    <col min="9" max="9" width="21.88671875" customWidth="1"/>
    <col min="10" max="10" width="28.777343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16</v>
      </c>
      <c r="D2" s="35">
        <f>C2-(C2/100*1)</f>
        <v>15.84</v>
      </c>
      <c r="E2" s="35">
        <f t="shared" ref="E2:L2" si="0">D2-(D2/100*1)</f>
        <v>15.6816</v>
      </c>
      <c r="F2" s="35">
        <f t="shared" si="0"/>
        <v>15.524784</v>
      </c>
      <c r="G2" s="35">
        <f t="shared" si="0"/>
        <v>15.369536160000001</v>
      </c>
      <c r="H2" s="36">
        <f t="shared" si="0"/>
        <v>15.2158407984</v>
      </c>
      <c r="I2" s="35">
        <f t="shared" si="0"/>
        <v>15.063682390416</v>
      </c>
      <c r="J2" s="35">
        <f t="shared" si="0"/>
        <v>14.91304556651184</v>
      </c>
      <c r="K2" s="35">
        <f t="shared" si="0"/>
        <v>14.763915110846723</v>
      </c>
      <c r="L2" s="35">
        <f t="shared" si="0"/>
        <v>14.616275959738255</v>
      </c>
      <c r="M2" s="33">
        <f>C2-(C2/100*M1)</f>
        <v>14.4</v>
      </c>
      <c r="N2" s="8"/>
      <c r="O2" s="21"/>
      <c r="Q2" s="3" t="s">
        <v>0</v>
      </c>
      <c r="R2" s="16">
        <f>B27+ ((1 -((C2 / 22.8) * 0.7 )-((C3 / 100) * 0.3 )) * 100)</f>
        <v>95.377192982456137</v>
      </c>
    </row>
    <row r="3" spans="1:20" x14ac:dyDescent="0.3">
      <c r="A3" s="3" t="s">
        <v>0</v>
      </c>
      <c r="B3" s="3" t="s">
        <v>16</v>
      </c>
      <c r="C3" s="9">
        <v>65</v>
      </c>
      <c r="D3" s="35">
        <f t="shared" ref="D3:K3" si="1">C3-(C3/100*1.5)</f>
        <v>64.025000000000006</v>
      </c>
      <c r="E3" s="35">
        <f t="shared" si="1"/>
        <v>63.064625000000007</v>
      </c>
      <c r="F3" s="35">
        <f t="shared" si="1"/>
        <v>62.118655625000009</v>
      </c>
      <c r="G3" s="35">
        <f t="shared" si="1"/>
        <v>61.18687579062501</v>
      </c>
      <c r="H3" s="36">
        <f t="shared" si="1"/>
        <v>60.269072653765633</v>
      </c>
      <c r="I3" s="35">
        <f t="shared" si="1"/>
        <v>59.365036563959151</v>
      </c>
      <c r="J3" s="35">
        <f t="shared" si="1"/>
        <v>58.474561015499766</v>
      </c>
      <c r="K3" s="35">
        <f t="shared" si="1"/>
        <v>57.597442600267271</v>
      </c>
      <c r="L3" s="35">
        <f>K3-(K3/100*1.5)</f>
        <v>56.733480961263261</v>
      </c>
      <c r="M3" s="33">
        <f>C3-(C3/100*M1)</f>
        <v>58.5</v>
      </c>
      <c r="N3" s="8"/>
      <c r="O3" s="21"/>
      <c r="Q3" s="4" t="s">
        <v>1</v>
      </c>
      <c r="R3" s="4">
        <f>((O4/100*50)+(O5/100*25)+(O6/100*25))</f>
        <v>87.5</v>
      </c>
      <c r="T3" s="23" t="s">
        <v>8</v>
      </c>
    </row>
    <row r="4" spans="1:20" ht="18" customHeight="1" x14ac:dyDescent="0.3">
      <c r="A4" s="4" t="s">
        <v>17</v>
      </c>
      <c r="B4" s="4" t="s">
        <v>18</v>
      </c>
      <c r="C4" s="10">
        <v>14</v>
      </c>
      <c r="D4" s="35">
        <f>C4-(C4/100*1)</f>
        <v>13.86</v>
      </c>
      <c r="E4" s="35">
        <f t="shared" ref="E4:L4" si="2">D4-(D4/100*1)</f>
        <v>13.721399999999999</v>
      </c>
      <c r="F4" s="35">
        <f t="shared" si="2"/>
        <v>13.584185999999999</v>
      </c>
      <c r="G4" s="35">
        <f t="shared" si="2"/>
        <v>13.44834414</v>
      </c>
      <c r="H4" s="36">
        <f t="shared" si="2"/>
        <v>13.313860698599999</v>
      </c>
      <c r="I4" s="35">
        <f t="shared" si="2"/>
        <v>13.180722091613999</v>
      </c>
      <c r="J4" s="35">
        <f t="shared" si="2"/>
        <v>13.048914870697859</v>
      </c>
      <c r="K4" s="35">
        <f t="shared" si="2"/>
        <v>12.91842572199088</v>
      </c>
      <c r="L4" s="35">
        <f t="shared" si="2"/>
        <v>12.789241464770972</v>
      </c>
      <c r="M4" s="33">
        <f>C4-(C4/100*M1)</f>
        <v>12.6</v>
      </c>
      <c r="N4" s="8"/>
      <c r="O4" s="18">
        <v>85</v>
      </c>
      <c r="Q4" s="5" t="s">
        <v>2</v>
      </c>
      <c r="R4" s="5">
        <f>B27 - 9*R11</f>
        <v>60.763138157894737</v>
      </c>
      <c r="T4" s="1">
        <f ca="1">(R2/100*20)+(R3/100*20)+(R4/100*25)+(R5/100*20)+(R6/100*15)</f>
        <v>82.641223135964907</v>
      </c>
    </row>
    <row r="5" spans="1:20" x14ac:dyDescent="0.3">
      <c r="A5" s="4" t="s">
        <v>17</v>
      </c>
      <c r="B5" s="4" t="s">
        <v>19</v>
      </c>
      <c r="C5" s="10">
        <v>1.2</v>
      </c>
      <c r="D5" s="35">
        <f>C5-(C5/100*1.2)</f>
        <v>1.1856</v>
      </c>
      <c r="E5" s="35">
        <f t="shared" ref="E5:L6" si="3">D5-(D5/100*1.2)</f>
        <v>1.1713727999999999</v>
      </c>
      <c r="F5" s="35">
        <f t="shared" si="3"/>
        <v>1.1573163263999999</v>
      </c>
      <c r="G5" s="35">
        <f t="shared" si="3"/>
        <v>1.1434285304831999</v>
      </c>
      <c r="H5" s="36">
        <f t="shared" si="3"/>
        <v>1.1297073881174016</v>
      </c>
      <c r="I5" s="35">
        <f t="shared" si="3"/>
        <v>1.1161508994599927</v>
      </c>
      <c r="J5" s="35">
        <f t="shared" si="3"/>
        <v>1.1027570886664728</v>
      </c>
      <c r="K5" s="35">
        <f t="shared" si="3"/>
        <v>1.0895240036024751</v>
      </c>
      <c r="L5" s="35">
        <f t="shared" si="3"/>
        <v>1.0764497155592454</v>
      </c>
      <c r="M5" s="34">
        <f>C5-(C5/100*12)</f>
        <v>1.056</v>
      </c>
      <c r="N5" s="8"/>
      <c r="O5" s="18">
        <v>90</v>
      </c>
      <c r="Q5" s="6" t="s">
        <v>29</v>
      </c>
      <c r="R5" s="6">
        <f ca="1">((O14/100*30)+(O15/100*25)+(O16/100*30)+(O17/100*15))</f>
        <v>89.5</v>
      </c>
    </row>
    <row r="6" spans="1:20" x14ac:dyDescent="0.3">
      <c r="A6" s="4" t="s">
        <v>17</v>
      </c>
      <c r="B6" s="4" t="s">
        <v>20</v>
      </c>
      <c r="C6" s="10">
        <v>5</v>
      </c>
      <c r="D6" s="35">
        <f>C6-(C6/100*1.2)</f>
        <v>4.9400000000000004</v>
      </c>
      <c r="E6" s="35">
        <f t="shared" si="3"/>
        <v>4.8807200000000002</v>
      </c>
      <c r="F6" s="35">
        <f t="shared" si="3"/>
        <v>4.8221513600000003</v>
      </c>
      <c r="G6" s="35">
        <f t="shared" si="3"/>
        <v>4.7642855436800007</v>
      </c>
      <c r="H6" s="36">
        <f t="shared" si="3"/>
        <v>4.7071141171558404</v>
      </c>
      <c r="I6" s="35">
        <f t="shared" si="3"/>
        <v>4.6506287477499706</v>
      </c>
      <c r="J6" s="35">
        <f t="shared" si="3"/>
        <v>4.5948212027769708</v>
      </c>
      <c r="K6" s="35">
        <f t="shared" si="3"/>
        <v>4.5396833483436474</v>
      </c>
      <c r="L6" s="35">
        <f t="shared" si="3"/>
        <v>4.4852071481635241</v>
      </c>
      <c r="M6" s="34">
        <f>C6-(C6/100*12)</f>
        <v>4.4000000000000004</v>
      </c>
      <c r="N6" s="8"/>
      <c r="O6" s="18">
        <v>90</v>
      </c>
      <c r="Q6" s="7" t="s">
        <v>4</v>
      </c>
      <c r="R6" s="7">
        <f>((O18/100*60)+(O19/100*40))</f>
        <v>86.5</v>
      </c>
    </row>
    <row r="7" spans="1:20" x14ac:dyDescent="0.3">
      <c r="A7" s="5" t="s">
        <v>21</v>
      </c>
      <c r="B7" s="5" t="s">
        <v>22</v>
      </c>
      <c r="C7" s="11">
        <v>28</v>
      </c>
      <c r="D7" s="35"/>
      <c r="E7" s="35"/>
      <c r="F7" s="35"/>
      <c r="G7" s="35"/>
      <c r="H7" s="34">
        <f>C7+(C7/100*3)</f>
        <v>28.84</v>
      </c>
      <c r="I7" s="35"/>
      <c r="J7" s="35"/>
      <c r="K7" s="35"/>
      <c r="L7" s="37"/>
      <c r="M7" s="34">
        <f>C7+(C7/100*6)</f>
        <v>29.68</v>
      </c>
      <c r="N7" s="8"/>
      <c r="O7" s="22"/>
    </row>
    <row r="8" spans="1:20" x14ac:dyDescent="0.3">
      <c r="A8" s="5" t="s">
        <v>21</v>
      </c>
      <c r="B8" s="5" t="s">
        <v>23</v>
      </c>
      <c r="C8" s="11">
        <v>0.5</v>
      </c>
      <c r="D8" s="35"/>
      <c r="E8" s="35"/>
      <c r="F8" s="35"/>
      <c r="G8" s="35"/>
      <c r="H8" s="34">
        <f>C8+(C8/100*2)</f>
        <v>0.51</v>
      </c>
      <c r="I8" s="35"/>
      <c r="J8" s="35"/>
      <c r="K8" s="35"/>
      <c r="L8" s="37"/>
      <c r="M8" s="34">
        <f>C8+(C8/100*4)</f>
        <v>0.52</v>
      </c>
      <c r="N8" s="8"/>
      <c r="O8" s="22">
        <f xml:space="preserve">
IF(C8&lt;=0.4,0,
IF(C8&lt;=0.5,20*(C8-0.4)/0.1,
IF(C8&lt;=0.6,20+40*(C8-0.5)/0.1,
60+40*(MIN(C8,0.75)-0.6)/0.15)))</f>
        <v>19.999999999999993</v>
      </c>
    </row>
    <row r="9" spans="1:20" x14ac:dyDescent="0.3">
      <c r="A9" s="5" t="s">
        <v>21</v>
      </c>
      <c r="B9" s="5" t="s">
        <v>24</v>
      </c>
      <c r="C9" s="11">
        <v>5.2</v>
      </c>
      <c r="D9" s="35"/>
      <c r="E9" s="35"/>
      <c r="F9" s="35"/>
      <c r="G9" s="35"/>
      <c r="H9" s="35" t="s">
        <v>228</v>
      </c>
      <c r="I9" s="35"/>
      <c r="J9" s="35"/>
      <c r="K9" s="35"/>
      <c r="L9" s="37"/>
      <c r="M9" s="34"/>
      <c r="N9" s="8"/>
      <c r="O9" s="22"/>
    </row>
    <row r="10" spans="1:20" x14ac:dyDescent="0.3">
      <c r="A10" s="5" t="s">
        <v>21</v>
      </c>
      <c r="B10" s="5" t="s">
        <v>25</v>
      </c>
      <c r="C10" s="11">
        <v>5.6</v>
      </c>
      <c r="D10" s="35"/>
      <c r="E10" s="35"/>
      <c r="F10" s="35"/>
      <c r="G10" s="35"/>
      <c r="H10" s="34">
        <f>C10+(C10/100*2.5)</f>
        <v>5.7399999999999993</v>
      </c>
      <c r="I10" s="35"/>
      <c r="J10" s="35"/>
      <c r="K10" s="35"/>
      <c r="L10" s="37"/>
      <c r="M10" s="34">
        <f>C10+(C10/100*5)</f>
        <v>5.88</v>
      </c>
      <c r="N10" s="8"/>
      <c r="O10" s="22">
        <f xml:space="preserve">
IF(C10&lt;5.7,10*(C10/5.7),
IF(C10&lt;6.5,10+40*(C10-5.7)/0.8,
50+50*(MIN(C10,9)-6.5)/2.5))</f>
        <v>9.8245614035087705</v>
      </c>
      <c r="Q10" t="s">
        <v>89</v>
      </c>
      <c r="R10" t="s">
        <v>90</v>
      </c>
    </row>
    <row r="11" spans="1:20" x14ac:dyDescent="0.3">
      <c r="A11" s="5" t="s">
        <v>21</v>
      </c>
      <c r="B11" s="5" t="s">
        <v>26</v>
      </c>
      <c r="C11" s="11">
        <v>1.5</v>
      </c>
      <c r="D11" s="35"/>
      <c r="E11" s="35"/>
      <c r="F11" s="35"/>
      <c r="G11" s="35"/>
      <c r="H11" s="34">
        <f>C11+(C11/100*7)</f>
        <v>1.605</v>
      </c>
      <c r="I11" s="35"/>
      <c r="J11" s="35"/>
      <c r="K11" s="35"/>
      <c r="L11" s="37"/>
      <c r="M11" s="34">
        <f>C11+(C11/100*14)</f>
        <v>1.71</v>
      </c>
      <c r="N11" s="8"/>
      <c r="O11" s="5">
        <f xml:space="preserve">
IF(C11&lt;1.6,10*(C11/1.6),
IF(C11&lt;3,10+40*(C11-1.6)/1.4,
50+50*(MIN(C11,7)-3)/4))</f>
        <v>9.375</v>
      </c>
      <c r="Q11">
        <f>(0.3*P12)+(0.2*O8)+(0.15*O10)+(0.25*O11)+(0.1*O13)</f>
        <v>17.017434210526314</v>
      </c>
      <c r="R11">
        <f xml:space="preserve">
IF(Q11&lt;=10,1.5-0.1*Q11,
IF(Q11&lt;=60,0.5-0.02*(Q11-10),
-0.5-0.03*(Q11-60)))</f>
        <v>0.35965131578947374</v>
      </c>
    </row>
    <row r="12" spans="1:20" x14ac:dyDescent="0.3">
      <c r="A12" s="5" t="s">
        <v>21</v>
      </c>
      <c r="B12" s="5" t="s">
        <v>27</v>
      </c>
      <c r="C12" s="11">
        <v>0.9</v>
      </c>
      <c r="D12" s="35"/>
      <c r="E12" s="35"/>
      <c r="F12" s="35"/>
      <c r="G12" s="35"/>
      <c r="H12" s="34">
        <f>C12+(C12/100*3)</f>
        <v>0.92700000000000005</v>
      </c>
      <c r="I12" s="35"/>
      <c r="J12" s="35"/>
      <c r="K12" s="35"/>
      <c r="L12" s="37"/>
      <c r="M12" s="34">
        <f>C12+(C12/100*6)</f>
        <v>0.95400000000000007</v>
      </c>
      <c r="N12" s="8"/>
      <c r="O12" s="5">
        <f>C12*100</f>
        <v>90</v>
      </c>
      <c r="P12" s="5">
        <f xml:space="preserve">
IF(O12&lt;80,5*(O12/80),
IF(O12&lt;100,10+20*(O12-80)/20,
IF(O12&lt;130,30+25*(O12-100)/30,
IF(O12&lt;160,55+25*(O12-130)/30,
IF(O12&lt;200,80+20*(O12-160)/40,100)))))</f>
        <v>20</v>
      </c>
    </row>
    <row r="13" spans="1:20" x14ac:dyDescent="0.3">
      <c r="A13" s="5" t="s">
        <v>21</v>
      </c>
      <c r="B13" s="5" t="s">
        <v>28</v>
      </c>
      <c r="C13" s="11">
        <v>2.1</v>
      </c>
      <c r="D13" s="35"/>
      <c r="E13" s="35"/>
      <c r="F13" s="35"/>
      <c r="G13" s="35"/>
      <c r="H13" s="34">
        <f>C13+(C13/100*9)</f>
        <v>2.2890000000000001</v>
      </c>
      <c r="I13" s="35"/>
      <c r="J13" s="35"/>
      <c r="K13" s="35"/>
      <c r="L13" s="37"/>
      <c r="M13" s="34">
        <f>C13+(C13/100*18)</f>
        <v>2.4780000000000002</v>
      </c>
      <c r="N13" s="8"/>
      <c r="O13" s="5">
        <f xml:space="preserve">
IF(C13&lt;1,10*(C13/1),
IF(C13&lt;3,10+40*(C13-1)/2,
50+50*(MIN(C13,10)-3)/7))</f>
        <v>32</v>
      </c>
    </row>
    <row r="14" spans="1:20" x14ac:dyDescent="0.3">
      <c r="A14" s="6" t="s">
        <v>29</v>
      </c>
      <c r="B14" s="6" t="s">
        <v>30</v>
      </c>
      <c r="C14" s="12">
        <v>0.6</v>
      </c>
      <c r="D14" s="35">
        <f>C14-(C14/100*0.6)</f>
        <v>0.59639999999999993</v>
      </c>
      <c r="E14" s="35">
        <f t="shared" ref="E14:L14" si="4">D14-(D14/100*0.6)</f>
        <v>0.59282159999999995</v>
      </c>
      <c r="F14" s="35">
        <f t="shared" si="4"/>
        <v>0.58926467039999997</v>
      </c>
      <c r="G14" s="35">
        <f t="shared" si="4"/>
        <v>0.58572908237760002</v>
      </c>
      <c r="H14" s="36">
        <f t="shared" si="4"/>
        <v>0.5822147078833344</v>
      </c>
      <c r="I14" s="35">
        <f t="shared" si="4"/>
        <v>0.57872141963603441</v>
      </c>
      <c r="J14" s="35">
        <f t="shared" si="4"/>
        <v>0.5752490911182182</v>
      </c>
      <c r="K14" s="35">
        <f t="shared" si="4"/>
        <v>0.57179759657150886</v>
      </c>
      <c r="L14" s="35">
        <f t="shared" si="4"/>
        <v>0.56836681099207975</v>
      </c>
      <c r="M14" s="34">
        <f>C14-(C14/100*6)</f>
        <v>0.56399999999999995</v>
      </c>
      <c r="N14" s="8"/>
      <c r="O14" s="12">
        <f ca="1">IFERROR(FORECAST(C14, OFFSET([1]Mobility_Normative_Data!$A$3, MATCH(C14, [1]Mobility_Normative_Data!$C$3:$C$17, -1)-1, 0, 2), OFFSET([1]Mobility_Normative_Data!$C$3, MATCH(C14, [1]Mobility_Normative_Data!$C$3:$C$17, -1)-1, 0, 2)), INDEX([1]Mobility_Normative_Data!$A$3:$A$17, MATCH(C14, [1]Mobility_Normative_Data!$C$3:$C$17, -1)))</f>
        <v>80</v>
      </c>
    </row>
    <row r="15" spans="1:20" x14ac:dyDescent="0.3">
      <c r="A15" s="6" t="s">
        <v>29</v>
      </c>
      <c r="B15" s="6" t="s">
        <v>31</v>
      </c>
      <c r="C15" s="12">
        <v>16</v>
      </c>
      <c r="D15" s="35">
        <f>C15-(C15/100*1)</f>
        <v>15.84</v>
      </c>
      <c r="E15" s="35">
        <f>D15-(D15/100*1)</f>
        <v>15.6816</v>
      </c>
      <c r="F15" s="35">
        <f t="shared" ref="F15:L15" si="5">E15-(E15/100*1)</f>
        <v>15.524784</v>
      </c>
      <c r="G15" s="35">
        <f t="shared" si="5"/>
        <v>15.369536160000001</v>
      </c>
      <c r="H15" s="36">
        <f t="shared" si="5"/>
        <v>15.2158407984</v>
      </c>
      <c r="I15" s="35">
        <f t="shared" si="5"/>
        <v>15.063682390416</v>
      </c>
      <c r="J15" s="35">
        <f t="shared" si="5"/>
        <v>14.91304556651184</v>
      </c>
      <c r="K15" s="35">
        <f t="shared" si="5"/>
        <v>14.763915110846723</v>
      </c>
      <c r="L15" s="35">
        <f t="shared" si="5"/>
        <v>14.616275959738255</v>
      </c>
      <c r="M15" s="34">
        <f>C15+(C15/100*10)</f>
        <v>17.600000000000001</v>
      </c>
      <c r="N15" s="8"/>
      <c r="O15" s="12">
        <v>100</v>
      </c>
    </row>
    <row r="16" spans="1:20" x14ac:dyDescent="0.3">
      <c r="A16" s="6" t="s">
        <v>29</v>
      </c>
      <c r="B16" s="6" t="s">
        <v>32</v>
      </c>
      <c r="C16" s="12">
        <v>2</v>
      </c>
      <c r="D16" s="35">
        <f>C16+(C16/100*2)</f>
        <v>2.04</v>
      </c>
      <c r="E16" s="35">
        <f>D16+(D16/100*2)</f>
        <v>2.0808</v>
      </c>
      <c r="F16" s="35">
        <f t="shared" ref="F16:L16" si="6">E16+(E16/100*2)</f>
        <v>2.1224159999999999</v>
      </c>
      <c r="G16" s="35">
        <f t="shared" si="6"/>
        <v>2.16486432</v>
      </c>
      <c r="H16" s="36">
        <f t="shared" si="6"/>
        <v>2.2081616064</v>
      </c>
      <c r="I16" s="35">
        <f t="shared" si="6"/>
        <v>2.2523248385280001</v>
      </c>
      <c r="J16" s="35">
        <f t="shared" si="6"/>
        <v>2.2973713352985601</v>
      </c>
      <c r="K16" s="35">
        <f t="shared" si="6"/>
        <v>2.3433187620045315</v>
      </c>
      <c r="L16" s="35">
        <f t="shared" si="6"/>
        <v>2.3901851372446221</v>
      </c>
      <c r="M16" s="34">
        <f>C16+(C16/100*20)</f>
        <v>2.4</v>
      </c>
      <c r="N16" s="8"/>
      <c r="O16" s="12">
        <v>90</v>
      </c>
    </row>
    <row r="17" spans="1:28" x14ac:dyDescent="0.3">
      <c r="A17" s="6" t="s">
        <v>29</v>
      </c>
      <c r="B17" s="6" t="s">
        <v>33</v>
      </c>
      <c r="C17" s="12">
        <v>0</v>
      </c>
      <c r="D17" s="35">
        <f>C17-(C17/100*1)</f>
        <v>0</v>
      </c>
      <c r="E17" s="35">
        <f t="shared" ref="E17:L17" si="7">D17-(D17/100*1)</f>
        <v>0</v>
      </c>
      <c r="F17" s="35">
        <f t="shared" si="7"/>
        <v>0</v>
      </c>
      <c r="G17" s="35">
        <f t="shared" si="7"/>
        <v>0</v>
      </c>
      <c r="H17" s="36">
        <f t="shared" si="7"/>
        <v>0</v>
      </c>
      <c r="I17" s="35">
        <f t="shared" si="7"/>
        <v>0</v>
      </c>
      <c r="J17" s="35">
        <f t="shared" si="7"/>
        <v>0</v>
      </c>
      <c r="K17" s="35">
        <f t="shared" si="7"/>
        <v>0</v>
      </c>
      <c r="L17" s="35">
        <f t="shared" si="7"/>
        <v>0</v>
      </c>
      <c r="M17" s="34">
        <f>C17+(C17/100*10)</f>
        <v>0</v>
      </c>
      <c r="N17" s="8"/>
      <c r="O17" s="12">
        <v>90</v>
      </c>
    </row>
    <row r="18" spans="1:28" x14ac:dyDescent="0.3">
      <c r="A18" s="7" t="s">
        <v>34</v>
      </c>
      <c r="B18" s="7" t="s">
        <v>35</v>
      </c>
      <c r="C18" s="13">
        <v>-1.5</v>
      </c>
      <c r="D18" s="35">
        <f>C18+-0.02</f>
        <v>-1.52</v>
      </c>
      <c r="E18" s="35">
        <f t="shared" ref="E18:L18" si="8">D18+-0.02</f>
        <v>-1.54</v>
      </c>
      <c r="F18" s="35">
        <f t="shared" si="8"/>
        <v>-1.56</v>
      </c>
      <c r="G18" s="35">
        <f t="shared" si="8"/>
        <v>-1.58</v>
      </c>
      <c r="H18" s="36">
        <f t="shared" si="8"/>
        <v>-1.6</v>
      </c>
      <c r="I18" s="35">
        <f t="shared" si="8"/>
        <v>-1.62</v>
      </c>
      <c r="J18" s="35">
        <f t="shared" si="8"/>
        <v>-1.6400000000000001</v>
      </c>
      <c r="K18" s="35">
        <f t="shared" si="8"/>
        <v>-1.6600000000000001</v>
      </c>
      <c r="L18" s="35">
        <f t="shared" si="8"/>
        <v>-1.6800000000000002</v>
      </c>
      <c r="M18" s="34">
        <f>C18 +(-0.2)</f>
        <v>-1.7</v>
      </c>
      <c r="N18" s="8"/>
      <c r="O18" s="20">
        <f>MAX(18,B27-(C18*25))</f>
        <v>101.5</v>
      </c>
    </row>
    <row r="19" spans="1:28" x14ac:dyDescent="0.3">
      <c r="A19" s="7" t="s">
        <v>34</v>
      </c>
      <c r="B19" s="7" t="s">
        <v>36</v>
      </c>
      <c r="C19" s="13">
        <v>-1.5</v>
      </c>
      <c r="D19" s="35">
        <f>C19-0.02</f>
        <v>-1.52</v>
      </c>
      <c r="E19" s="35">
        <f t="shared" ref="E19:L19" si="9">D19-0.02</f>
        <v>-1.54</v>
      </c>
      <c r="F19" s="35">
        <f t="shared" si="9"/>
        <v>-1.56</v>
      </c>
      <c r="G19" s="35">
        <f t="shared" si="9"/>
        <v>-1.58</v>
      </c>
      <c r="H19" s="36">
        <f t="shared" si="9"/>
        <v>-1.6</v>
      </c>
      <c r="I19" s="35">
        <f t="shared" si="9"/>
        <v>-1.62</v>
      </c>
      <c r="J19" s="35">
        <f t="shared" si="9"/>
        <v>-1.6400000000000001</v>
      </c>
      <c r="K19" s="35">
        <f t="shared" si="9"/>
        <v>-1.6600000000000001</v>
      </c>
      <c r="L19" s="35">
        <f t="shared" si="9"/>
        <v>-1.6800000000000002</v>
      </c>
      <c r="M19" s="34">
        <f>C19+(-0.2)</f>
        <v>-1.7</v>
      </c>
      <c r="N19" s="8"/>
      <c r="O19" s="20">
        <f>MAX(18,B27-(J1925))</f>
        <v>64</v>
      </c>
    </row>
    <row r="23" spans="1:28" x14ac:dyDescent="0.3">
      <c r="A23" s="43" t="s">
        <v>37</v>
      </c>
      <c r="B23" s="43"/>
      <c r="C23" s="43"/>
      <c r="D23" s="43"/>
      <c r="E23" s="43"/>
      <c r="F23" s="43"/>
    </row>
    <row r="24" spans="1:28" x14ac:dyDescent="0.3">
      <c r="A24" t="s">
        <v>232</v>
      </c>
      <c r="I24" s="50" t="s">
        <v>146</v>
      </c>
      <c r="J24" s="50"/>
      <c r="M24">
        <v>19</v>
      </c>
    </row>
    <row r="25" spans="1:28" x14ac:dyDescent="0.3">
      <c r="B25" t="s">
        <v>5</v>
      </c>
      <c r="C25" t="s">
        <v>6</v>
      </c>
      <c r="D25" t="s">
        <v>9</v>
      </c>
      <c r="E25" t="s">
        <v>10</v>
      </c>
      <c r="F25" t="s">
        <v>11</v>
      </c>
      <c r="I25" s="53" t="s">
        <v>235</v>
      </c>
      <c r="J25" s="54"/>
    </row>
    <row r="26" spans="1:28" x14ac:dyDescent="0.3">
      <c r="A26" t="s">
        <v>43</v>
      </c>
      <c r="B26" t="s">
        <v>143</v>
      </c>
      <c r="I26" s="54"/>
      <c r="J26" s="54"/>
    </row>
    <row r="27" spans="1:28" x14ac:dyDescent="0.3">
      <c r="A27" t="s">
        <v>7</v>
      </c>
      <c r="B27">
        <v>64</v>
      </c>
      <c r="C27">
        <f>B27+10</f>
        <v>74</v>
      </c>
      <c r="D27">
        <f>C27+10</f>
        <v>84</v>
      </c>
      <c r="E27">
        <f>D27+10</f>
        <v>94</v>
      </c>
      <c r="F27">
        <f>E27+10</f>
        <v>104</v>
      </c>
      <c r="I27" s="54"/>
      <c r="J27" s="54"/>
    </row>
    <row r="28" spans="1:28" x14ac:dyDescent="0.3">
      <c r="A28" t="s">
        <v>0</v>
      </c>
      <c r="B28" s="24">
        <f>R2</f>
        <v>95.377192982456137</v>
      </c>
      <c r="C28">
        <f>B28+(B28/100*11.5)</f>
        <v>106.3455701754386</v>
      </c>
      <c r="D28">
        <f>C28+(C28/100*32.2)</f>
        <v>140.58884377192982</v>
      </c>
      <c r="E28">
        <f>D28+(D28/100*32.2)</f>
        <v>185.85845146649123</v>
      </c>
      <c r="F28">
        <f>E28+(E28/100*32.2)</f>
        <v>245.70487283870142</v>
      </c>
      <c r="I28" s="54"/>
      <c r="J28" s="54"/>
    </row>
    <row r="29" spans="1:28" x14ac:dyDescent="0.3">
      <c r="A29" t="s">
        <v>1</v>
      </c>
      <c r="B29">
        <f>R3</f>
        <v>87.5</v>
      </c>
      <c r="C29">
        <f>B29+(B29/100*12.3)</f>
        <v>98.262500000000003</v>
      </c>
      <c r="D29">
        <f>C29+(C29/100*30.8)</f>
        <v>128.52735000000001</v>
      </c>
      <c r="E29">
        <f>D29+(D29/100*30.8)</f>
        <v>168.11377380000002</v>
      </c>
      <c r="F29">
        <f>E29+(E29/100*30.8)</f>
        <v>219.89281613040004</v>
      </c>
      <c r="I29" s="54"/>
      <c r="J29" s="54"/>
    </row>
    <row r="30" spans="1:28" x14ac:dyDescent="0.3">
      <c r="A30" t="s">
        <v>2</v>
      </c>
      <c r="B30">
        <f>R4</f>
        <v>60.763138157894737</v>
      </c>
      <c r="C30">
        <f>B30+(B30/100*5.5)</f>
        <v>64.105110756578952</v>
      </c>
      <c r="D30">
        <f>C30+(C30/100*11)</f>
        <v>71.156672939802633</v>
      </c>
      <c r="E30">
        <f>D30+(D30/100*11)</f>
        <v>78.983906963180928</v>
      </c>
      <c r="F30">
        <f>E30+(E30/100*11)</f>
        <v>87.672136729130827</v>
      </c>
      <c r="I30" s="54"/>
      <c r="J30" s="54"/>
    </row>
    <row r="31" spans="1:28" x14ac:dyDescent="0.3">
      <c r="A31" t="s">
        <v>3</v>
      </c>
      <c r="B31">
        <f ca="1">R5</f>
        <v>89.5</v>
      </c>
      <c r="C31">
        <f ca="1">B31+(B31/100*9.9)</f>
        <v>98.360500000000002</v>
      </c>
      <c r="D31">
        <f ca="1">C31+(C31/100*19.8)</f>
        <v>117.83587900000001</v>
      </c>
      <c r="E31">
        <f ca="1">D31+(D31/100*19.8)</f>
        <v>141.16738304200001</v>
      </c>
      <c r="F31">
        <f ca="1">E31+(E31/100*19.8)</f>
        <v>169.118524884316</v>
      </c>
      <c r="I31" s="54"/>
      <c r="J31" s="54"/>
      <c r="N31" s="46" t="s">
        <v>104</v>
      </c>
      <c r="O31" s="46"/>
      <c r="P31" s="46"/>
      <c r="Q31" s="46"/>
      <c r="R31" s="46"/>
      <c r="S31" s="46"/>
      <c r="T31" s="46"/>
      <c r="U31" s="46"/>
      <c r="V31" s="46"/>
      <c r="W31" s="46"/>
      <c r="X31" s="46"/>
      <c r="Y31" s="46"/>
      <c r="Z31" s="46"/>
      <c r="AA31" s="46"/>
    </row>
    <row r="32" spans="1:28" ht="94.8" customHeight="1" x14ac:dyDescent="0.3">
      <c r="A32" t="s">
        <v>4</v>
      </c>
      <c r="B32">
        <f>R6</f>
        <v>86.5</v>
      </c>
      <c r="C32">
        <f>B32+(B32/100*20)</f>
        <v>103.8</v>
      </c>
      <c r="D32">
        <f>C32+(C32/100*60)</f>
        <v>166.07999999999998</v>
      </c>
      <c r="E32">
        <f>D32+(D32/100*60)</f>
        <v>265.72799999999995</v>
      </c>
      <c r="F32">
        <f>E32+(E32/100*60)</f>
        <v>425.1647999999999</v>
      </c>
      <c r="I32" s="54"/>
      <c r="J32" s="54"/>
      <c r="N32" s="2" t="s">
        <v>103</v>
      </c>
      <c r="O32" s="2" t="s">
        <v>147</v>
      </c>
      <c r="P32" s="2" t="s">
        <v>220</v>
      </c>
      <c r="Q32" s="2" t="s">
        <v>103</v>
      </c>
      <c r="R32" s="2" t="s">
        <v>105</v>
      </c>
      <c r="S32" s="2" t="s">
        <v>221</v>
      </c>
      <c r="T32" s="2" t="s">
        <v>103</v>
      </c>
      <c r="U32" s="2" t="s">
        <v>107</v>
      </c>
      <c r="V32" s="2" t="s">
        <v>222</v>
      </c>
      <c r="W32" s="2" t="s">
        <v>103</v>
      </c>
      <c r="X32" s="2" t="s">
        <v>122</v>
      </c>
      <c r="Y32" s="2" t="s">
        <v>223</v>
      </c>
      <c r="Z32" s="2" t="s">
        <v>103</v>
      </c>
      <c r="AA32" s="2" t="s">
        <v>109</v>
      </c>
      <c r="AB32" s="2" t="s">
        <v>224</v>
      </c>
    </row>
    <row r="33" spans="1:28" x14ac:dyDescent="0.3">
      <c r="N33" s="2">
        <f>B27</f>
        <v>64</v>
      </c>
      <c r="O33" s="27">
        <f>R2</f>
        <v>95.377192982456137</v>
      </c>
      <c r="P33" s="27">
        <f>O33</f>
        <v>95.377192982456137</v>
      </c>
      <c r="Q33" s="2">
        <f>N33</f>
        <v>64</v>
      </c>
      <c r="R33" s="2">
        <f>R3</f>
        <v>87.5</v>
      </c>
      <c r="S33" s="27">
        <f>R33</f>
        <v>87.5</v>
      </c>
      <c r="T33" s="2">
        <f>N33</f>
        <v>64</v>
      </c>
      <c r="U33" s="2">
        <f>R4</f>
        <v>60.763138157894737</v>
      </c>
      <c r="V33" s="27">
        <f>U33</f>
        <v>60.763138157894737</v>
      </c>
      <c r="W33" s="2">
        <f>N33</f>
        <v>64</v>
      </c>
      <c r="X33" s="2">
        <f ca="1">R5</f>
        <v>89.5</v>
      </c>
      <c r="Y33" s="27">
        <f ca="1">X33</f>
        <v>89.5</v>
      </c>
      <c r="Z33" s="2">
        <f>N33</f>
        <v>64</v>
      </c>
      <c r="AA33">
        <f>R6</f>
        <v>86.5</v>
      </c>
      <c r="AB33" s="27">
        <f>AA33</f>
        <v>86.5</v>
      </c>
    </row>
    <row r="34" spans="1:28" x14ac:dyDescent="0.3">
      <c r="N34" s="2">
        <f>N33+1</f>
        <v>65</v>
      </c>
      <c r="O34" s="2">
        <f>O33+(O33*0.0115)</f>
        <v>96.474030701754387</v>
      </c>
      <c r="P34" s="2">
        <f>O33-(1-0.27)^(1/10)</f>
        <v>94.408173997033586</v>
      </c>
      <c r="Q34" s="2">
        <f>Q33+1</f>
        <v>65</v>
      </c>
      <c r="R34" s="2">
        <f>R33+(R33*0.0123)</f>
        <v>88.576250000000002</v>
      </c>
      <c r="S34" s="2">
        <f>R33-(1-0.27)^(1/10)</f>
        <v>86.530981014577449</v>
      </c>
      <c r="T34" s="2">
        <f>T33+1</f>
        <v>65</v>
      </c>
      <c r="U34" s="2">
        <f t="shared" ref="U34:U43" si="10">U33+(U33*0.0055)</f>
        <v>61.097335417763155</v>
      </c>
      <c r="V34" s="2">
        <f>U33-(1-0.27)^(1/10)</f>
        <v>59.794119172472179</v>
      </c>
      <c r="W34" s="2">
        <f>W33+1</f>
        <v>65</v>
      </c>
      <c r="X34" s="2">
        <f ca="1">X33+(X33*0.0099)</f>
        <v>90.386049999999997</v>
      </c>
      <c r="Y34" s="2">
        <f ca="1">X33-(1-0.4013)^(1/10)</f>
        <v>88.550005861213577</v>
      </c>
      <c r="Z34" s="2">
        <f>Z33+1</f>
        <v>65</v>
      </c>
      <c r="AA34">
        <f>AA33+(AA33*0.02)</f>
        <v>88.23</v>
      </c>
      <c r="AB34" s="2">
        <f>AA33-(1-0.2925)^(1/10)</f>
        <v>85.534009969239406</v>
      </c>
    </row>
    <row r="35" spans="1:28" x14ac:dyDescent="0.3">
      <c r="N35" s="2">
        <f t="shared" ref="N35:N43" si="11">N34+1</f>
        <v>66</v>
      </c>
      <c r="O35" s="2">
        <f t="shared" ref="O35:O43" si="12">O34+(O34*0.0115)</f>
        <v>97.583482054824557</v>
      </c>
      <c r="P35" s="2">
        <f>P34-(1-0.27)^(2/10)</f>
        <v>93.469176202924217</v>
      </c>
      <c r="Q35" s="2">
        <f t="shared" ref="Q35:Q43" si="13">Q34+1</f>
        <v>66</v>
      </c>
      <c r="R35" s="2">
        <f t="shared" ref="R35:R43" si="14">R34+(R34*0.0123)</f>
        <v>89.665737875000005</v>
      </c>
      <c r="S35" s="2">
        <f>S34-(1-0.4464)^(2/10)</f>
        <v>85.642518280638583</v>
      </c>
      <c r="T35" s="2">
        <f t="shared" ref="T35:T43" si="15">T34+1</f>
        <v>66</v>
      </c>
      <c r="U35" s="2">
        <f t="shared" si="10"/>
        <v>61.433370762560855</v>
      </c>
      <c r="V35" s="2">
        <f>V34-(1-0.27)^(2/10)</f>
        <v>58.855121378362817</v>
      </c>
      <c r="W35" s="2">
        <f t="shared" ref="W35:W43" si="16">W34+1</f>
        <v>66</v>
      </c>
      <c r="X35" s="2">
        <f t="shared" ref="X35:X43" ca="1" si="17">X34+(X34*0.0099)</f>
        <v>91.280871895000004</v>
      </c>
      <c r="Y35" s="2">
        <f ca="1">Y34-(1-0.4013)^(2/10)</f>
        <v>87.647516997485013</v>
      </c>
      <c r="Z35" s="2">
        <f t="shared" ref="Z35:Z43" si="18">Z34+1</f>
        <v>66</v>
      </c>
      <c r="AA35">
        <f t="shared" ref="AA35:AA43" si="19">AA34+(AA34*0.02)</f>
        <v>89.994600000000005</v>
      </c>
      <c r="AB35" s="2">
        <f>AB34-(1-0.2925)^(2/10)</f>
        <v>84.600873229710544</v>
      </c>
    </row>
    <row r="36" spans="1:28" x14ac:dyDescent="0.3">
      <c r="A36" t="s">
        <v>8</v>
      </c>
      <c r="N36" s="2">
        <f t="shared" si="11"/>
        <v>67</v>
      </c>
      <c r="O36" s="2">
        <f t="shared" si="12"/>
        <v>98.705692098455046</v>
      </c>
      <c r="P36" s="2">
        <f>P35-(1-0.27)^(2/10)</f>
        <v>92.530178408814848</v>
      </c>
      <c r="Q36" s="2">
        <f t="shared" si="13"/>
        <v>67</v>
      </c>
      <c r="R36" s="2">
        <f t="shared" si="14"/>
        <v>90.768626450862499</v>
      </c>
      <c r="S36" s="2">
        <f>S35-(1-0.4464)^(2/10)</f>
        <v>84.754055546699718</v>
      </c>
      <c r="T36" s="2">
        <f t="shared" si="15"/>
        <v>67</v>
      </c>
      <c r="U36" s="2">
        <f t="shared" si="10"/>
        <v>61.771254301754944</v>
      </c>
      <c r="V36" s="2">
        <f>V35-(1-0.27)^(2/10)</f>
        <v>57.916123584253455</v>
      </c>
      <c r="W36" s="2">
        <f t="shared" si="16"/>
        <v>67</v>
      </c>
      <c r="X36" s="2">
        <f t="shared" ca="1" si="17"/>
        <v>92.184552526760498</v>
      </c>
      <c r="Y36" s="2">
        <f ca="1">Y35-(1-0.4013)^(2/10)</f>
        <v>86.745028133756449</v>
      </c>
      <c r="Z36" s="2">
        <f t="shared" si="18"/>
        <v>67</v>
      </c>
      <c r="AA36">
        <f t="shared" si="19"/>
        <v>91.794492000000005</v>
      </c>
      <c r="AB36" s="2">
        <f>AB35-(1-0.2925)^(2/10)</f>
        <v>83.667736490181682</v>
      </c>
    </row>
    <row r="37" spans="1:28" x14ac:dyDescent="0.3">
      <c r="A37" s="1">
        <f ca="1">(B28/100*20)+(B29/100*20)+(B30/100*25)+(B31/100*20)+(B32/100*15)</f>
        <v>82.641223135964907</v>
      </c>
      <c r="N37" s="2">
        <f t="shared" si="11"/>
        <v>68</v>
      </c>
      <c r="O37" s="2">
        <f t="shared" si="12"/>
        <v>99.840807557587283</v>
      </c>
      <c r="P37" s="2">
        <f>P36-(1-0.27)^(3/10)</f>
        <v>91.62027171905298</v>
      </c>
      <c r="Q37" s="2">
        <f t="shared" si="13"/>
        <v>68</v>
      </c>
      <c r="R37" s="2">
        <f t="shared" si="14"/>
        <v>91.885080556208109</v>
      </c>
      <c r="S37" s="2">
        <f>S36-(1-0.4464)^(3/10)</f>
        <v>83.916605667163495</v>
      </c>
      <c r="T37" s="2">
        <f t="shared" si="15"/>
        <v>68</v>
      </c>
      <c r="U37" s="2">
        <f t="shared" si="10"/>
        <v>62.110996200414597</v>
      </c>
      <c r="V37" s="2">
        <f>V36-(1-0.27)^(3/10)</f>
        <v>57.00621689449158</v>
      </c>
      <c r="W37" s="2">
        <f t="shared" si="16"/>
        <v>68</v>
      </c>
      <c r="X37" s="2">
        <f t="shared" ca="1" si="17"/>
        <v>93.097179596775433</v>
      </c>
      <c r="Y37" s="2">
        <f ca="1">Y36-(1-0.4013)^(3/10)</f>
        <v>85.887669002894299</v>
      </c>
      <c r="Z37" s="2">
        <f t="shared" si="18"/>
        <v>68</v>
      </c>
      <c r="AA37">
        <f t="shared" si="19"/>
        <v>93.630381840000013</v>
      </c>
      <c r="AB37" s="2">
        <f>AB36-(1-0.2925)^(3/10)</f>
        <v>82.766335702460353</v>
      </c>
    </row>
    <row r="38" spans="1:28" x14ac:dyDescent="0.3">
      <c r="N38" s="2">
        <f t="shared" si="11"/>
        <v>69</v>
      </c>
      <c r="O38" s="2">
        <f t="shared" si="12"/>
        <v>100.98897684449953</v>
      </c>
      <c r="P38" s="2">
        <f>P37-(1-0.27)^(4/10)</f>
        <v>90.738554861710725</v>
      </c>
      <c r="Q38" s="2">
        <f t="shared" si="13"/>
        <v>69</v>
      </c>
      <c r="R38" s="2">
        <f t="shared" si="14"/>
        <v>93.015267047049463</v>
      </c>
      <c r="S38" s="2">
        <f>S37-(1-0.4464)^(4/10)</f>
        <v>83.127239637565353</v>
      </c>
      <c r="T38" s="2">
        <f t="shared" si="15"/>
        <v>69</v>
      </c>
      <c r="U38" s="2">
        <f t="shared" si="10"/>
        <v>62.452606679516876</v>
      </c>
      <c r="V38" s="2">
        <f>V37-(1-0.27)^(4/10)</f>
        <v>56.124500037149332</v>
      </c>
      <c r="W38" s="2">
        <f t="shared" si="16"/>
        <v>69</v>
      </c>
      <c r="X38" s="2">
        <f t="shared" ca="1" si="17"/>
        <v>94.018841674783516</v>
      </c>
      <c r="Y38" s="2">
        <f ca="1">Y37-(1-0.4013)^(4/10)</f>
        <v>85.073182853740235</v>
      </c>
      <c r="Z38" s="2">
        <f t="shared" si="18"/>
        <v>69</v>
      </c>
      <c r="AA38">
        <f t="shared" si="19"/>
        <v>95.50298947680001</v>
      </c>
      <c r="AB38" s="2">
        <f>AB37-(1-0.2925)^(4/10)</f>
        <v>81.895591527801798</v>
      </c>
    </row>
    <row r="39" spans="1:28" x14ac:dyDescent="0.3">
      <c r="N39" s="2">
        <f t="shared" si="11"/>
        <v>70</v>
      </c>
      <c r="O39" s="2">
        <f t="shared" si="12"/>
        <v>102.15035007821128</v>
      </c>
      <c r="P39" s="2">
        <f>P38-(1-0.27)^(5/10)</f>
        <v>89.884154487178975</v>
      </c>
      <c r="Q39" s="2">
        <f t="shared" si="13"/>
        <v>70</v>
      </c>
      <c r="R39" s="2">
        <f t="shared" si="14"/>
        <v>94.159354831728166</v>
      </c>
      <c r="S39" s="2">
        <f>S38-(1-0.4464)^(5/10)</f>
        <v>82.383196628055828</v>
      </c>
      <c r="T39" s="2">
        <f t="shared" si="15"/>
        <v>70</v>
      </c>
      <c r="U39" s="2">
        <f t="shared" si="10"/>
        <v>62.796096016254218</v>
      </c>
      <c r="V39" s="2">
        <f>V38-(1-0.27)^(5/10)</f>
        <v>55.270099662617582</v>
      </c>
      <c r="W39" s="2">
        <f t="shared" si="16"/>
        <v>70</v>
      </c>
      <c r="X39" s="2">
        <f t="shared" ca="1" si="17"/>
        <v>94.949628207363872</v>
      </c>
      <c r="Y39" s="2">
        <f ca="1">Y38-(1-0.4013)^(5/10)</f>
        <v>84.299425785921144</v>
      </c>
      <c r="Z39" s="2">
        <f t="shared" si="18"/>
        <v>70</v>
      </c>
      <c r="AA39">
        <f t="shared" si="19"/>
        <v>97.413049266336017</v>
      </c>
      <c r="AB39" s="2">
        <f>AB38-(1-0.2925)^(5/10)</f>
        <v>81.054461335738765</v>
      </c>
    </row>
    <row r="40" spans="1:28" x14ac:dyDescent="0.3">
      <c r="N40" s="2">
        <f t="shared" si="11"/>
        <v>71</v>
      </c>
      <c r="O40" s="2">
        <f t="shared" si="12"/>
        <v>103.3250791041107</v>
      </c>
      <c r="P40" s="2">
        <f>P39-(1-0.27)^(6/10)</f>
        <v>89.056224303105566</v>
      </c>
      <c r="Q40" s="2">
        <f t="shared" si="13"/>
        <v>71</v>
      </c>
      <c r="R40" s="2">
        <f t="shared" si="14"/>
        <v>95.317514896158428</v>
      </c>
      <c r="S40" s="2">
        <f>S39-(1-0.4464)^(6/10)</f>
        <v>81.6818743273206</v>
      </c>
      <c r="T40" s="2">
        <f t="shared" si="15"/>
        <v>71</v>
      </c>
      <c r="U40" s="2">
        <f t="shared" si="10"/>
        <v>63.141474544343616</v>
      </c>
      <c r="V40" s="2">
        <f>V39-(1-0.27)^(6/10)</f>
        <v>54.442169478544173</v>
      </c>
      <c r="W40" s="2">
        <f t="shared" si="16"/>
        <v>71</v>
      </c>
      <c r="X40" s="2">
        <f t="shared" ca="1" si="17"/>
        <v>95.889629526616773</v>
      </c>
      <c r="Y40" s="2">
        <f ca="1">Y39-(1-0.4013)^(6/10)</f>
        <v>83.564361106648434</v>
      </c>
      <c r="Z40" s="2">
        <f t="shared" si="18"/>
        <v>71</v>
      </c>
      <c r="AA40">
        <f t="shared" si="19"/>
        <v>99.361310251662744</v>
      </c>
      <c r="AB40" s="2">
        <f>AB39-(1-0.2925)^(6/10)</f>
        <v>80.241937955634128</v>
      </c>
    </row>
    <row r="41" spans="1:28" x14ac:dyDescent="0.3">
      <c r="N41" s="2">
        <f t="shared" si="11"/>
        <v>72</v>
      </c>
      <c r="O41" s="2">
        <f t="shared" si="12"/>
        <v>104.51331751380798</v>
      </c>
      <c r="P41" s="2">
        <f>P40-(1-0.27)^(7/10)</f>
        <v>88.253944236134032</v>
      </c>
      <c r="Q41" s="2">
        <f t="shared" si="13"/>
        <v>72</v>
      </c>
      <c r="R41" s="2">
        <f t="shared" si="14"/>
        <v>96.489920329381178</v>
      </c>
      <c r="S41" s="2">
        <f>S40-(1-0.4464)^(7/10)</f>
        <v>81.02081984092365</v>
      </c>
      <c r="T41" s="2">
        <f t="shared" si="15"/>
        <v>72</v>
      </c>
      <c r="U41" s="2">
        <f t="shared" si="10"/>
        <v>63.488752654337503</v>
      </c>
      <c r="V41" s="2">
        <f>V40-(1-0.27)^(7/10)</f>
        <v>53.639889411572646</v>
      </c>
      <c r="W41" s="2">
        <f t="shared" si="16"/>
        <v>72</v>
      </c>
      <c r="X41" s="2">
        <f t="shared" ca="1" si="17"/>
        <v>96.838936858930282</v>
      </c>
      <c r="Y41" s="2">
        <f ca="1">Y40-(1-0.4013)^(7/10)</f>
        <v>82.866053969710435</v>
      </c>
      <c r="Z41" s="2">
        <f t="shared" si="18"/>
        <v>72</v>
      </c>
      <c r="AA41">
        <f t="shared" si="19"/>
        <v>101.348536456696</v>
      </c>
      <c r="AB41" s="2">
        <f>AB40-(1-0.2925)^(7/10)</f>
        <v>79.457048470693138</v>
      </c>
    </row>
    <row r="42" spans="1:28" x14ac:dyDescent="0.3">
      <c r="B42" t="s">
        <v>12</v>
      </c>
      <c r="C42" t="s">
        <v>0</v>
      </c>
      <c r="D42" t="s">
        <v>12</v>
      </c>
      <c r="E42" t="s">
        <v>1</v>
      </c>
      <c r="F42" t="s">
        <v>12</v>
      </c>
      <c r="G42" t="s">
        <v>2</v>
      </c>
      <c r="H42" t="s">
        <v>12</v>
      </c>
      <c r="I42" t="s">
        <v>3</v>
      </c>
      <c r="J42" t="s">
        <v>12</v>
      </c>
      <c r="K42" t="s">
        <v>4</v>
      </c>
      <c r="N42" s="2">
        <f t="shared" si="11"/>
        <v>73</v>
      </c>
      <c r="O42" s="2">
        <f t="shared" si="12"/>
        <v>105.71522066521676</v>
      </c>
      <c r="P42" s="2">
        <f>P41-(1-0.27)^(8/10)</f>
        <v>87.476519619612532</v>
      </c>
      <c r="Q42" s="2">
        <f t="shared" si="13"/>
        <v>73</v>
      </c>
      <c r="R42" s="2">
        <f t="shared" si="14"/>
        <v>97.676746349432563</v>
      </c>
      <c r="S42" s="2">
        <f>S41-(1-0.4464)^(8/10)</f>
        <v>80.39772111224012</v>
      </c>
      <c r="T42" s="2">
        <f t="shared" si="15"/>
        <v>73</v>
      </c>
      <c r="U42" s="2">
        <f t="shared" si="10"/>
        <v>63.837940793936362</v>
      </c>
      <c r="V42" s="2">
        <f>V41-(1-0.27)^(8/10)</f>
        <v>52.862464795051153</v>
      </c>
      <c r="W42" s="2">
        <f t="shared" si="16"/>
        <v>73</v>
      </c>
      <c r="X42" s="2">
        <f t="shared" ca="1" si="17"/>
        <v>97.797642333833693</v>
      </c>
      <c r="Y42" s="2">
        <f ca="1">Y41-(1-0.4013)^(8/10)</f>
        <v>82.202666282546616</v>
      </c>
      <c r="Z42" s="2">
        <f t="shared" si="18"/>
        <v>73</v>
      </c>
      <c r="AA42">
        <f t="shared" si="19"/>
        <v>103.37550718582992</v>
      </c>
      <c r="AB42" s="2">
        <f>AB41-(1-0.2925)^(8/10)</f>
        <v>78.698853052991325</v>
      </c>
    </row>
    <row r="43" spans="1:28" x14ac:dyDescent="0.3">
      <c r="B43">
        <f>B27</f>
        <v>64</v>
      </c>
      <c r="C43">
        <f>B28</f>
        <v>95.377192982456137</v>
      </c>
      <c r="D43">
        <f>B43</f>
        <v>64</v>
      </c>
      <c r="E43">
        <f>B29</f>
        <v>87.5</v>
      </c>
      <c r="F43">
        <f>B27</f>
        <v>64</v>
      </c>
      <c r="G43">
        <f>B30</f>
        <v>60.763138157894737</v>
      </c>
      <c r="H43">
        <f>B27</f>
        <v>64</v>
      </c>
      <c r="I43">
        <f ca="1">B31</f>
        <v>89.5</v>
      </c>
      <c r="J43">
        <f>B27</f>
        <v>64</v>
      </c>
      <c r="K43">
        <f>B32</f>
        <v>86.5</v>
      </c>
      <c r="N43" s="2">
        <f t="shared" si="11"/>
        <v>74</v>
      </c>
      <c r="O43" s="2">
        <f t="shared" si="12"/>
        <v>106.93094570286675</v>
      </c>
      <c r="P43" s="2">
        <f>P42-(1-0.27)^(9/10)</f>
        <v>86.723180406468359</v>
      </c>
      <c r="Q43" s="2">
        <f t="shared" si="13"/>
        <v>74</v>
      </c>
      <c r="R43" s="2">
        <f t="shared" si="14"/>
        <v>98.878170329530576</v>
      </c>
      <c r="S43" s="2">
        <f>S42-(1-0.4464)^(9/10)</f>
        <v>79.810398835973331</v>
      </c>
      <c r="T43" s="2">
        <f t="shared" si="15"/>
        <v>74</v>
      </c>
      <c r="U43" s="2">
        <f t="shared" si="10"/>
        <v>64.189049468303011</v>
      </c>
      <c r="V43" s="2">
        <f>V42-(1-0.27)^(9/10)</f>
        <v>52.109125581906973</v>
      </c>
      <c r="W43" s="2">
        <f t="shared" si="16"/>
        <v>74</v>
      </c>
      <c r="X43" s="2">
        <f t="shared" ca="1" si="17"/>
        <v>98.76583899293864</v>
      </c>
      <c r="Y43" s="2">
        <f ca="1">Y42-(1-0.4013)^(9/10)</f>
        <v>81.572451867997898</v>
      </c>
      <c r="Z43" s="2">
        <f t="shared" si="18"/>
        <v>74</v>
      </c>
      <c r="AA43">
        <f t="shared" si="19"/>
        <v>105.44301732954652</v>
      </c>
      <c r="AB43" s="2">
        <f>AB42-(1-0.2925)^(9/10)</f>
        <v>77.966443838122998</v>
      </c>
    </row>
    <row r="44" spans="1:28" x14ac:dyDescent="0.3">
      <c r="B44">
        <f>C27</f>
        <v>74</v>
      </c>
      <c r="C44">
        <f>C28</f>
        <v>106.3455701754386</v>
      </c>
      <c r="D44">
        <f>B44</f>
        <v>74</v>
      </c>
      <c r="E44">
        <f>C29</f>
        <v>98.262500000000003</v>
      </c>
      <c r="F44">
        <f>C27</f>
        <v>74</v>
      </c>
      <c r="G44">
        <f>C30</f>
        <v>64.105110756578952</v>
      </c>
      <c r="H44">
        <f>C27</f>
        <v>74</v>
      </c>
      <c r="I44">
        <f ca="1">C31</f>
        <v>98.360500000000002</v>
      </c>
      <c r="J44">
        <f>C27</f>
        <v>74</v>
      </c>
      <c r="K44">
        <f>C32</f>
        <v>103.8</v>
      </c>
    </row>
    <row r="45" spans="1:28" x14ac:dyDescent="0.3">
      <c r="B45">
        <f>D27</f>
        <v>84</v>
      </c>
      <c r="C45">
        <f>D28</f>
        <v>140.58884377192982</v>
      </c>
      <c r="D45">
        <f>D27</f>
        <v>84</v>
      </c>
      <c r="E45">
        <f>D29</f>
        <v>128.52735000000001</v>
      </c>
      <c r="F45">
        <f>D27</f>
        <v>84</v>
      </c>
      <c r="G45">
        <f>D30</f>
        <v>71.156672939802633</v>
      </c>
      <c r="H45">
        <f>D27</f>
        <v>84</v>
      </c>
      <c r="I45">
        <f ca="1">D31</f>
        <v>117.83587900000001</v>
      </c>
      <c r="J45">
        <f>D27</f>
        <v>84</v>
      </c>
      <c r="K45">
        <f>D32</f>
        <v>166.07999999999998</v>
      </c>
    </row>
    <row r="46" spans="1:28" x14ac:dyDescent="0.3">
      <c r="B46">
        <f>E27</f>
        <v>94</v>
      </c>
      <c r="C46">
        <f>E28</f>
        <v>185.85845146649123</v>
      </c>
      <c r="D46">
        <f>E27</f>
        <v>94</v>
      </c>
      <c r="E46">
        <f>E29</f>
        <v>168.11377380000002</v>
      </c>
      <c r="F46">
        <f>E27</f>
        <v>94</v>
      </c>
      <c r="G46">
        <f>E30</f>
        <v>78.983906963180928</v>
      </c>
      <c r="H46">
        <f>E27</f>
        <v>94</v>
      </c>
      <c r="I46">
        <f ca="1">E31</f>
        <v>141.16738304200001</v>
      </c>
      <c r="J46">
        <f>E27</f>
        <v>94</v>
      </c>
      <c r="K46">
        <f>E32</f>
        <v>265.72799999999995</v>
      </c>
    </row>
    <row r="47" spans="1:28" x14ac:dyDescent="0.3">
      <c r="B47">
        <f>F27</f>
        <v>104</v>
      </c>
      <c r="C47">
        <f>F28</f>
        <v>245.70487283870142</v>
      </c>
      <c r="D47">
        <f>F27</f>
        <v>104</v>
      </c>
      <c r="E47">
        <f>F29</f>
        <v>219.89281613040004</v>
      </c>
      <c r="F47">
        <f>F27</f>
        <v>104</v>
      </c>
      <c r="G47">
        <f ca="1">F31</f>
        <v>169.118524884316</v>
      </c>
      <c r="H47">
        <f>F27</f>
        <v>104</v>
      </c>
      <c r="I47">
        <f ca="1">F31</f>
        <v>169.118524884316</v>
      </c>
      <c r="J47">
        <f>F27</f>
        <v>104</v>
      </c>
      <c r="K47">
        <f>F32</f>
        <v>425.1647999999999</v>
      </c>
    </row>
    <row r="54" spans="3:4" x14ac:dyDescent="0.3">
      <c r="C54" t="s">
        <v>227</v>
      </c>
      <c r="D54">
        <f ca="1">_xlfn.LET(_xlpm.ChronAge, B27, _xlpm.BioAge, MEDIAN(25, T4, 90), MAX(1, MIN(100, (100 * ((_xlpm.ChronAge + 30) - _xlpm.BioAge) / 60))))</f>
        <v>18.931294773391823</v>
      </c>
    </row>
    <row r="55" spans="3:4" x14ac:dyDescent="0.3">
      <c r="C55" t="s">
        <v>226</v>
      </c>
      <c r="D55">
        <f ca="1">_xlfn.LET(_xlpm.ChronAge, B27, _xlpm.BioAge, MEDIAN(25, T4, 90), MAX(300, MIN(850, 600 + (10 * (_xlpm.ChronAge - _xlpm.BioAge)))))</f>
        <v>413.58776864035093</v>
      </c>
    </row>
  </sheetData>
  <mergeCells count="4">
    <mergeCell ref="A23:F23"/>
    <mergeCell ref="I24:J24"/>
    <mergeCell ref="I25:J32"/>
    <mergeCell ref="N31:AA3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CF10-3702-4B99-ADEC-03D74EBFF2D7}">
  <dimension ref="A1:AB56"/>
  <sheetViews>
    <sheetView tabSelected="1" zoomScale="89" zoomScaleNormal="89" workbookViewId="0">
      <selection activeCell="B27" sqref="B27"/>
    </sheetView>
  </sheetViews>
  <sheetFormatPr defaultRowHeight="14.4" x14ac:dyDescent="0.3"/>
  <cols>
    <col min="1" max="1" width="22.6640625" customWidth="1"/>
    <col min="2" max="2" width="29.88671875" customWidth="1"/>
    <col min="3" max="3" width="16.5546875" customWidth="1"/>
    <col min="4" max="4" width="21.21875" customWidth="1"/>
    <col min="5" max="5" width="13.109375" customWidth="1"/>
    <col min="6" max="6" width="12.21875" customWidth="1"/>
    <col min="7" max="7" width="11.109375" customWidth="1"/>
    <col min="9" max="9" width="21.88671875" customWidth="1"/>
    <col min="10" max="10" width="39.88671875" customWidth="1"/>
    <col min="11" max="11" width="16" customWidth="1"/>
    <col min="12" max="12" width="13.6640625" customWidth="1"/>
    <col min="13" max="13" width="14.44140625" customWidth="1"/>
    <col min="14" max="14" width="20.77734375" customWidth="1"/>
    <col min="15" max="15" width="12.33203125" customWidth="1"/>
    <col min="16" max="16" width="11.5546875" bestFit="1" customWidth="1"/>
    <col min="17" max="17" width="18.77734375" customWidth="1"/>
    <col min="18" max="18" width="17" customWidth="1"/>
    <col min="19" max="19" width="11.5546875" bestFit="1" customWidth="1"/>
    <col min="20" max="20" width="21" customWidth="1"/>
    <col min="21" max="21" width="13.21875" customWidth="1"/>
    <col min="22" max="22" width="11.5546875" bestFit="1" customWidth="1"/>
    <col min="25" max="25" width="13.109375" customWidth="1"/>
    <col min="26" max="26" width="11.21875" customWidth="1"/>
    <col min="28" max="28" width="13.664062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51</v>
      </c>
      <c r="D2" s="35">
        <f>C2-(C2/100*1)</f>
        <v>50.49</v>
      </c>
      <c r="E2" s="35">
        <f>D2-(D2/100*1)</f>
        <v>49.985100000000003</v>
      </c>
      <c r="F2" s="35">
        <f t="shared" ref="F2:L2" si="0">E2-(E2/100*1)</f>
        <v>49.485249000000003</v>
      </c>
      <c r="G2" s="35">
        <f t="shared" si="0"/>
        <v>48.990396510000004</v>
      </c>
      <c r="H2" s="36">
        <f t="shared" si="0"/>
        <v>48.500492544900005</v>
      </c>
      <c r="I2" s="35">
        <f t="shared" si="0"/>
        <v>48.015487619451008</v>
      </c>
      <c r="J2" s="35">
        <f t="shared" si="0"/>
        <v>47.535332743256497</v>
      </c>
      <c r="K2" s="35">
        <f t="shared" si="0"/>
        <v>47.059979415823932</v>
      </c>
      <c r="L2" s="35">
        <f t="shared" si="0"/>
        <v>46.589379621665692</v>
      </c>
      <c r="M2" s="33">
        <f>L2-(L2/100*M1)</f>
        <v>41.930441659499124</v>
      </c>
      <c r="N2" s="8"/>
      <c r="O2" s="21"/>
      <c r="Q2" s="3" t="s">
        <v>0</v>
      </c>
      <c r="R2" s="16">
        <f>B27+ ((1 -((C2 / 34.5) * 0.7 )-((C3 / 100) * 0.3 )) * 100)</f>
        <v>12.021739130434803</v>
      </c>
    </row>
    <row r="3" spans="1:20" x14ac:dyDescent="0.3">
      <c r="A3" s="3" t="s">
        <v>0</v>
      </c>
      <c r="B3" s="3" t="s">
        <v>16</v>
      </c>
      <c r="C3" s="9">
        <v>115</v>
      </c>
      <c r="D3" s="35">
        <f t="shared" ref="D3:J3" si="1">C3-(C3/100*1.5)</f>
        <v>113.27500000000001</v>
      </c>
      <c r="E3" s="35">
        <f t="shared" si="1"/>
        <v>111.57587500000001</v>
      </c>
      <c r="F3" s="35">
        <f t="shared" si="1"/>
        <v>109.90223687500001</v>
      </c>
      <c r="G3" s="35">
        <f t="shared" si="1"/>
        <v>108.25370332187501</v>
      </c>
      <c r="H3" s="36">
        <f t="shared" si="1"/>
        <v>106.62989777204689</v>
      </c>
      <c r="I3" s="35">
        <f t="shared" si="1"/>
        <v>105.03044930546619</v>
      </c>
      <c r="J3" s="35">
        <f t="shared" si="1"/>
        <v>103.4549925658842</v>
      </c>
      <c r="K3" s="35">
        <f>J3-(J3/100*1.5)</f>
        <v>101.90316767739593</v>
      </c>
      <c r="L3" s="35">
        <f>K3-(K3/100*1.5)</f>
        <v>100.37462016223499</v>
      </c>
      <c r="M3" s="33">
        <f>L3-(L3/100*15)</f>
        <v>85.318427137899747</v>
      </c>
      <c r="N3" s="8"/>
      <c r="O3" s="21"/>
      <c r="Q3" s="4" t="s">
        <v>1</v>
      </c>
      <c r="R3" s="4">
        <f ca="1">((O4/100*50)+(O5/100*25)+(O6/100*25))</f>
        <v>72.708333333333329</v>
      </c>
      <c r="T3" s="23" t="s">
        <v>8</v>
      </c>
    </row>
    <row r="4" spans="1:20" ht="18" customHeight="1" x14ac:dyDescent="0.3">
      <c r="A4" s="4" t="s">
        <v>17</v>
      </c>
      <c r="B4" s="4" t="s">
        <v>18</v>
      </c>
      <c r="C4" s="10">
        <v>32</v>
      </c>
      <c r="D4" s="35">
        <f>C4-(C4/100*1)</f>
        <v>31.68</v>
      </c>
      <c r="E4" s="35">
        <f t="shared" ref="E4:L4" si="2">D4-(D4/100*1)</f>
        <v>31.363199999999999</v>
      </c>
      <c r="F4" s="35">
        <f t="shared" si="2"/>
        <v>31.049568000000001</v>
      </c>
      <c r="G4" s="35">
        <f t="shared" si="2"/>
        <v>30.739072320000002</v>
      </c>
      <c r="H4" s="36">
        <f t="shared" si="2"/>
        <v>30.431681596800001</v>
      </c>
      <c r="I4" s="35">
        <f t="shared" si="2"/>
        <v>30.127364780832</v>
      </c>
      <c r="J4" s="35">
        <f t="shared" si="2"/>
        <v>29.826091133023681</v>
      </c>
      <c r="K4" s="35">
        <f t="shared" si="2"/>
        <v>29.527830221693446</v>
      </c>
      <c r="L4" s="35">
        <f t="shared" si="2"/>
        <v>29.23255191947651</v>
      </c>
      <c r="M4" s="33">
        <f t="shared" ref="M4" si="3">L4-(L4/100*M1)</f>
        <v>26.30929672752886</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76.666666666666657</v>
      </c>
      <c r="Q4" s="5" t="s">
        <v>2</v>
      </c>
      <c r="R4" s="5">
        <f>B27 - 9*R11</f>
        <v>46.360142857142854</v>
      </c>
      <c r="T4" s="1">
        <f ca="1">(R2/100*20)+(R3/100*20)+(R4/100*25)+(R5/100*20)+(R6/100*15)</f>
        <v>46.586050207039342</v>
      </c>
    </row>
    <row r="5" spans="1:20" x14ac:dyDescent="0.3">
      <c r="A5" s="4" t="s">
        <v>17</v>
      </c>
      <c r="B5" s="4" t="s">
        <v>19</v>
      </c>
      <c r="C5" s="10">
        <v>2.8</v>
      </c>
      <c r="D5" s="35">
        <f>C5-(C5/100*1.2)</f>
        <v>2.7664</v>
      </c>
      <c r="E5" s="35">
        <f t="shared" ref="E5:L6" si="4">D5-(D5/100*1.2)</f>
        <v>2.7332032000000002</v>
      </c>
      <c r="F5" s="35">
        <f t="shared" si="4"/>
        <v>2.7004047616000002</v>
      </c>
      <c r="G5" s="35">
        <f t="shared" si="4"/>
        <v>2.6679999044608</v>
      </c>
      <c r="H5" s="36">
        <f t="shared" si="4"/>
        <v>2.6359839056072705</v>
      </c>
      <c r="I5" s="35">
        <f t="shared" si="4"/>
        <v>2.6043520987399833</v>
      </c>
      <c r="J5" s="35">
        <f t="shared" si="4"/>
        <v>2.5730998735551034</v>
      </c>
      <c r="K5" s="35">
        <f t="shared" si="4"/>
        <v>2.5422226750724422</v>
      </c>
      <c r="L5" s="35">
        <f t="shared" si="4"/>
        <v>2.511716002971573</v>
      </c>
      <c r="M5" s="34">
        <f>C5-(C5/100*12)</f>
        <v>2.464</v>
      </c>
      <c r="N5" s="8"/>
      <c r="O5" s="18">
        <f ca="1">FORECAST(C5, OFFSET(Strength_Normative_Data!$O$3, MATCH(C5, Strength_Normative_Data!$P$3:$P$17, -1)-1, 0, 2), OFFSET(Strength_Normative_Data!$P$3, MATCH(C5, Strength_Normative_Data!$P$3:$P$17, -1)-1, 0, 2))</f>
        <v>57.5</v>
      </c>
      <c r="Q5" s="6" t="s">
        <v>29</v>
      </c>
      <c r="R5" s="6">
        <f ca="1">((O14/100*30)+(O15/100*25)+(O16/100*30)+(O17/100*15))</f>
        <v>61.75</v>
      </c>
    </row>
    <row r="6" spans="1:20" x14ac:dyDescent="0.3">
      <c r="A6" s="4" t="s">
        <v>17</v>
      </c>
      <c r="B6" s="4" t="s">
        <v>20</v>
      </c>
      <c r="C6" s="10">
        <v>25</v>
      </c>
      <c r="D6" s="35">
        <f>C6-(C6/100*1.2)</f>
        <v>24.7</v>
      </c>
      <c r="E6" s="35">
        <f t="shared" si="4"/>
        <v>24.403600000000001</v>
      </c>
      <c r="F6" s="35">
        <f t="shared" si="4"/>
        <v>24.110756800000001</v>
      </c>
      <c r="G6" s="35">
        <f t="shared" si="4"/>
        <v>23.821427718400003</v>
      </c>
      <c r="H6" s="36">
        <f t="shared" si="4"/>
        <v>23.535570585779201</v>
      </c>
      <c r="I6" s="35">
        <f t="shared" si="4"/>
        <v>23.253143738749852</v>
      </c>
      <c r="J6" s="35">
        <f t="shared" si="4"/>
        <v>22.974106013884853</v>
      </c>
      <c r="K6" s="35">
        <f t="shared" si="4"/>
        <v>22.698416741718233</v>
      </c>
      <c r="L6" s="35">
        <f t="shared" si="4"/>
        <v>22.426035740817614</v>
      </c>
      <c r="M6" s="34">
        <f>C6-(C6/100*12)</f>
        <v>22</v>
      </c>
      <c r="N6" s="8"/>
      <c r="O6" s="18">
        <v>80</v>
      </c>
      <c r="Q6" s="7" t="s">
        <v>4</v>
      </c>
      <c r="R6" s="7">
        <f>((O18/100*60)+(O19/100*40))</f>
        <v>38</v>
      </c>
    </row>
    <row r="7" spans="1:20" x14ac:dyDescent="0.3">
      <c r="A7" s="5" t="s">
        <v>21</v>
      </c>
      <c r="B7" s="5" t="s">
        <v>22</v>
      </c>
      <c r="C7" s="11">
        <v>19</v>
      </c>
      <c r="D7" s="35"/>
      <c r="E7" s="35"/>
      <c r="F7" s="35"/>
      <c r="G7" s="35"/>
      <c r="H7" s="34">
        <f>C7+(C7/100*3)</f>
        <v>19.57</v>
      </c>
      <c r="I7" s="35"/>
      <c r="J7" s="35"/>
      <c r="K7" s="35"/>
      <c r="L7" s="37"/>
      <c r="M7" s="34">
        <f>C7+(C7/100*6)</f>
        <v>20.14</v>
      </c>
      <c r="N7" s="8"/>
      <c r="O7" s="22"/>
    </row>
    <row r="8" spans="1:20" x14ac:dyDescent="0.3">
      <c r="A8" s="5" t="s">
        <v>21</v>
      </c>
      <c r="B8" s="5" t="s">
        <v>23</v>
      </c>
      <c r="C8" s="11">
        <v>0.48</v>
      </c>
      <c r="D8" s="35"/>
      <c r="E8" s="35"/>
      <c r="F8" s="35"/>
      <c r="G8" s="35"/>
      <c r="H8" s="34">
        <f>C8+(C8/100*2)</f>
        <v>0.48959999999999998</v>
      </c>
      <c r="I8" s="35"/>
      <c r="J8" s="35"/>
      <c r="K8" s="35"/>
      <c r="L8" s="37"/>
      <c r="M8" s="34">
        <f>C8+(C8/100*4)</f>
        <v>0.49919999999999998</v>
      </c>
      <c r="N8" s="8"/>
      <c r="O8" s="22">
        <f xml:space="preserve">
IF(C8&lt;=0.4,0,
IF(C8&lt;=0.5,20*(C8-0.4)/0.1,
IF(C8&lt;=0.6,20+40*(C8-0.5)/0.1,
60+40*(MIN(C8,0.75)-0.6)/0.15)))</f>
        <v>15.999999999999991</v>
      </c>
    </row>
    <row r="9" spans="1:20" x14ac:dyDescent="0.3">
      <c r="A9" s="5" t="s">
        <v>21</v>
      </c>
      <c r="B9" s="5" t="s">
        <v>24</v>
      </c>
      <c r="C9" s="11">
        <v>5.6</v>
      </c>
      <c r="D9" s="35" t="s">
        <v>228</v>
      </c>
      <c r="E9" s="35" t="s">
        <v>228</v>
      </c>
      <c r="F9" s="35" t="s">
        <v>228</v>
      </c>
      <c r="G9" s="35" t="s">
        <v>228</v>
      </c>
      <c r="H9" s="35" t="s">
        <v>228</v>
      </c>
      <c r="I9" s="35" t="s">
        <v>228</v>
      </c>
      <c r="J9" s="35" t="s">
        <v>228</v>
      </c>
      <c r="K9" s="35" t="s">
        <v>228</v>
      </c>
      <c r="L9" s="35" t="s">
        <v>228</v>
      </c>
      <c r="M9" s="35" t="s">
        <v>228</v>
      </c>
      <c r="N9" s="8"/>
      <c r="O9" s="22"/>
    </row>
    <row r="10" spans="1:20" x14ac:dyDescent="0.3">
      <c r="A10" s="5" t="s">
        <v>21</v>
      </c>
      <c r="B10" s="5" t="s">
        <v>25</v>
      </c>
      <c r="C10" s="11">
        <v>5.8</v>
      </c>
      <c r="D10" s="35"/>
      <c r="E10" s="35"/>
      <c r="F10" s="35"/>
      <c r="G10" s="35"/>
      <c r="H10" s="34">
        <f>C10+(C10/100*2.5)</f>
        <v>5.9449999999999994</v>
      </c>
      <c r="I10" s="35"/>
      <c r="J10" s="35"/>
      <c r="K10" s="35"/>
      <c r="L10" s="37"/>
      <c r="M10" s="34">
        <f>C10+(C10/100*5)</f>
        <v>6.09</v>
      </c>
      <c r="N10" s="8"/>
      <c r="O10" s="22">
        <f xml:space="preserve">
IF(C10&lt;5.7,10*(C10/5.7),
IF(C10&lt;6.5,10+40*(C10-5.7)/0.8,
50+50*(MIN(C10,9)-6.5)/2.5))</f>
        <v>14.999999999999982</v>
      </c>
      <c r="Q10" t="s">
        <v>89</v>
      </c>
      <c r="R10" t="s">
        <v>90</v>
      </c>
    </row>
    <row r="11" spans="1:20" x14ac:dyDescent="0.3">
      <c r="A11" s="5" t="s">
        <v>21</v>
      </c>
      <c r="B11" s="5" t="s">
        <v>26</v>
      </c>
      <c r="C11" s="11">
        <v>1.8</v>
      </c>
      <c r="D11" s="35"/>
      <c r="E11" s="35"/>
      <c r="F11" s="35"/>
      <c r="G11" s="35"/>
      <c r="H11" s="34">
        <f>C11+(C11/100*7)</f>
        <v>1.9260000000000002</v>
      </c>
      <c r="I11" s="35"/>
      <c r="J11" s="35"/>
      <c r="K11" s="35"/>
      <c r="L11" s="37"/>
      <c r="M11" s="34">
        <f>C11+(C11/100*14)</f>
        <v>2.052</v>
      </c>
      <c r="N11" s="8"/>
      <c r="O11" s="5">
        <f xml:space="preserve">
IF(C11&lt;1.6,10*(C11/1.6),
IF(C11&lt;3,10+40*(C11-1.6)/1.4,
50+50*(MIN(C11,7)-3)/4))</f>
        <v>15.714285714285714</v>
      </c>
      <c r="Q11">
        <f>(0.3*P12)+(0.2*O8)+(0.15*O10)+(0.25*O11)+(0.1*O13)</f>
        <v>14.778571428571425</v>
      </c>
      <c r="R11">
        <f xml:space="preserve">
IF(Q11&lt;=10,1.5-0.1*Q11,
IF(Q11&lt;=60,0.5-0.02*(Q11-10),
-0.5-0.03*(Q11-60)))</f>
        <v>0.40442857142857147</v>
      </c>
    </row>
    <row r="12" spans="1:20" x14ac:dyDescent="0.3">
      <c r="A12" s="5" t="s">
        <v>21</v>
      </c>
      <c r="B12" s="5" t="s">
        <v>27</v>
      </c>
      <c r="C12" s="11">
        <v>0.85</v>
      </c>
      <c r="D12" s="35"/>
      <c r="E12" s="35"/>
      <c r="F12" s="35"/>
      <c r="G12" s="35"/>
      <c r="H12" s="34">
        <f>C12+(C12/100*3)</f>
        <v>0.87549999999999994</v>
      </c>
      <c r="I12" s="35"/>
      <c r="J12" s="35"/>
      <c r="K12" s="35"/>
      <c r="L12" s="37"/>
      <c r="M12" s="34">
        <f>C12+(C12/100*6)</f>
        <v>0.90100000000000002</v>
      </c>
      <c r="N12" s="8"/>
      <c r="O12" s="5">
        <f>C12*100</f>
        <v>85</v>
      </c>
      <c r="P12" s="5">
        <f xml:space="preserve">
IF(O12&lt;80,5*(O12/80),
IF(O12&lt;100,10+20*(O12-80)/20,
IF(O12&lt;130,30+25*(O12-100)/30,
IF(O12&lt;160,55+25*(O12-130)/30,
IF(O12&lt;200,80+20*(O12-160)/40,100)))))</f>
        <v>15</v>
      </c>
    </row>
    <row r="13" spans="1:20" x14ac:dyDescent="0.3">
      <c r="A13" s="5" t="s">
        <v>21</v>
      </c>
      <c r="B13" s="5" t="s">
        <v>28</v>
      </c>
      <c r="C13" s="11">
        <v>0.9</v>
      </c>
      <c r="D13" s="35"/>
      <c r="E13" s="35"/>
      <c r="F13" s="35"/>
      <c r="G13" s="35"/>
      <c r="H13" s="34">
        <f>C13+(C13/100*9)</f>
        <v>0.98100000000000009</v>
      </c>
      <c r="I13" s="35"/>
      <c r="J13" s="35"/>
      <c r="K13" s="35"/>
      <c r="L13" s="37"/>
      <c r="M13" s="34">
        <f>C13+(C13/100*18)</f>
        <v>1.0620000000000001</v>
      </c>
      <c r="N13" s="8"/>
      <c r="O13" s="5">
        <f xml:space="preserve">
IF(C13&lt;1,10*(C13/1),
IF(C13&lt;3,10+40*(C13-1)/2,
50+50*(MIN(C13,10)-3)/7))</f>
        <v>9</v>
      </c>
    </row>
    <row r="14" spans="1:20" x14ac:dyDescent="0.3">
      <c r="A14" s="6" t="s">
        <v>29</v>
      </c>
      <c r="B14" s="6" t="s">
        <v>30</v>
      </c>
      <c r="C14" s="12">
        <v>1.4</v>
      </c>
      <c r="D14" s="35">
        <f>C14-(C14/100*0.6)</f>
        <v>1.3915999999999999</v>
      </c>
      <c r="E14" s="35">
        <f t="shared" ref="E14:L14" si="5">D14-(D14/100*0.6)</f>
        <v>1.3832503999999999</v>
      </c>
      <c r="F14" s="35">
        <f t="shared" si="5"/>
        <v>1.3749508975999998</v>
      </c>
      <c r="G14" s="35">
        <f t="shared" si="5"/>
        <v>1.3667011922143997</v>
      </c>
      <c r="H14" s="36">
        <f t="shared" si="5"/>
        <v>1.3585009850611134</v>
      </c>
      <c r="I14" s="35">
        <f t="shared" si="5"/>
        <v>1.3503499791507467</v>
      </c>
      <c r="J14" s="35">
        <f t="shared" si="5"/>
        <v>1.3422478792758423</v>
      </c>
      <c r="K14" s="35">
        <f t="shared" si="5"/>
        <v>1.3341943920001873</v>
      </c>
      <c r="L14" s="35">
        <f t="shared" si="5"/>
        <v>1.3261892256481862</v>
      </c>
      <c r="M14" s="34">
        <f>C14-(C14/100*6)</f>
        <v>1.3159999999999998</v>
      </c>
      <c r="N14" s="8"/>
      <c r="O14" s="12">
        <v>55</v>
      </c>
    </row>
    <row r="15" spans="1:20" x14ac:dyDescent="0.3">
      <c r="A15" s="6" t="s">
        <v>29</v>
      </c>
      <c r="B15" s="6" t="s">
        <v>31</v>
      </c>
      <c r="C15" s="12">
        <v>7.5</v>
      </c>
      <c r="D15" s="35">
        <f>C15-(C15/100*1)</f>
        <v>7.4249999999999998</v>
      </c>
      <c r="E15" s="35">
        <f>D15-(D15/100*1)</f>
        <v>7.3507499999999997</v>
      </c>
      <c r="F15" s="35">
        <f t="shared" ref="F15:L15" si="6">E15-(E15/100*1)</f>
        <v>7.2772424999999998</v>
      </c>
      <c r="G15" s="35">
        <f t="shared" si="6"/>
        <v>7.2044700749999997</v>
      </c>
      <c r="H15" s="36">
        <f t="shared" si="6"/>
        <v>7.1324253742499995</v>
      </c>
      <c r="I15" s="35">
        <f t="shared" si="6"/>
        <v>7.0611011205074998</v>
      </c>
      <c r="J15" s="35">
        <f t="shared" si="6"/>
        <v>6.9904901093024252</v>
      </c>
      <c r="K15" s="35">
        <f t="shared" si="6"/>
        <v>6.9205852082094008</v>
      </c>
      <c r="L15" s="35">
        <f t="shared" si="6"/>
        <v>6.8513793561273069</v>
      </c>
      <c r="M15" s="34">
        <f>C15+(C15/100*10)</f>
        <v>8.25</v>
      </c>
      <c r="N15" s="8"/>
      <c r="O15" s="12">
        <f ca="1">FORECAST(C15, OFFSET(Mobility_Normative_Data!$E$3, MATCH(C15, Mobility_Normative_Data!$F$3:$F$18, 1)-1, 0, 2), OFFSET(Mobility_Normative_Data!$F$3, MATCH(C15, Mobility_Normative_Data!$F$3:$F$18, 1)-1, 0, 2))</f>
        <v>55</v>
      </c>
    </row>
    <row r="16" spans="1:20" x14ac:dyDescent="0.3">
      <c r="A16" s="6" t="s">
        <v>29</v>
      </c>
      <c r="B16" s="6" t="s">
        <v>32</v>
      </c>
      <c r="C16" s="12">
        <v>30</v>
      </c>
      <c r="D16" s="35">
        <f>C16-(C16/100*2)</f>
        <v>29.4</v>
      </c>
      <c r="E16" s="35">
        <f t="shared" ref="E16:L16" si="7">D16-(D16/100*2)</f>
        <v>28.811999999999998</v>
      </c>
      <c r="F16" s="35">
        <f t="shared" si="7"/>
        <v>28.235759999999999</v>
      </c>
      <c r="G16" s="35">
        <f t="shared" si="7"/>
        <v>27.671044800000001</v>
      </c>
      <c r="H16" s="36">
        <f t="shared" si="7"/>
        <v>27.117623904000002</v>
      </c>
      <c r="I16" s="35">
        <f t="shared" si="7"/>
        <v>26.57527142592</v>
      </c>
      <c r="J16" s="35">
        <f t="shared" si="7"/>
        <v>26.0437659974016</v>
      </c>
      <c r="K16" s="35">
        <f t="shared" si="7"/>
        <v>25.522890677453567</v>
      </c>
      <c r="L16" s="35">
        <f t="shared" si="7"/>
        <v>25.012432863904497</v>
      </c>
      <c r="M16" s="34">
        <f>C16-(C16/100*20)</f>
        <v>24</v>
      </c>
      <c r="N16" s="8"/>
      <c r="O16" s="12">
        <f ca="1">FORECAST(C16, OFFSET(Mobility_Normative_Data!$I$3, MATCH(C16, Mobility_Normative_Data!$J$3:$J$17, -1)-1, 0, 2), OFFSET(Mobility_Normative_Data!$J$3, MATCH(C16, Mobility_Normative_Data!$J$3:$J$17, -1)-1, 0, 2))</f>
        <v>60</v>
      </c>
    </row>
    <row r="17" spans="1:28" x14ac:dyDescent="0.3">
      <c r="A17" s="6" t="s">
        <v>29</v>
      </c>
      <c r="B17" s="6" t="s">
        <v>33</v>
      </c>
      <c r="C17" s="12">
        <v>-10</v>
      </c>
      <c r="D17" s="35">
        <f>C17-(C17/100*1)</f>
        <v>-9.9</v>
      </c>
      <c r="E17" s="35">
        <f t="shared" ref="E17:L17" si="8">D17-(D17/100*1)</f>
        <v>-9.8010000000000002</v>
      </c>
      <c r="F17" s="35">
        <f t="shared" si="8"/>
        <v>-9.7029899999999998</v>
      </c>
      <c r="G17" s="35">
        <f t="shared" si="8"/>
        <v>-9.605960099999999</v>
      </c>
      <c r="H17" s="36">
        <f t="shared" si="8"/>
        <v>-9.5099004989999987</v>
      </c>
      <c r="I17" s="35">
        <f t="shared" si="8"/>
        <v>-9.414801494009998</v>
      </c>
      <c r="J17" s="35">
        <f t="shared" si="8"/>
        <v>-9.3206534790698985</v>
      </c>
      <c r="K17" s="35">
        <f t="shared" si="8"/>
        <v>-9.2274469442791993</v>
      </c>
      <c r="L17" s="35">
        <f t="shared" si="8"/>
        <v>-9.1351724748364074</v>
      </c>
      <c r="M17" s="34">
        <f>C17-(C17/100*10)</f>
        <v>-9</v>
      </c>
      <c r="N17" s="8"/>
      <c r="O17" s="12">
        <v>90</v>
      </c>
    </row>
    <row r="18" spans="1:28" x14ac:dyDescent="0.3">
      <c r="A18" s="7" t="s">
        <v>34</v>
      </c>
      <c r="B18" s="7" t="s">
        <v>35</v>
      </c>
      <c r="C18" s="13">
        <v>0.8</v>
      </c>
      <c r="D18" s="35">
        <f>C18+-0.02</f>
        <v>0.78</v>
      </c>
      <c r="E18" s="35">
        <f t="shared" ref="E18:L18" si="9">D18+-0.02</f>
        <v>0.76</v>
      </c>
      <c r="F18" s="35">
        <f t="shared" si="9"/>
        <v>0.74</v>
      </c>
      <c r="G18" s="35">
        <f t="shared" si="9"/>
        <v>0.72</v>
      </c>
      <c r="H18" s="36">
        <f t="shared" si="9"/>
        <v>0.7</v>
      </c>
      <c r="I18" s="35">
        <f t="shared" si="9"/>
        <v>0.67999999999999994</v>
      </c>
      <c r="J18" s="35">
        <f t="shared" si="9"/>
        <v>0.65999999999999992</v>
      </c>
      <c r="K18" s="35">
        <f t="shared" si="9"/>
        <v>0.6399999999999999</v>
      </c>
      <c r="L18" s="35">
        <f t="shared" si="9"/>
        <v>0.61999999999999988</v>
      </c>
      <c r="M18" s="34">
        <f>C18 +(-0.2)</f>
        <v>0.60000000000000009</v>
      </c>
      <c r="N18" s="8"/>
      <c r="O18" s="20">
        <f>MAX(18,B27-(C18*25))</f>
        <v>30</v>
      </c>
    </row>
    <row r="19" spans="1:28" x14ac:dyDescent="0.3">
      <c r="A19" s="7" t="s">
        <v>34</v>
      </c>
      <c r="B19" s="7" t="s">
        <v>36</v>
      </c>
      <c r="C19" s="13">
        <v>0.5</v>
      </c>
      <c r="D19" s="35">
        <f>C19-0.02</f>
        <v>0.48</v>
      </c>
      <c r="E19" s="35">
        <f t="shared" ref="E19:L19" si="10">D19-0.02</f>
        <v>0.45999999999999996</v>
      </c>
      <c r="F19" s="35">
        <f t="shared" si="10"/>
        <v>0.43999999999999995</v>
      </c>
      <c r="G19" s="35">
        <f t="shared" si="10"/>
        <v>0.41999999999999993</v>
      </c>
      <c r="H19" s="36">
        <f t="shared" si="10"/>
        <v>0.39999999999999991</v>
      </c>
      <c r="I19" s="35">
        <f t="shared" si="10"/>
        <v>0.37999999999999989</v>
      </c>
      <c r="J19" s="35">
        <f t="shared" si="10"/>
        <v>0.35999999999999988</v>
      </c>
      <c r="K19" s="35">
        <f t="shared" si="10"/>
        <v>0.33999999999999986</v>
      </c>
      <c r="L19" s="35">
        <f t="shared" si="10"/>
        <v>0.31999999999999984</v>
      </c>
      <c r="M19" s="34">
        <f>C19+(-0.2)</f>
        <v>0.3</v>
      </c>
      <c r="N19" s="8"/>
      <c r="O19" s="20">
        <f>MAX(18,B27-(J1925))</f>
        <v>50</v>
      </c>
    </row>
    <row r="23" spans="1:28" x14ac:dyDescent="0.3">
      <c r="A23" s="43" t="s">
        <v>37</v>
      </c>
      <c r="B23" s="43"/>
      <c r="C23" s="43"/>
      <c r="D23" s="43"/>
      <c r="E23" s="43"/>
      <c r="F23" s="43"/>
    </row>
    <row r="24" spans="1:28" x14ac:dyDescent="0.3">
      <c r="A24" t="s">
        <v>229</v>
      </c>
      <c r="B24" t="s">
        <v>99</v>
      </c>
      <c r="I24" s="43" t="s">
        <v>142</v>
      </c>
      <c r="J24" s="43"/>
    </row>
    <row r="25" spans="1:28" x14ac:dyDescent="0.3">
      <c r="B25" t="s">
        <v>5</v>
      </c>
      <c r="C25" t="s">
        <v>6</v>
      </c>
      <c r="D25" t="s">
        <v>9</v>
      </c>
      <c r="E25" t="s">
        <v>10</v>
      </c>
      <c r="F25" t="s">
        <v>11</v>
      </c>
      <c r="I25" s="44" t="s">
        <v>236</v>
      </c>
      <c r="J25" s="45"/>
    </row>
    <row r="26" spans="1:28" x14ac:dyDescent="0.3">
      <c r="A26" t="s">
        <v>43</v>
      </c>
      <c r="B26" t="s">
        <v>44</v>
      </c>
      <c r="I26" s="45"/>
      <c r="J26" s="45"/>
    </row>
    <row r="27" spans="1:28" x14ac:dyDescent="0.3">
      <c r="A27" t="s">
        <v>7</v>
      </c>
      <c r="B27">
        <v>50</v>
      </c>
      <c r="C27">
        <f>B27+10</f>
        <v>60</v>
      </c>
      <c r="D27">
        <f>C27+10</f>
        <v>70</v>
      </c>
      <c r="E27">
        <f>D27+10</f>
        <v>80</v>
      </c>
      <c r="F27">
        <f>E27+10</f>
        <v>90</v>
      </c>
      <c r="I27" s="45"/>
      <c r="J27" s="45"/>
    </row>
    <row r="28" spans="1:28" x14ac:dyDescent="0.3">
      <c r="A28" t="s">
        <v>0</v>
      </c>
      <c r="B28" s="24">
        <f>R2</f>
        <v>12.021739130434803</v>
      </c>
      <c r="C28">
        <f>B28+(B28/100*11.5)</f>
        <v>13.404239130434805</v>
      </c>
      <c r="D28">
        <f>C28+(C28/100*32.2)</f>
        <v>17.720404130434812</v>
      </c>
      <c r="E28">
        <f>D28+(D28/100*32.2)</f>
        <v>23.42637426043482</v>
      </c>
      <c r="F28">
        <f>E28+(E28/100*32.2)</f>
        <v>30.969666772294833</v>
      </c>
      <c r="I28" s="45"/>
      <c r="J28" s="45"/>
    </row>
    <row r="29" spans="1:28" x14ac:dyDescent="0.3">
      <c r="A29" t="s">
        <v>1</v>
      </c>
      <c r="B29">
        <f ca="1">R3</f>
        <v>72.708333333333329</v>
      </c>
      <c r="C29">
        <f ca="1">B29+(B29/100*12.3)</f>
        <v>81.651458333333323</v>
      </c>
      <c r="D29">
        <f ca="1">C29+(C29/100*30.8)</f>
        <v>106.8001075</v>
      </c>
      <c r="E29">
        <f ca="1">D29+(D29/100*30.8)</f>
        <v>139.69454060999999</v>
      </c>
      <c r="F29">
        <f ca="1">E29+(E29/100*30.8)</f>
        <v>182.72045911787998</v>
      </c>
      <c r="I29" s="45"/>
      <c r="J29" s="45"/>
    </row>
    <row r="30" spans="1:28" x14ac:dyDescent="0.3">
      <c r="A30" t="s">
        <v>2</v>
      </c>
      <c r="B30">
        <f>R4</f>
        <v>46.360142857142854</v>
      </c>
      <c r="C30">
        <f>B30+(B30/100*5.5)</f>
        <v>48.909950714285714</v>
      </c>
      <c r="D30">
        <f>C30+(C30/100*11)</f>
        <v>54.290045292857144</v>
      </c>
      <c r="E30">
        <f>D30+(D30/100*11)</f>
        <v>60.261950275071428</v>
      </c>
      <c r="F30">
        <f>E30+(E30/100*11)</f>
        <v>66.890764805329283</v>
      </c>
      <c r="I30" s="45"/>
      <c r="J30" s="45"/>
    </row>
    <row r="31" spans="1:28" ht="97.2" customHeight="1" x14ac:dyDescent="0.3">
      <c r="A31" t="s">
        <v>3</v>
      </c>
      <c r="B31">
        <f ca="1">R5</f>
        <v>61.75</v>
      </c>
      <c r="C31">
        <f ca="1">B31+(B31/100*9.9)</f>
        <v>67.863249999999994</v>
      </c>
      <c r="D31">
        <f ca="1">C31+(C31/100*19.8)</f>
        <v>81.3001735</v>
      </c>
      <c r="E31">
        <f ca="1">D31+(D31/100*19.8)</f>
        <v>97.397607852999997</v>
      </c>
      <c r="F31">
        <f ca="1">E31+(E31/100*19.8)</f>
        <v>116.682334207894</v>
      </c>
      <c r="I31" s="45"/>
      <c r="J31" s="45"/>
      <c r="N31" s="46" t="s">
        <v>104</v>
      </c>
      <c r="O31" s="46"/>
      <c r="P31" s="46"/>
      <c r="Q31" s="46"/>
      <c r="R31" s="46"/>
      <c r="S31" s="46"/>
      <c r="T31" s="46"/>
      <c r="U31" s="46"/>
      <c r="V31" s="46"/>
      <c r="W31" s="46"/>
      <c r="X31" s="46"/>
      <c r="Y31" s="46"/>
      <c r="Z31" s="46"/>
      <c r="AA31" s="46"/>
    </row>
    <row r="32" spans="1:28" ht="43.2" x14ac:dyDescent="0.3">
      <c r="A32" t="s">
        <v>4</v>
      </c>
      <c r="B32">
        <f>R6</f>
        <v>38</v>
      </c>
      <c r="C32">
        <f>B32+(B32/100*20)</f>
        <v>45.6</v>
      </c>
      <c r="D32">
        <f>C32+(C32/100*60)</f>
        <v>72.960000000000008</v>
      </c>
      <c r="E32">
        <f>D32+(D32/100*60)</f>
        <v>116.73600000000002</v>
      </c>
      <c r="F32">
        <f>E32+(E32/100*60)</f>
        <v>186.77760000000004</v>
      </c>
      <c r="N32" s="2" t="s">
        <v>103</v>
      </c>
      <c r="O32" s="2" t="s">
        <v>106</v>
      </c>
      <c r="P32" s="2" t="s">
        <v>220</v>
      </c>
      <c r="Q32" s="2" t="s">
        <v>103</v>
      </c>
      <c r="R32" s="2" t="s">
        <v>120</v>
      </c>
      <c r="S32" s="2" t="s">
        <v>221</v>
      </c>
      <c r="T32" s="2" t="s">
        <v>103</v>
      </c>
      <c r="U32" s="2" t="s">
        <v>121</v>
      </c>
      <c r="V32" s="2" t="s">
        <v>222</v>
      </c>
      <c r="W32" s="2" t="s">
        <v>103</v>
      </c>
      <c r="X32" s="2" t="s">
        <v>122</v>
      </c>
      <c r="Y32" s="2" t="s">
        <v>223</v>
      </c>
      <c r="Z32" s="2" t="s">
        <v>103</v>
      </c>
      <c r="AA32" s="2" t="s">
        <v>123</v>
      </c>
      <c r="AB32" s="2" t="s">
        <v>224</v>
      </c>
    </row>
    <row r="33" spans="1:28" x14ac:dyDescent="0.3">
      <c r="N33" s="2">
        <f>B27</f>
        <v>50</v>
      </c>
      <c r="O33" s="27">
        <f>R2</f>
        <v>12.021739130434803</v>
      </c>
      <c r="P33" s="27">
        <f>O33</f>
        <v>12.021739130434803</v>
      </c>
      <c r="Q33" s="2">
        <f>N33</f>
        <v>50</v>
      </c>
      <c r="R33" s="2">
        <f ca="1">R3</f>
        <v>72.708333333333329</v>
      </c>
      <c r="S33" s="27">
        <f ca="1">R33</f>
        <v>72.708333333333329</v>
      </c>
      <c r="T33" s="2">
        <f>N33</f>
        <v>50</v>
      </c>
      <c r="U33" s="2">
        <f>R4</f>
        <v>46.360142857142854</v>
      </c>
      <c r="V33" s="27">
        <f>U33</f>
        <v>46.360142857142854</v>
      </c>
      <c r="W33" s="2">
        <f>N33</f>
        <v>50</v>
      </c>
      <c r="X33" s="2">
        <f ca="1">R5</f>
        <v>61.75</v>
      </c>
      <c r="Y33" s="27">
        <f ca="1">X33</f>
        <v>61.75</v>
      </c>
      <c r="Z33" s="2">
        <f>N33</f>
        <v>50</v>
      </c>
      <c r="AA33">
        <f>R6</f>
        <v>38</v>
      </c>
      <c r="AB33" s="27">
        <f>AA33</f>
        <v>38</v>
      </c>
    </row>
    <row r="34" spans="1:28" x14ac:dyDescent="0.3">
      <c r="N34" s="2">
        <f>N33+1</f>
        <v>51</v>
      </c>
      <c r="O34" s="2">
        <f>O33+(O33*0.0115)</f>
        <v>12.159989130434804</v>
      </c>
      <c r="P34" s="2">
        <f>O33-(1-0.27)^(1/10)</f>
        <v>11.052720145012245</v>
      </c>
      <c r="Q34" s="2">
        <f>Q33+1</f>
        <v>51</v>
      </c>
      <c r="R34" s="2">
        <f ca="1">R33+(R33*0.0123)</f>
        <v>73.602645833333327</v>
      </c>
      <c r="S34" s="2">
        <f ca="1">R33-(1-0.27)^(1/10)</f>
        <v>71.739314347910778</v>
      </c>
      <c r="T34" s="2">
        <f>T33+1</f>
        <v>51</v>
      </c>
      <c r="U34" s="2">
        <f t="shared" ref="U34:U43" si="11">U33+(U33*0.0055)</f>
        <v>46.615123642857142</v>
      </c>
      <c r="V34" s="2">
        <f>U33-(1-0.27)^(1/10)</f>
        <v>45.391123871720296</v>
      </c>
      <c r="W34" s="2">
        <f>W33+1</f>
        <v>51</v>
      </c>
      <c r="X34" s="2">
        <f ca="1">X33+(X33*0.0099)</f>
        <v>62.361325000000001</v>
      </c>
      <c r="Y34" s="2">
        <f ca="1">X33-(1-0.4013)^(1/10)</f>
        <v>60.800005861213577</v>
      </c>
      <c r="Z34" s="2">
        <f>Z33+1</f>
        <v>51</v>
      </c>
      <c r="AA34">
        <f>AA33+(AA33*0.02)</f>
        <v>38.76</v>
      </c>
      <c r="AB34" s="2">
        <f>AA33-(1-0.2925)^(1/10)</f>
        <v>37.034009969239399</v>
      </c>
    </row>
    <row r="35" spans="1:28" x14ac:dyDescent="0.3">
      <c r="N35" s="2">
        <f t="shared" ref="N35:N43" si="12">N34+1</f>
        <v>52</v>
      </c>
      <c r="O35" s="2">
        <f t="shared" ref="O35:O43" si="13">O34+(O34*0.0115)</f>
        <v>12.299829005434804</v>
      </c>
      <c r="P35" s="2">
        <f>P34-(1-0.27)^(2/10)</f>
        <v>10.113722350902881</v>
      </c>
      <c r="Q35" s="2">
        <f t="shared" ref="Q35:Q43" si="14">Q34+1</f>
        <v>52</v>
      </c>
      <c r="R35" s="2">
        <f t="shared" ref="R35:R43" ca="1" si="15">R34+(R34*0.0123)</f>
        <v>74.507958377083327</v>
      </c>
      <c r="S35" s="2">
        <f ca="1">S34-(1-0.4464)^(2/10)</f>
        <v>70.850851613971912</v>
      </c>
      <c r="T35" s="2">
        <f t="shared" ref="T35:T43" si="16">T34+1</f>
        <v>52</v>
      </c>
      <c r="U35" s="2">
        <f t="shared" si="11"/>
        <v>46.871506822892854</v>
      </c>
      <c r="V35" s="2">
        <f>V34-(1-0.27)^(2/10)</f>
        <v>44.452126077610934</v>
      </c>
      <c r="W35" s="2">
        <f t="shared" ref="W35:W43" si="17">W34+1</f>
        <v>52</v>
      </c>
      <c r="X35" s="2">
        <f t="shared" ref="X35:X43" ca="1" si="18">X34+(X34*0.0099)</f>
        <v>62.978702117499999</v>
      </c>
      <c r="Y35" s="2">
        <f ca="1">Y34-(1-0.4013)^(2/10)</f>
        <v>59.897516997485013</v>
      </c>
      <c r="Z35" s="2">
        <f t="shared" ref="Z35:Z43" si="19">Z34+1</f>
        <v>52</v>
      </c>
      <c r="AA35">
        <f t="shared" ref="AA35:AA43" si="20">AA34+(AA34*0.02)</f>
        <v>39.535199999999996</v>
      </c>
      <c r="AB35" s="2">
        <f>AB34-(1-0.2925)^(2/10)</f>
        <v>36.100873229710537</v>
      </c>
    </row>
    <row r="36" spans="1:28" x14ac:dyDescent="0.3">
      <c r="A36" t="s">
        <v>8</v>
      </c>
      <c r="N36" s="2">
        <f t="shared" si="12"/>
        <v>53</v>
      </c>
      <c r="O36" s="2">
        <f t="shared" si="13"/>
        <v>12.441277038997304</v>
      </c>
      <c r="P36" s="2">
        <f>P35-(1-0.27)^(2/10)</f>
        <v>9.1747245567935174</v>
      </c>
      <c r="Q36" s="2">
        <f t="shared" si="14"/>
        <v>53</v>
      </c>
      <c r="R36" s="2">
        <f t="shared" ca="1" si="15"/>
        <v>75.424406265121448</v>
      </c>
      <c r="S36" s="2">
        <f ca="1">S35-(1-0.4464)^(2/10)</f>
        <v>69.962388880033046</v>
      </c>
      <c r="T36" s="2">
        <f t="shared" si="16"/>
        <v>53</v>
      </c>
      <c r="U36" s="2">
        <f t="shared" si="11"/>
        <v>47.129300110418768</v>
      </c>
      <c r="V36" s="2">
        <f>V35-(1-0.27)^(2/10)</f>
        <v>43.513128283501572</v>
      </c>
      <c r="W36" s="2">
        <f t="shared" si="17"/>
        <v>53</v>
      </c>
      <c r="X36" s="2">
        <f t="shared" ca="1" si="18"/>
        <v>63.602191268463251</v>
      </c>
      <c r="Y36" s="2">
        <f ca="1">Y35-(1-0.4013)^(2/10)</f>
        <v>58.995028133756449</v>
      </c>
      <c r="Z36" s="2">
        <f t="shared" si="19"/>
        <v>53</v>
      </c>
      <c r="AA36">
        <f t="shared" si="20"/>
        <v>40.325903999999994</v>
      </c>
      <c r="AB36" s="2">
        <f>AB35-(1-0.2925)^(2/10)</f>
        <v>35.167736490181674</v>
      </c>
    </row>
    <row r="37" spans="1:28" x14ac:dyDescent="0.3">
      <c r="A37" s="1">
        <f ca="1">(B28/100*20)+(B29/100*20)+(B30/100*25)+(B31/100*20)+(B32/100*15)</f>
        <v>46.586050207039342</v>
      </c>
      <c r="N37" s="2">
        <f t="shared" si="12"/>
        <v>54</v>
      </c>
      <c r="O37" s="2">
        <f t="shared" si="13"/>
        <v>12.584351724945773</v>
      </c>
      <c r="P37" s="2">
        <f>P36-(1-0.27)^(3/10)</f>
        <v>8.2648178670316419</v>
      </c>
      <c r="Q37" s="2">
        <f t="shared" si="14"/>
        <v>54</v>
      </c>
      <c r="R37" s="2">
        <f t="shared" ca="1" si="15"/>
        <v>76.35212646218244</v>
      </c>
      <c r="S37" s="2">
        <f ca="1">S36-(1-0.4464)^(3/10)</f>
        <v>69.124939000496823</v>
      </c>
      <c r="T37" s="2">
        <f t="shared" si="16"/>
        <v>54</v>
      </c>
      <c r="U37" s="2">
        <f t="shared" si="11"/>
        <v>47.388511261026075</v>
      </c>
      <c r="V37" s="2">
        <f>V36-(1-0.27)^(3/10)</f>
        <v>42.603221593739697</v>
      </c>
      <c r="W37" s="2">
        <f t="shared" si="17"/>
        <v>54</v>
      </c>
      <c r="X37" s="2">
        <f t="shared" ca="1" si="18"/>
        <v>64.231852962021037</v>
      </c>
      <c r="Y37" s="2">
        <f ca="1">Y36-(1-0.4013)^(3/10)</f>
        <v>58.137669002894292</v>
      </c>
      <c r="Z37" s="2">
        <f t="shared" si="19"/>
        <v>54</v>
      </c>
      <c r="AA37">
        <f t="shared" si="20"/>
        <v>41.132422079999991</v>
      </c>
      <c r="AB37" s="2">
        <f>AB36-(1-0.2925)^(3/10)</f>
        <v>34.266335702460339</v>
      </c>
    </row>
    <row r="38" spans="1:28" x14ac:dyDescent="0.3">
      <c r="N38" s="2">
        <f t="shared" si="12"/>
        <v>55</v>
      </c>
      <c r="O38" s="2">
        <f t="shared" si="13"/>
        <v>12.729071769782649</v>
      </c>
      <c r="P38" s="2">
        <f>P37-(1-0.27)^(4/10)</f>
        <v>7.3831010096893923</v>
      </c>
      <c r="Q38" s="2">
        <f t="shared" si="14"/>
        <v>55</v>
      </c>
      <c r="R38" s="2">
        <f t="shared" ca="1" si="15"/>
        <v>77.291257617667284</v>
      </c>
      <c r="S38" s="2">
        <f ca="1">S37-(1-0.4464)^(4/10)</f>
        <v>68.335572970898681</v>
      </c>
      <c r="T38" s="2">
        <f t="shared" si="16"/>
        <v>55</v>
      </c>
      <c r="U38" s="2">
        <f t="shared" si="11"/>
        <v>47.649148072961715</v>
      </c>
      <c r="V38" s="2">
        <f>V37-(1-0.27)^(4/10)</f>
        <v>41.721504736397449</v>
      </c>
      <c r="W38" s="2">
        <f t="shared" si="17"/>
        <v>55</v>
      </c>
      <c r="X38" s="2">
        <f t="shared" ca="1" si="18"/>
        <v>64.86774830634505</v>
      </c>
      <c r="Y38" s="2">
        <f ca="1">Y37-(1-0.4013)^(4/10)</f>
        <v>57.323182853740221</v>
      </c>
      <c r="Z38" s="2">
        <f t="shared" si="19"/>
        <v>55</v>
      </c>
      <c r="AA38">
        <f t="shared" si="20"/>
        <v>41.955070521599993</v>
      </c>
      <c r="AB38" s="2">
        <f>AB37-(1-0.2925)^(4/10)</f>
        <v>33.395591527801777</v>
      </c>
    </row>
    <row r="39" spans="1:28" x14ac:dyDescent="0.3">
      <c r="N39" s="2">
        <f t="shared" si="12"/>
        <v>56</v>
      </c>
      <c r="O39" s="2">
        <f t="shared" si="13"/>
        <v>12.875456095135149</v>
      </c>
      <c r="P39" s="2">
        <f>P38-(1-0.27)^(5/10)</f>
        <v>6.5287006351576391</v>
      </c>
      <c r="Q39" s="2">
        <f t="shared" si="14"/>
        <v>56</v>
      </c>
      <c r="R39" s="2">
        <f t="shared" ca="1" si="15"/>
        <v>78.241940086364593</v>
      </c>
      <c r="S39" s="2">
        <f ca="1">S38-(1-0.4464)^(5/10)</f>
        <v>67.591529961389156</v>
      </c>
      <c r="T39" s="2">
        <f t="shared" si="16"/>
        <v>56</v>
      </c>
      <c r="U39" s="2">
        <f t="shared" si="11"/>
        <v>47.911218387363007</v>
      </c>
      <c r="V39" s="2">
        <f>V38-(1-0.27)^(5/10)</f>
        <v>40.8671043618657</v>
      </c>
      <c r="W39" s="2">
        <f t="shared" si="17"/>
        <v>56</v>
      </c>
      <c r="X39" s="2">
        <f t="shared" ca="1" si="18"/>
        <v>65.509939014577867</v>
      </c>
      <c r="Y39" s="2">
        <f ca="1">Y38-(1-0.4013)^(5/10)</f>
        <v>56.54942578592113</v>
      </c>
      <c r="Z39" s="2">
        <f t="shared" si="19"/>
        <v>56</v>
      </c>
      <c r="AA39">
        <f t="shared" si="20"/>
        <v>42.794171932031993</v>
      </c>
      <c r="AB39" s="2">
        <f>AB38-(1-0.2925)^(5/10)</f>
        <v>32.554461335738743</v>
      </c>
    </row>
    <row r="40" spans="1:28" x14ac:dyDescent="0.3">
      <c r="N40" s="2">
        <f t="shared" si="12"/>
        <v>57</v>
      </c>
      <c r="O40" s="2">
        <f t="shared" si="13"/>
        <v>13.023523840229204</v>
      </c>
      <c r="P40" s="2">
        <f>P39-(1-0.27)^(6/10)</f>
        <v>5.7007704510842263</v>
      </c>
      <c r="Q40" s="2">
        <f t="shared" si="14"/>
        <v>57</v>
      </c>
      <c r="R40" s="2">
        <f t="shared" ca="1" si="15"/>
        <v>79.204315949426871</v>
      </c>
      <c r="S40" s="2">
        <f ca="1">S39-(1-0.4464)^(6/10)</f>
        <v>66.890207660653928</v>
      </c>
      <c r="T40" s="2">
        <f t="shared" si="16"/>
        <v>57</v>
      </c>
      <c r="U40" s="2">
        <f t="shared" si="11"/>
        <v>48.174730088493504</v>
      </c>
      <c r="V40" s="2">
        <f>V39-(1-0.27)^(6/10)</f>
        <v>40.03917417779229</v>
      </c>
      <c r="W40" s="2">
        <f t="shared" si="17"/>
        <v>57</v>
      </c>
      <c r="X40" s="2">
        <f t="shared" ca="1" si="18"/>
        <v>66.15848741082219</v>
      </c>
      <c r="Y40" s="2">
        <f ca="1">Y39-(1-0.4013)^(6/10)</f>
        <v>55.81436110664842</v>
      </c>
      <c r="Z40" s="2">
        <f t="shared" si="19"/>
        <v>57</v>
      </c>
      <c r="AA40">
        <f t="shared" si="20"/>
        <v>43.650055370672632</v>
      </c>
      <c r="AB40" s="2">
        <f>AB39-(1-0.2925)^(6/10)</f>
        <v>31.7419379556341</v>
      </c>
    </row>
    <row r="41" spans="1:28" x14ac:dyDescent="0.3">
      <c r="N41" s="2">
        <f t="shared" si="12"/>
        <v>58</v>
      </c>
      <c r="O41" s="2">
        <f t="shared" si="13"/>
        <v>13.17329436439184</v>
      </c>
      <c r="P41" s="2">
        <f>P40-(1-0.27)^(7/10)</f>
        <v>4.8984903841126961</v>
      </c>
      <c r="Q41" s="2">
        <f t="shared" si="14"/>
        <v>58</v>
      </c>
      <c r="R41" s="2">
        <f t="shared" ca="1" si="15"/>
        <v>80.178529035604825</v>
      </c>
      <c r="S41" s="2">
        <f ca="1">S40-(1-0.4464)^(7/10)</f>
        <v>66.229153174256979</v>
      </c>
      <c r="T41" s="2">
        <f t="shared" si="16"/>
        <v>58</v>
      </c>
      <c r="U41" s="2">
        <f t="shared" si="11"/>
        <v>48.439691103980216</v>
      </c>
      <c r="V41" s="2">
        <f>V40-(1-0.27)^(7/10)</f>
        <v>39.236894110820764</v>
      </c>
      <c r="W41" s="2">
        <f t="shared" si="17"/>
        <v>58</v>
      </c>
      <c r="X41" s="2">
        <f t="shared" ca="1" si="18"/>
        <v>66.813456436189327</v>
      </c>
      <c r="Y41" s="2">
        <f ca="1">Y40-(1-0.4013)^(7/10)</f>
        <v>55.116053969710421</v>
      </c>
      <c r="Z41" s="2">
        <f t="shared" si="19"/>
        <v>58</v>
      </c>
      <c r="AA41">
        <f t="shared" si="20"/>
        <v>44.523056478086083</v>
      </c>
      <c r="AB41" s="2">
        <f>AB40-(1-0.2925)^(7/10)</f>
        <v>30.95704847069311</v>
      </c>
    </row>
    <row r="42" spans="1:28" x14ac:dyDescent="0.3">
      <c r="B42" t="s">
        <v>12</v>
      </c>
      <c r="C42" t="s">
        <v>0</v>
      </c>
      <c r="D42" t="s">
        <v>12</v>
      </c>
      <c r="E42" t="s">
        <v>1</v>
      </c>
      <c r="F42" t="s">
        <v>12</v>
      </c>
      <c r="G42" t="s">
        <v>2</v>
      </c>
      <c r="H42" t="s">
        <v>12</v>
      </c>
      <c r="I42" t="s">
        <v>3</v>
      </c>
      <c r="J42" t="s">
        <v>12</v>
      </c>
      <c r="K42" t="s">
        <v>4</v>
      </c>
      <c r="N42" s="2">
        <f t="shared" si="12"/>
        <v>59</v>
      </c>
      <c r="O42" s="2">
        <f t="shared" si="13"/>
        <v>13.324787249582347</v>
      </c>
      <c r="P42" s="2">
        <f>P41-(1-0.27)^(8/10)</f>
        <v>4.1210657675912028</v>
      </c>
      <c r="Q42" s="2">
        <f t="shared" si="14"/>
        <v>59</v>
      </c>
      <c r="R42" s="2">
        <f t="shared" ca="1" si="15"/>
        <v>81.164724942742765</v>
      </c>
      <c r="S42" s="2">
        <f ca="1">S41-(1-0.4464)^(8/10)</f>
        <v>65.606054445573449</v>
      </c>
      <c r="T42" s="2">
        <f t="shared" si="16"/>
        <v>59</v>
      </c>
      <c r="U42" s="2">
        <f t="shared" si="11"/>
        <v>48.706109405052111</v>
      </c>
      <c r="V42" s="2">
        <f>V41-(1-0.27)^(8/10)</f>
        <v>38.45946949429927</v>
      </c>
      <c r="W42" s="2">
        <f t="shared" si="17"/>
        <v>59</v>
      </c>
      <c r="X42" s="2">
        <f t="shared" ca="1" si="18"/>
        <v>67.474909654907606</v>
      </c>
      <c r="Y42" s="2">
        <f ca="1">Y41-(1-0.4013)^(8/10)</f>
        <v>54.452666282546595</v>
      </c>
      <c r="Z42" s="2">
        <f t="shared" si="19"/>
        <v>59</v>
      </c>
      <c r="AA42">
        <f t="shared" si="20"/>
        <v>45.413517607647805</v>
      </c>
      <c r="AB42" s="2">
        <f>AB41-(1-0.2925)^(8/10)</f>
        <v>30.198853052991293</v>
      </c>
    </row>
    <row r="43" spans="1:28" x14ac:dyDescent="0.3">
      <c r="B43">
        <f>B27</f>
        <v>50</v>
      </c>
      <c r="C43">
        <f>B28</f>
        <v>12.021739130434803</v>
      </c>
      <c r="D43">
        <f>B43</f>
        <v>50</v>
      </c>
      <c r="E43">
        <f ca="1">B29</f>
        <v>72.708333333333329</v>
      </c>
      <c r="F43">
        <f>B27</f>
        <v>50</v>
      </c>
      <c r="G43">
        <f>B30</f>
        <v>46.360142857142854</v>
      </c>
      <c r="H43">
        <f>B27</f>
        <v>50</v>
      </c>
      <c r="I43">
        <f ca="1">B31</f>
        <v>61.75</v>
      </c>
      <c r="J43">
        <f>B27</f>
        <v>50</v>
      </c>
      <c r="K43">
        <f>B32</f>
        <v>38</v>
      </c>
      <c r="N43" s="2">
        <f t="shared" si="12"/>
        <v>60</v>
      </c>
      <c r="O43" s="2">
        <f t="shared" si="13"/>
        <v>13.478022302952544</v>
      </c>
      <c r="P43" s="2">
        <f>P42-(1-0.27)^(9/10)</f>
        <v>3.3677265544470241</v>
      </c>
      <c r="Q43" s="2">
        <f t="shared" si="14"/>
        <v>60</v>
      </c>
      <c r="R43" s="2">
        <f t="shared" ca="1" si="15"/>
        <v>82.163051059538503</v>
      </c>
      <c r="S43" s="2">
        <f ca="1">S42-(1-0.4464)^(9/10)</f>
        <v>65.018732169306659</v>
      </c>
      <c r="T43" s="2">
        <f t="shared" si="16"/>
        <v>60</v>
      </c>
      <c r="U43" s="2">
        <f t="shared" si="11"/>
        <v>48.973993006779899</v>
      </c>
      <c r="V43" s="2">
        <f>V42-(1-0.27)^(9/10)</f>
        <v>37.70613028115509</v>
      </c>
      <c r="W43" s="2">
        <f t="shared" si="17"/>
        <v>60</v>
      </c>
      <c r="X43" s="2">
        <f t="shared" ca="1" si="18"/>
        <v>68.142911260491189</v>
      </c>
      <c r="Y43" s="2">
        <f ca="1">Y42-(1-0.4013)^(9/10)</f>
        <v>53.822451867997877</v>
      </c>
      <c r="Z43" s="2">
        <f t="shared" si="19"/>
        <v>60</v>
      </c>
      <c r="AA43">
        <f t="shared" si="20"/>
        <v>46.321787959800758</v>
      </c>
      <c r="AB43" s="2">
        <f>AB42-(1-0.2925)^(9/10)</f>
        <v>29.466443838122967</v>
      </c>
    </row>
    <row r="44" spans="1:28" x14ac:dyDescent="0.3">
      <c r="B44">
        <f>C27</f>
        <v>60</v>
      </c>
      <c r="C44">
        <f>C28</f>
        <v>13.404239130434805</v>
      </c>
      <c r="D44">
        <f>B44</f>
        <v>60</v>
      </c>
      <c r="E44">
        <f ca="1">C29</f>
        <v>81.651458333333323</v>
      </c>
      <c r="F44">
        <f>C27</f>
        <v>60</v>
      </c>
      <c r="G44">
        <f>C30</f>
        <v>48.909950714285714</v>
      </c>
      <c r="H44">
        <f>C27</f>
        <v>60</v>
      </c>
      <c r="I44">
        <f ca="1">C31</f>
        <v>67.863249999999994</v>
      </c>
      <c r="J44">
        <f>C27</f>
        <v>60</v>
      </c>
      <c r="K44">
        <f>C32</f>
        <v>45.6</v>
      </c>
    </row>
    <row r="45" spans="1:28" x14ac:dyDescent="0.3">
      <c r="B45">
        <f>D27</f>
        <v>70</v>
      </c>
      <c r="C45">
        <f>D28</f>
        <v>17.720404130434812</v>
      </c>
      <c r="D45">
        <f>D27</f>
        <v>70</v>
      </c>
      <c r="E45">
        <f ca="1">D29</f>
        <v>106.8001075</v>
      </c>
      <c r="F45">
        <f>D27</f>
        <v>70</v>
      </c>
      <c r="G45">
        <f>D30</f>
        <v>54.290045292857144</v>
      </c>
      <c r="H45">
        <f>D27</f>
        <v>70</v>
      </c>
      <c r="I45">
        <f ca="1">D31</f>
        <v>81.3001735</v>
      </c>
      <c r="J45">
        <f>D27</f>
        <v>70</v>
      </c>
      <c r="K45">
        <f>D32</f>
        <v>72.960000000000008</v>
      </c>
    </row>
    <row r="46" spans="1:28" x14ac:dyDescent="0.3">
      <c r="B46">
        <f>E27</f>
        <v>80</v>
      </c>
      <c r="C46">
        <f>E28</f>
        <v>23.42637426043482</v>
      </c>
      <c r="D46">
        <f>E27</f>
        <v>80</v>
      </c>
      <c r="E46">
        <f ca="1">E29</f>
        <v>139.69454060999999</v>
      </c>
      <c r="F46">
        <f>E27</f>
        <v>80</v>
      </c>
      <c r="G46">
        <f>E30</f>
        <v>60.261950275071428</v>
      </c>
      <c r="H46">
        <f>E27</f>
        <v>80</v>
      </c>
      <c r="I46">
        <f ca="1">E31</f>
        <v>97.397607852999997</v>
      </c>
      <c r="J46">
        <f>E27</f>
        <v>80</v>
      </c>
      <c r="K46">
        <f>E32</f>
        <v>116.73600000000002</v>
      </c>
    </row>
    <row r="47" spans="1:28" x14ac:dyDescent="0.3">
      <c r="B47">
        <f>F27</f>
        <v>90</v>
      </c>
      <c r="C47">
        <f>F28</f>
        <v>30.969666772294833</v>
      </c>
      <c r="D47">
        <f>F27</f>
        <v>90</v>
      </c>
      <c r="E47">
        <f ca="1">F29</f>
        <v>182.72045911787998</v>
      </c>
      <c r="F47">
        <f>F27</f>
        <v>90</v>
      </c>
      <c r="G47">
        <f ca="1">F31</f>
        <v>116.682334207894</v>
      </c>
      <c r="H47">
        <f>F27</f>
        <v>90</v>
      </c>
      <c r="I47">
        <f ca="1">F31</f>
        <v>116.682334207894</v>
      </c>
      <c r="J47">
        <f>F27</f>
        <v>90</v>
      </c>
      <c r="K47">
        <f>F32</f>
        <v>186.77760000000004</v>
      </c>
    </row>
    <row r="55" spans="4:5" x14ac:dyDescent="0.3">
      <c r="D55" t="s">
        <v>227</v>
      </c>
      <c r="E55">
        <f ca="1">_xlfn.LET(_xlpm.ChronAge, B28, _xlpm.BioAge, MEDIAN(25, T4, 90), MAX(1, MIN(100, (100 * ((_xlpm.ChronAge + 30) - _xlpm.BioAge) / 60))))</f>
        <v>1</v>
      </c>
    </row>
    <row r="56" spans="4:5" x14ac:dyDescent="0.3">
      <c r="D56" t="s">
        <v>225</v>
      </c>
      <c r="E56">
        <f ca="1">_xlfn.LET(_xlpm.ChronAge, B27, _xlpm.BioAge, MEDIAN(25, T4, 90), MAX(300, MIN(850, 600 + (10 * (_xlpm.ChronAge - _xlpm.BioAge)))))</f>
        <v>634.13949792960659</v>
      </c>
    </row>
  </sheetData>
  <mergeCells count="4">
    <mergeCell ref="A23:F23"/>
    <mergeCell ref="I24:J24"/>
    <mergeCell ref="I25:J31"/>
    <mergeCell ref="N31:AA3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BEDF-7C78-4FBE-85C8-63994B7D8365}">
  <dimension ref="A1:AB55"/>
  <sheetViews>
    <sheetView topLeftCell="A34" workbookViewId="0">
      <selection activeCell="D56" sqref="D56"/>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88671875" bestFit="1" customWidth="1"/>
    <col min="9" max="9" width="21.88671875" customWidth="1"/>
    <col min="10" max="10" width="28.777343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4.5546875" bestFit="1" customWidth="1"/>
    <col min="26" max="26" width="11.21875" customWidth="1"/>
    <col min="27" max="27" width="9" bestFit="1"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24</v>
      </c>
      <c r="D2" s="35">
        <f>C2-(C2/100*1)</f>
        <v>23.76</v>
      </c>
      <c r="E2" s="35">
        <f t="shared" ref="E2:L2" si="0">D2-(D2/100*1)</f>
        <v>23.522400000000001</v>
      </c>
      <c r="F2" s="35">
        <f t="shared" si="0"/>
        <v>23.287176000000002</v>
      </c>
      <c r="G2" s="35">
        <f t="shared" si="0"/>
        <v>23.054304240000004</v>
      </c>
      <c r="H2" s="36">
        <f t="shared" si="0"/>
        <v>22.823761197600003</v>
      </c>
      <c r="I2" s="35">
        <f t="shared" si="0"/>
        <v>22.595523585624004</v>
      </c>
      <c r="J2" s="35">
        <f t="shared" si="0"/>
        <v>22.369568349767764</v>
      </c>
      <c r="K2" s="35">
        <f t="shared" si="0"/>
        <v>22.145872666270087</v>
      </c>
      <c r="L2" s="35">
        <f t="shared" si="0"/>
        <v>21.924413939607387</v>
      </c>
      <c r="M2" s="33">
        <f>C2-(C2/100*M1)</f>
        <v>21.6</v>
      </c>
      <c r="N2" s="8"/>
      <c r="O2" s="21"/>
      <c r="Q2" s="3" t="s">
        <v>0</v>
      </c>
      <c r="R2" s="16">
        <f>B27+ ((1 -((C2 / 22.8) * 0.7 )-((C3 / 100) * 0.3 )) * 100)</f>
        <v>63.915789473684214</v>
      </c>
    </row>
    <row r="3" spans="1:20" x14ac:dyDescent="0.3">
      <c r="A3" s="3" t="s">
        <v>0</v>
      </c>
      <c r="B3" s="3" t="s">
        <v>16</v>
      </c>
      <c r="C3" s="9">
        <v>88</v>
      </c>
      <c r="D3" s="35">
        <f t="shared" ref="D3:K3" si="1">C3-(C3/100*1.5)</f>
        <v>86.68</v>
      </c>
      <c r="E3" s="35">
        <f t="shared" si="1"/>
        <v>85.379800000000003</v>
      </c>
      <c r="F3" s="35">
        <f t="shared" si="1"/>
        <v>84.099102999999999</v>
      </c>
      <c r="G3" s="35">
        <f t="shared" si="1"/>
        <v>82.837616455000003</v>
      </c>
      <c r="H3" s="36">
        <f t="shared" si="1"/>
        <v>81.595052208175005</v>
      </c>
      <c r="I3" s="35">
        <f t="shared" si="1"/>
        <v>80.371126425052381</v>
      </c>
      <c r="J3" s="35">
        <f t="shared" si="1"/>
        <v>79.165559528676596</v>
      </c>
      <c r="K3" s="35">
        <f t="shared" si="1"/>
        <v>77.978076135746448</v>
      </c>
      <c r="L3" s="35">
        <f>K3-(K3/100*1.5)</f>
        <v>76.808404993710255</v>
      </c>
      <c r="M3" s="33">
        <f>C3-(C3/100*M1)</f>
        <v>79.2</v>
      </c>
      <c r="N3" s="8"/>
      <c r="O3" s="21"/>
      <c r="Q3" s="4" t="s">
        <v>1</v>
      </c>
      <c r="R3" s="4">
        <f ca="1">((O4/100*50)+(O5/100*25)+(O6/100*25))</f>
        <v>65.416666666666657</v>
      </c>
      <c r="T3" s="23" t="s">
        <v>8</v>
      </c>
    </row>
    <row r="4" spans="1:20" ht="18" customHeight="1" x14ac:dyDescent="0.3">
      <c r="A4" s="4" t="s">
        <v>17</v>
      </c>
      <c r="B4" s="4" t="s">
        <v>18</v>
      </c>
      <c r="C4" s="10">
        <v>24</v>
      </c>
      <c r="D4" s="35">
        <f>C4-(C4/100*1)</f>
        <v>23.76</v>
      </c>
      <c r="E4" s="35">
        <f t="shared" ref="E4:L4" si="2">D4-(D4/100*1)</f>
        <v>23.522400000000001</v>
      </c>
      <c r="F4" s="35">
        <f t="shared" si="2"/>
        <v>23.287176000000002</v>
      </c>
      <c r="G4" s="35">
        <f t="shared" si="2"/>
        <v>23.054304240000004</v>
      </c>
      <c r="H4" s="36">
        <f t="shared" si="2"/>
        <v>22.823761197600003</v>
      </c>
      <c r="I4" s="35">
        <f t="shared" si="2"/>
        <v>22.595523585624004</v>
      </c>
      <c r="J4" s="35">
        <f t="shared" si="2"/>
        <v>22.369568349767764</v>
      </c>
      <c r="K4" s="35">
        <f t="shared" si="2"/>
        <v>22.145872666270087</v>
      </c>
      <c r="L4" s="35">
        <f t="shared" si="2"/>
        <v>21.924413939607387</v>
      </c>
      <c r="M4" s="33">
        <f>C4-(C4/100*M1)</f>
        <v>21.6</v>
      </c>
      <c r="N4" s="8"/>
      <c r="O4" s="18">
        <v>60</v>
      </c>
      <c r="Q4" s="5" t="s">
        <v>2</v>
      </c>
      <c r="R4" s="5">
        <f>B27 - 9*R11</f>
        <v>60.763138157894737</v>
      </c>
      <c r="T4" s="1">
        <f ca="1">(R2/100*20)+(R3/100*20)+(R4/100*25)+(R5/100*20)+(R6/100*15)</f>
        <v>71.932275767543857</v>
      </c>
    </row>
    <row r="5" spans="1:20" x14ac:dyDescent="0.3">
      <c r="A5" s="4" t="s">
        <v>17</v>
      </c>
      <c r="B5" s="4" t="s">
        <v>19</v>
      </c>
      <c r="C5" s="10">
        <v>1.9</v>
      </c>
      <c r="D5" s="35">
        <f>C5-(C5/100*1.2)</f>
        <v>1.8772</v>
      </c>
      <c r="E5" s="35">
        <f t="shared" ref="E5:L6" si="3">D5-(D5/100*1.2)</f>
        <v>1.8546735999999999</v>
      </c>
      <c r="F5" s="35">
        <f t="shared" si="3"/>
        <v>1.8324175167999999</v>
      </c>
      <c r="G5" s="35">
        <f t="shared" si="3"/>
        <v>1.8104285065983998</v>
      </c>
      <c r="H5" s="36">
        <f t="shared" si="3"/>
        <v>1.788703364519219</v>
      </c>
      <c r="I5" s="35">
        <f t="shared" si="3"/>
        <v>1.7672389241449884</v>
      </c>
      <c r="J5" s="35">
        <f t="shared" si="3"/>
        <v>1.7460320570552486</v>
      </c>
      <c r="K5" s="35">
        <f t="shared" si="3"/>
        <v>1.7250796723705857</v>
      </c>
      <c r="L5" s="35">
        <f t="shared" si="3"/>
        <v>1.7043787163021387</v>
      </c>
      <c r="M5" s="34">
        <f>C5-(C5/100*12)</f>
        <v>1.6719999999999999</v>
      </c>
      <c r="N5" s="8"/>
      <c r="O5" s="18">
        <f ca="1">FORECAST(C5, OFFSET([1]Strength_Normative_Data!$O$3, MATCH(C5, [1]Strength_Normative_Data!$Q$3:$Q$17, -1)-1, 0, 2), OFFSET([1]Strength_Normative_Data!$Q$3, MATCH(C5, [1]Strength_Normative_Data!$Q$3:$Q$17, -1)-1, 0, 2))</f>
        <v>66.666666666666657</v>
      </c>
      <c r="Q5" s="6" t="s">
        <v>29</v>
      </c>
      <c r="R5" s="6">
        <f ca="1">((O14/100*30)+(O15/100*25)+(O16/100*30)+(O17/100*15))</f>
        <v>89.5</v>
      </c>
    </row>
    <row r="6" spans="1:20" x14ac:dyDescent="0.3">
      <c r="A6" s="4" t="s">
        <v>17</v>
      </c>
      <c r="B6" s="4" t="s">
        <v>20</v>
      </c>
      <c r="C6" s="10">
        <v>12</v>
      </c>
      <c r="D6" s="35">
        <f>C6-(C6/100*1.2)</f>
        <v>11.856</v>
      </c>
      <c r="E6" s="35">
        <f t="shared" si="3"/>
        <v>11.713728</v>
      </c>
      <c r="F6" s="35">
        <f t="shared" si="3"/>
        <v>11.573163264</v>
      </c>
      <c r="G6" s="35">
        <f t="shared" si="3"/>
        <v>11.434285304832001</v>
      </c>
      <c r="H6" s="36">
        <f t="shared" si="3"/>
        <v>11.297073881174017</v>
      </c>
      <c r="I6" s="35">
        <f t="shared" si="3"/>
        <v>11.161508994599929</v>
      </c>
      <c r="J6" s="35">
        <f t="shared" si="3"/>
        <v>11.02757088666473</v>
      </c>
      <c r="K6" s="35">
        <f t="shared" si="3"/>
        <v>10.895240036024752</v>
      </c>
      <c r="L6" s="35">
        <f t="shared" si="3"/>
        <v>10.764497155592455</v>
      </c>
      <c r="M6" s="34">
        <f>C6-(C6/100*12)</f>
        <v>10.56</v>
      </c>
      <c r="N6" s="8"/>
      <c r="O6" s="18">
        <f ca="1">FORECAST(C6, OFFSET([1]Strength_Normative_Data!$J$3, MATCH(C6, [1]Strength_Normative_Data!$L$3:$L$16, -1)-1, 0, 2), OFFSET([1]Strength_Normative_Data!$L$3, MATCH(C6, [1]Strength_Normative_Data!$L$3:$L$16, -1)-1, 0, 2))</f>
        <v>75</v>
      </c>
      <c r="Q6" s="7" t="s">
        <v>4</v>
      </c>
      <c r="R6" s="7">
        <f>((O18/100*60)+(O19/100*40))</f>
        <v>86.5</v>
      </c>
    </row>
    <row r="7" spans="1:20" x14ac:dyDescent="0.3">
      <c r="A7" s="5" t="s">
        <v>21</v>
      </c>
      <c r="B7" s="5" t="s">
        <v>22</v>
      </c>
      <c r="C7" s="11">
        <v>28</v>
      </c>
      <c r="D7" s="35"/>
      <c r="E7" s="35"/>
      <c r="F7" s="35"/>
      <c r="G7" s="35"/>
      <c r="H7" s="34">
        <f>C7+(C7/100*3)</f>
        <v>28.84</v>
      </c>
      <c r="I7" s="35"/>
      <c r="J7" s="35"/>
      <c r="K7" s="35"/>
      <c r="L7" s="37"/>
      <c r="M7" s="34">
        <f>C7+(C7/100*6)</f>
        <v>29.68</v>
      </c>
      <c r="N7" s="8"/>
      <c r="O7" s="22"/>
    </row>
    <row r="8" spans="1:20" x14ac:dyDescent="0.3">
      <c r="A8" s="5" t="s">
        <v>21</v>
      </c>
      <c r="B8" s="5" t="s">
        <v>23</v>
      </c>
      <c r="C8" s="11">
        <v>0.5</v>
      </c>
      <c r="D8" s="35"/>
      <c r="E8" s="35"/>
      <c r="F8" s="35"/>
      <c r="G8" s="35"/>
      <c r="H8" s="34">
        <f>C8+(C8/100*2)</f>
        <v>0.51</v>
      </c>
      <c r="I8" s="35"/>
      <c r="J8" s="35"/>
      <c r="K8" s="35"/>
      <c r="L8" s="37"/>
      <c r="M8" s="34">
        <f>C8+(C8/100*4)</f>
        <v>0.52</v>
      </c>
      <c r="N8" s="8"/>
      <c r="O8" s="22">
        <f xml:space="preserve">
IF(C8&lt;=0.4,0,
IF(C8&lt;=0.5,20*(C8-0.4)/0.1,
IF(C8&lt;=0.6,20+40*(C8-0.5)/0.1,
60+40*(MIN(C8,0.75)-0.6)/0.15)))</f>
        <v>19.999999999999993</v>
      </c>
    </row>
    <row r="9" spans="1:20" x14ac:dyDescent="0.3">
      <c r="A9" s="5" t="s">
        <v>21</v>
      </c>
      <c r="B9" s="5" t="s">
        <v>24</v>
      </c>
      <c r="C9" s="11">
        <v>5.2</v>
      </c>
      <c r="D9" s="35"/>
      <c r="E9" s="35"/>
      <c r="F9" s="35"/>
      <c r="G9" s="35"/>
      <c r="H9" s="35" t="s">
        <v>228</v>
      </c>
      <c r="I9" s="35"/>
      <c r="J9" s="35"/>
      <c r="K9" s="35"/>
      <c r="L9" s="37"/>
      <c r="M9" s="34"/>
      <c r="N9" s="8"/>
      <c r="O9" s="22"/>
    </row>
    <row r="10" spans="1:20" x14ac:dyDescent="0.3">
      <c r="A10" s="5" t="s">
        <v>21</v>
      </c>
      <c r="B10" s="5" t="s">
        <v>25</v>
      </c>
      <c r="C10" s="11">
        <v>5.6</v>
      </c>
      <c r="D10" s="35"/>
      <c r="E10" s="35"/>
      <c r="F10" s="35"/>
      <c r="G10" s="35"/>
      <c r="H10" s="34">
        <f>C10+(C10/100*2.5)</f>
        <v>5.7399999999999993</v>
      </c>
      <c r="I10" s="35"/>
      <c r="J10" s="35"/>
      <c r="K10" s="35"/>
      <c r="L10" s="37"/>
      <c r="M10" s="34">
        <f>C10+(C10/100*5)</f>
        <v>5.88</v>
      </c>
      <c r="N10" s="8"/>
      <c r="O10" s="22">
        <f xml:space="preserve">
IF(C10&lt;5.7,10*(C10/5.7),
IF(C10&lt;6.5,10+40*(C10-5.7)/0.8,
50+50*(MIN(C10,9)-6.5)/2.5))</f>
        <v>9.8245614035087705</v>
      </c>
      <c r="Q10" t="s">
        <v>89</v>
      </c>
      <c r="R10" t="s">
        <v>90</v>
      </c>
    </row>
    <row r="11" spans="1:20" x14ac:dyDescent="0.3">
      <c r="A11" s="5" t="s">
        <v>21</v>
      </c>
      <c r="B11" s="5" t="s">
        <v>26</v>
      </c>
      <c r="C11" s="11">
        <v>1.5</v>
      </c>
      <c r="D11" s="35"/>
      <c r="E11" s="35"/>
      <c r="F11" s="35"/>
      <c r="G11" s="35"/>
      <c r="H11" s="34">
        <f>C11+(C11/100*7)</f>
        <v>1.605</v>
      </c>
      <c r="I11" s="35"/>
      <c r="J11" s="35"/>
      <c r="K11" s="35"/>
      <c r="L11" s="37"/>
      <c r="M11" s="34">
        <f>C11+(C11/100*14)</f>
        <v>1.71</v>
      </c>
      <c r="N11" s="8"/>
      <c r="O11" s="5">
        <f xml:space="preserve">
IF(C11&lt;1.6,10*(C11/1.6),
IF(C11&lt;3,10+40*(C11-1.6)/1.4,
50+50*(MIN(C11,7)-3)/4))</f>
        <v>9.375</v>
      </c>
      <c r="Q11">
        <f>(0.3*P12)+(0.2*O8)+(0.15*O10)+(0.25*O11)+(0.1*O13)</f>
        <v>17.017434210526314</v>
      </c>
      <c r="R11">
        <f xml:space="preserve">
IF(Q11&lt;=10,1.5-0.1*Q11,
IF(Q11&lt;=60,0.5-0.02*(Q11-10),
-0.5-0.03*(Q11-60)))</f>
        <v>0.35965131578947374</v>
      </c>
    </row>
    <row r="12" spans="1:20" x14ac:dyDescent="0.3">
      <c r="A12" s="5" t="s">
        <v>21</v>
      </c>
      <c r="B12" s="5" t="s">
        <v>27</v>
      </c>
      <c r="C12" s="11">
        <v>0.9</v>
      </c>
      <c r="D12" s="35"/>
      <c r="E12" s="35"/>
      <c r="F12" s="35"/>
      <c r="G12" s="35"/>
      <c r="H12" s="34">
        <f>C12+(C12/100*3)</f>
        <v>0.92700000000000005</v>
      </c>
      <c r="I12" s="35"/>
      <c r="J12" s="35"/>
      <c r="K12" s="35"/>
      <c r="L12" s="37"/>
      <c r="M12" s="34">
        <f>C12+(C12/100*6)</f>
        <v>0.95400000000000007</v>
      </c>
      <c r="N12" s="8"/>
      <c r="O12" s="5">
        <f>C12*100</f>
        <v>90</v>
      </c>
      <c r="P12" s="5">
        <f xml:space="preserve">
IF(O12&lt;80,5*(O12/80),
IF(O12&lt;100,10+20*(O12-80)/20,
IF(O12&lt;130,30+25*(O12-100)/30,
IF(O12&lt;160,55+25*(O12-130)/30,
IF(O12&lt;200,80+20*(O12-160)/40,100)))))</f>
        <v>20</v>
      </c>
    </row>
    <row r="13" spans="1:20" x14ac:dyDescent="0.3">
      <c r="A13" s="5" t="s">
        <v>21</v>
      </c>
      <c r="B13" s="5" t="s">
        <v>28</v>
      </c>
      <c r="C13" s="11">
        <v>2.1</v>
      </c>
      <c r="D13" s="35"/>
      <c r="E13" s="35"/>
      <c r="F13" s="35"/>
      <c r="G13" s="35"/>
      <c r="H13" s="34">
        <f>C13+(C13/100*9)</f>
        <v>2.2890000000000001</v>
      </c>
      <c r="I13" s="35"/>
      <c r="J13" s="35"/>
      <c r="K13" s="35"/>
      <c r="L13" s="37"/>
      <c r="M13" s="34">
        <f>C13+(C13/100*18)</f>
        <v>2.4780000000000002</v>
      </c>
      <c r="N13" s="8"/>
      <c r="O13" s="5">
        <f xml:space="preserve">
IF(C13&lt;1,10*(C13/1),
IF(C13&lt;3,10+40*(C13-1)/2,
50+50*(MIN(C13,10)-3)/7))</f>
        <v>32</v>
      </c>
    </row>
    <row r="14" spans="1:20" x14ac:dyDescent="0.3">
      <c r="A14" s="6" t="s">
        <v>29</v>
      </c>
      <c r="B14" s="6" t="s">
        <v>30</v>
      </c>
      <c r="C14" s="12">
        <v>0.6</v>
      </c>
      <c r="D14" s="35">
        <f>C14-(C14/100*0.6)</f>
        <v>0.59639999999999993</v>
      </c>
      <c r="E14" s="35">
        <f t="shared" ref="E14:L14" si="4">D14-(D14/100*0.6)</f>
        <v>0.59282159999999995</v>
      </c>
      <c r="F14" s="35">
        <f t="shared" si="4"/>
        <v>0.58926467039999997</v>
      </c>
      <c r="G14" s="35">
        <f t="shared" si="4"/>
        <v>0.58572908237760002</v>
      </c>
      <c r="H14" s="36">
        <f t="shared" si="4"/>
        <v>0.5822147078833344</v>
      </c>
      <c r="I14" s="35">
        <f t="shared" si="4"/>
        <v>0.57872141963603441</v>
      </c>
      <c r="J14" s="35">
        <f t="shared" si="4"/>
        <v>0.5752490911182182</v>
      </c>
      <c r="K14" s="35">
        <f t="shared" si="4"/>
        <v>0.57179759657150886</v>
      </c>
      <c r="L14" s="35">
        <f t="shared" si="4"/>
        <v>0.56836681099207975</v>
      </c>
      <c r="M14" s="34">
        <f>C14-(C14/100*6)</f>
        <v>0.56399999999999995</v>
      </c>
      <c r="N14" s="8"/>
      <c r="O14" s="12">
        <f ca="1">IFERROR(FORECAST(C14, OFFSET([1]Mobility_Normative_Data!$A$3, MATCH(C14, [1]Mobility_Normative_Data!$C$3:$C$17, -1)-1, 0, 2), OFFSET([1]Mobility_Normative_Data!$C$3, MATCH(C14, [1]Mobility_Normative_Data!$C$3:$C$17, -1)-1, 0, 2)), INDEX([1]Mobility_Normative_Data!$A$3:$A$17, MATCH(C14, [1]Mobility_Normative_Data!$C$3:$C$17, -1)))</f>
        <v>80</v>
      </c>
    </row>
    <row r="15" spans="1:20" x14ac:dyDescent="0.3">
      <c r="A15" s="6" t="s">
        <v>29</v>
      </c>
      <c r="B15" s="6" t="s">
        <v>31</v>
      </c>
      <c r="C15" s="12">
        <v>16</v>
      </c>
      <c r="D15" s="35">
        <f>C15-(C15/100*1)</f>
        <v>15.84</v>
      </c>
      <c r="E15" s="35">
        <f>D15-(D15/100*1)</f>
        <v>15.6816</v>
      </c>
      <c r="F15" s="35">
        <f t="shared" ref="F15:L15" si="5">E15-(E15/100*1)</f>
        <v>15.524784</v>
      </c>
      <c r="G15" s="35">
        <f t="shared" si="5"/>
        <v>15.369536160000001</v>
      </c>
      <c r="H15" s="36">
        <f t="shared" si="5"/>
        <v>15.2158407984</v>
      </c>
      <c r="I15" s="35">
        <f t="shared" si="5"/>
        <v>15.063682390416</v>
      </c>
      <c r="J15" s="35">
        <f t="shared" si="5"/>
        <v>14.91304556651184</v>
      </c>
      <c r="K15" s="35">
        <f t="shared" si="5"/>
        <v>14.763915110846723</v>
      </c>
      <c r="L15" s="35">
        <f t="shared" si="5"/>
        <v>14.616275959738255</v>
      </c>
      <c r="M15" s="34">
        <f>C15+(C15/100*10)</f>
        <v>17.600000000000001</v>
      </c>
      <c r="N15" s="8"/>
      <c r="O15" s="12">
        <v>100</v>
      </c>
    </row>
    <row r="16" spans="1:20" x14ac:dyDescent="0.3">
      <c r="A16" s="6" t="s">
        <v>29</v>
      </c>
      <c r="B16" s="6" t="s">
        <v>32</v>
      </c>
      <c r="C16" s="12">
        <v>2</v>
      </c>
      <c r="D16" s="35">
        <f>C16+(C16/100*2)</f>
        <v>2.04</v>
      </c>
      <c r="E16" s="35">
        <f>D16+(D16/100*2)</f>
        <v>2.0808</v>
      </c>
      <c r="F16" s="35">
        <f t="shared" ref="F16:L16" si="6">E16+(E16/100*2)</f>
        <v>2.1224159999999999</v>
      </c>
      <c r="G16" s="35">
        <f t="shared" si="6"/>
        <v>2.16486432</v>
      </c>
      <c r="H16" s="36">
        <f t="shared" si="6"/>
        <v>2.2081616064</v>
      </c>
      <c r="I16" s="35">
        <f t="shared" si="6"/>
        <v>2.2523248385280001</v>
      </c>
      <c r="J16" s="35">
        <f t="shared" si="6"/>
        <v>2.2973713352985601</v>
      </c>
      <c r="K16" s="35">
        <f t="shared" si="6"/>
        <v>2.3433187620045315</v>
      </c>
      <c r="L16" s="35">
        <f t="shared" si="6"/>
        <v>2.3901851372446221</v>
      </c>
      <c r="M16" s="34">
        <f>C16+(C16/100*20)</f>
        <v>2.4</v>
      </c>
      <c r="N16" s="8"/>
      <c r="O16" s="12">
        <v>90</v>
      </c>
    </row>
    <row r="17" spans="1:28" x14ac:dyDescent="0.3">
      <c r="A17" s="6" t="s">
        <v>29</v>
      </c>
      <c r="B17" s="6" t="s">
        <v>33</v>
      </c>
      <c r="C17" s="12">
        <v>0</v>
      </c>
      <c r="D17" s="35">
        <f>C17-(C17/100*1)</f>
        <v>0</v>
      </c>
      <c r="E17" s="35">
        <f t="shared" ref="E17:L17" si="7">D17-(D17/100*1)</f>
        <v>0</v>
      </c>
      <c r="F17" s="35">
        <f t="shared" si="7"/>
        <v>0</v>
      </c>
      <c r="G17" s="35">
        <f t="shared" si="7"/>
        <v>0</v>
      </c>
      <c r="H17" s="36">
        <f t="shared" si="7"/>
        <v>0</v>
      </c>
      <c r="I17" s="35">
        <f t="shared" si="7"/>
        <v>0</v>
      </c>
      <c r="J17" s="35">
        <f t="shared" si="7"/>
        <v>0</v>
      </c>
      <c r="K17" s="35">
        <f t="shared" si="7"/>
        <v>0</v>
      </c>
      <c r="L17" s="35">
        <f t="shared" si="7"/>
        <v>0</v>
      </c>
      <c r="M17" s="34">
        <f>C17+(C17/100*10)</f>
        <v>0</v>
      </c>
      <c r="N17" s="8"/>
      <c r="O17" s="12">
        <v>90</v>
      </c>
    </row>
    <row r="18" spans="1:28" x14ac:dyDescent="0.3">
      <c r="A18" s="7" t="s">
        <v>34</v>
      </c>
      <c r="B18" s="7" t="s">
        <v>35</v>
      </c>
      <c r="C18" s="13">
        <v>-1.5</v>
      </c>
      <c r="D18" s="35">
        <f>C18+-0.02</f>
        <v>-1.52</v>
      </c>
      <c r="E18" s="35">
        <f t="shared" ref="E18:L18" si="8">D18+-0.02</f>
        <v>-1.54</v>
      </c>
      <c r="F18" s="35">
        <f t="shared" si="8"/>
        <v>-1.56</v>
      </c>
      <c r="G18" s="35">
        <f t="shared" si="8"/>
        <v>-1.58</v>
      </c>
      <c r="H18" s="36">
        <f t="shared" si="8"/>
        <v>-1.6</v>
      </c>
      <c r="I18" s="35">
        <f t="shared" si="8"/>
        <v>-1.62</v>
      </c>
      <c r="J18" s="35">
        <f t="shared" si="8"/>
        <v>-1.6400000000000001</v>
      </c>
      <c r="K18" s="35">
        <f t="shared" si="8"/>
        <v>-1.6600000000000001</v>
      </c>
      <c r="L18" s="35">
        <f t="shared" si="8"/>
        <v>-1.6800000000000002</v>
      </c>
      <c r="M18" s="34">
        <f>C18 +(-0.2)</f>
        <v>-1.7</v>
      </c>
      <c r="N18" s="8"/>
      <c r="O18" s="20">
        <f>MAX(18,B27-(C18*25))</f>
        <v>101.5</v>
      </c>
    </row>
    <row r="19" spans="1:28" x14ac:dyDescent="0.3">
      <c r="A19" s="7" t="s">
        <v>34</v>
      </c>
      <c r="B19" s="7" t="s">
        <v>36</v>
      </c>
      <c r="C19" s="13">
        <v>-1.5</v>
      </c>
      <c r="D19" s="35">
        <f>C19-0.02</f>
        <v>-1.52</v>
      </c>
      <c r="E19" s="35">
        <f t="shared" ref="E19:L19" si="9">D19-0.02</f>
        <v>-1.54</v>
      </c>
      <c r="F19" s="35">
        <f t="shared" si="9"/>
        <v>-1.56</v>
      </c>
      <c r="G19" s="35">
        <f t="shared" si="9"/>
        <v>-1.58</v>
      </c>
      <c r="H19" s="36">
        <f t="shared" si="9"/>
        <v>-1.6</v>
      </c>
      <c r="I19" s="35">
        <f t="shared" si="9"/>
        <v>-1.62</v>
      </c>
      <c r="J19" s="35">
        <f t="shared" si="9"/>
        <v>-1.6400000000000001</v>
      </c>
      <c r="K19" s="35">
        <f t="shared" si="9"/>
        <v>-1.6600000000000001</v>
      </c>
      <c r="L19" s="35">
        <f t="shared" si="9"/>
        <v>-1.6800000000000002</v>
      </c>
      <c r="M19" s="34">
        <f>C19+(-0.2)</f>
        <v>-1.7</v>
      </c>
      <c r="N19" s="8"/>
      <c r="O19" s="20">
        <f>MAX(18,B27-(J1925))</f>
        <v>64</v>
      </c>
    </row>
    <row r="23" spans="1:28" x14ac:dyDescent="0.3">
      <c r="A23" s="43" t="s">
        <v>37</v>
      </c>
      <c r="B23" s="43"/>
      <c r="C23" s="43"/>
      <c r="D23" s="43"/>
      <c r="E23" s="43"/>
      <c r="F23" s="43"/>
    </row>
    <row r="24" spans="1:28" x14ac:dyDescent="0.3">
      <c r="A24" t="s">
        <v>232</v>
      </c>
      <c r="I24" s="50" t="s">
        <v>146</v>
      </c>
      <c r="J24" s="50"/>
      <c r="M24">
        <v>19</v>
      </c>
    </row>
    <row r="25" spans="1:28" x14ac:dyDescent="0.3">
      <c r="B25" t="s">
        <v>5</v>
      </c>
      <c r="C25" t="s">
        <v>6</v>
      </c>
      <c r="D25" t="s">
        <v>9</v>
      </c>
      <c r="E25" t="s">
        <v>10</v>
      </c>
      <c r="F25" t="s">
        <v>11</v>
      </c>
      <c r="I25" s="53" t="s">
        <v>237</v>
      </c>
      <c r="J25" s="54"/>
    </row>
    <row r="26" spans="1:28" x14ac:dyDescent="0.3">
      <c r="A26" t="s">
        <v>43</v>
      </c>
      <c r="B26" t="s">
        <v>143</v>
      </c>
      <c r="I26" s="54"/>
      <c r="J26" s="54"/>
    </row>
    <row r="27" spans="1:28" x14ac:dyDescent="0.3">
      <c r="A27" t="s">
        <v>7</v>
      </c>
      <c r="B27">
        <v>64</v>
      </c>
      <c r="C27">
        <f>B27+10</f>
        <v>74</v>
      </c>
      <c r="D27">
        <f>C27+10</f>
        <v>84</v>
      </c>
      <c r="E27">
        <f>D27+10</f>
        <v>94</v>
      </c>
      <c r="F27">
        <f>E27+10</f>
        <v>104</v>
      </c>
      <c r="I27" s="54"/>
      <c r="J27" s="54"/>
    </row>
    <row r="28" spans="1:28" x14ac:dyDescent="0.3">
      <c r="A28" t="s">
        <v>0</v>
      </c>
      <c r="B28" s="24">
        <f>R2</f>
        <v>63.915789473684214</v>
      </c>
      <c r="C28">
        <f>B28+(B28/100*11.5)</f>
        <v>71.266105263157897</v>
      </c>
      <c r="D28">
        <f>C28+(C28/100*32.2)</f>
        <v>94.213791157894747</v>
      </c>
      <c r="E28">
        <f>D28+(D28/100*32.2)</f>
        <v>124.55063191073685</v>
      </c>
      <c r="F28">
        <f>E28+(E28/100*32.2)</f>
        <v>164.65593538599413</v>
      </c>
      <c r="I28" s="54"/>
      <c r="J28" s="54"/>
    </row>
    <row r="29" spans="1:28" x14ac:dyDescent="0.3">
      <c r="A29" t="s">
        <v>1</v>
      </c>
      <c r="B29">
        <f ca="1">R3</f>
        <v>65.416666666666657</v>
      </c>
      <c r="C29">
        <f ca="1">B29+(B29/100*12.3)</f>
        <v>73.462916666666658</v>
      </c>
      <c r="D29">
        <f ca="1">C29+(C29/100*30.8)</f>
        <v>96.089494999999985</v>
      </c>
      <c r="E29">
        <f ca="1">D29+(D29/100*30.8)</f>
        <v>125.68505945999998</v>
      </c>
      <c r="F29">
        <f ca="1">E29+(E29/100*30.8)</f>
        <v>164.39605777367996</v>
      </c>
      <c r="I29" s="54"/>
      <c r="J29" s="54"/>
    </row>
    <row r="30" spans="1:28" x14ac:dyDescent="0.3">
      <c r="A30" t="s">
        <v>2</v>
      </c>
      <c r="B30">
        <f>R4</f>
        <v>60.763138157894737</v>
      </c>
      <c r="C30">
        <f>B30+(B30/100*5.5)</f>
        <v>64.105110756578952</v>
      </c>
      <c r="D30">
        <f>C30+(C30/100*11)</f>
        <v>71.156672939802633</v>
      </c>
      <c r="E30">
        <f>D30+(D30/100*11)</f>
        <v>78.983906963180928</v>
      </c>
      <c r="F30">
        <f>E30+(E30/100*11)</f>
        <v>87.672136729130827</v>
      </c>
      <c r="I30" s="54"/>
      <c r="J30" s="54"/>
    </row>
    <row r="31" spans="1:28" x14ac:dyDescent="0.3">
      <c r="A31" t="s">
        <v>3</v>
      </c>
      <c r="B31">
        <f ca="1">R5</f>
        <v>89.5</v>
      </c>
      <c r="C31">
        <f ca="1">B31+(B31/100*9.9)</f>
        <v>98.360500000000002</v>
      </c>
      <c r="D31">
        <f ca="1">C31+(C31/100*19.8)</f>
        <v>117.83587900000001</v>
      </c>
      <c r="E31">
        <f ca="1">D31+(D31/100*19.8)</f>
        <v>141.16738304200001</v>
      </c>
      <c r="F31">
        <f ca="1">E31+(E31/100*19.8)</f>
        <v>169.118524884316</v>
      </c>
      <c r="I31" s="54"/>
      <c r="J31" s="54"/>
      <c r="N31" s="46" t="s">
        <v>104</v>
      </c>
      <c r="O31" s="46"/>
      <c r="P31" s="46"/>
      <c r="Q31" s="46"/>
      <c r="R31" s="46"/>
      <c r="S31" s="46"/>
      <c r="T31" s="46"/>
      <c r="U31" s="46"/>
      <c r="V31" s="46"/>
      <c r="W31" s="46"/>
      <c r="X31" s="46"/>
      <c r="Y31" s="46"/>
      <c r="Z31" s="46"/>
      <c r="AA31" s="46"/>
    </row>
    <row r="32" spans="1:28" ht="94.8" customHeight="1" x14ac:dyDescent="0.3">
      <c r="A32" t="s">
        <v>4</v>
      </c>
      <c r="B32">
        <f>R6</f>
        <v>86.5</v>
      </c>
      <c r="C32">
        <f>B32+(B32/100*20)</f>
        <v>103.8</v>
      </c>
      <c r="D32">
        <f>C32+(C32/100*60)</f>
        <v>166.07999999999998</v>
      </c>
      <c r="E32">
        <f>D32+(D32/100*60)</f>
        <v>265.72799999999995</v>
      </c>
      <c r="F32">
        <f>E32+(E32/100*60)</f>
        <v>425.1647999999999</v>
      </c>
      <c r="I32" s="54"/>
      <c r="J32" s="54"/>
      <c r="N32" s="2" t="s">
        <v>103</v>
      </c>
      <c r="O32" s="2" t="s">
        <v>147</v>
      </c>
      <c r="P32" s="2" t="s">
        <v>220</v>
      </c>
      <c r="Q32" s="2" t="s">
        <v>103</v>
      </c>
      <c r="R32" s="2" t="s">
        <v>105</v>
      </c>
      <c r="S32" s="2" t="s">
        <v>221</v>
      </c>
      <c r="T32" s="2" t="s">
        <v>103</v>
      </c>
      <c r="U32" s="2" t="s">
        <v>107</v>
      </c>
      <c r="V32" s="2" t="s">
        <v>222</v>
      </c>
      <c r="W32" s="2" t="s">
        <v>103</v>
      </c>
      <c r="X32" s="2" t="s">
        <v>122</v>
      </c>
      <c r="Y32" s="2" t="s">
        <v>223</v>
      </c>
      <c r="Z32" s="2" t="s">
        <v>103</v>
      </c>
      <c r="AA32" s="2" t="s">
        <v>109</v>
      </c>
      <c r="AB32" s="2" t="s">
        <v>224</v>
      </c>
    </row>
    <row r="33" spans="1:28" x14ac:dyDescent="0.3">
      <c r="N33" s="2">
        <f>B27</f>
        <v>64</v>
      </c>
      <c r="O33" s="27">
        <f>R2</f>
        <v>63.915789473684214</v>
      </c>
      <c r="P33" s="27">
        <f>O33</f>
        <v>63.915789473684214</v>
      </c>
      <c r="Q33" s="2">
        <f>N33</f>
        <v>64</v>
      </c>
      <c r="R33" s="2">
        <f ca="1">R3</f>
        <v>65.416666666666657</v>
      </c>
      <c r="S33" s="27">
        <f ca="1">R33</f>
        <v>65.416666666666657</v>
      </c>
      <c r="T33" s="2">
        <f>N33</f>
        <v>64</v>
      </c>
      <c r="U33" s="2">
        <f>R4</f>
        <v>60.763138157894737</v>
      </c>
      <c r="V33" s="27">
        <f>U33</f>
        <v>60.763138157894737</v>
      </c>
      <c r="W33" s="2">
        <f>N33</f>
        <v>64</v>
      </c>
      <c r="X33" s="2">
        <f ca="1">R5</f>
        <v>89.5</v>
      </c>
      <c r="Y33" s="27">
        <f ca="1">X33</f>
        <v>89.5</v>
      </c>
      <c r="Z33" s="2">
        <f>N33</f>
        <v>64</v>
      </c>
      <c r="AA33">
        <f>R6</f>
        <v>86.5</v>
      </c>
      <c r="AB33" s="27">
        <f>AA33</f>
        <v>86.5</v>
      </c>
    </row>
    <row r="34" spans="1:28" x14ac:dyDescent="0.3">
      <c r="N34" s="2">
        <f>N33+1</f>
        <v>65</v>
      </c>
      <c r="O34" s="2">
        <f>O33+(O33*0.0115)</f>
        <v>64.650821052631585</v>
      </c>
      <c r="P34" s="2">
        <f>O33-(1-0.27)^(1/10)</f>
        <v>62.946770488261656</v>
      </c>
      <c r="Q34" s="2">
        <f>Q33+1</f>
        <v>65</v>
      </c>
      <c r="R34" s="2">
        <f ca="1">R33+(R33*0.0123)</f>
        <v>66.221291666666659</v>
      </c>
      <c r="S34" s="2">
        <f ca="1">R33-(1-0.27)^(1/10)</f>
        <v>64.447647681244106</v>
      </c>
      <c r="T34" s="2">
        <f>T33+1</f>
        <v>65</v>
      </c>
      <c r="U34" s="2">
        <f t="shared" ref="U34:U43" si="10">U33+(U33*0.0055)</f>
        <v>61.097335417763155</v>
      </c>
      <c r="V34" s="2">
        <f>U33-(1-0.27)^(1/10)</f>
        <v>59.794119172472179</v>
      </c>
      <c r="W34" s="2">
        <f>W33+1</f>
        <v>65</v>
      </c>
      <c r="X34" s="2">
        <f ca="1">X33+(X33*0.0099)</f>
        <v>90.386049999999997</v>
      </c>
      <c r="Y34" s="2">
        <f ca="1">X33-(1-0.4013)^(1/10)</f>
        <v>88.550005861213577</v>
      </c>
      <c r="Z34" s="2">
        <f>Z33+1</f>
        <v>65</v>
      </c>
      <c r="AA34">
        <f>AA33+(AA33*0.02)</f>
        <v>88.23</v>
      </c>
      <c r="AB34" s="2">
        <f>AA33-(1-0.2925)^(1/10)</f>
        <v>85.534009969239406</v>
      </c>
    </row>
    <row r="35" spans="1:28" x14ac:dyDescent="0.3">
      <c r="N35" s="2">
        <f t="shared" ref="N35:N43" si="11">N34+1</f>
        <v>66</v>
      </c>
      <c r="O35" s="2">
        <f t="shared" ref="O35:O43" si="12">O34+(O34*0.0115)</f>
        <v>65.394305494736855</v>
      </c>
      <c r="P35" s="2">
        <f>P34-(1-0.27)^(2/10)</f>
        <v>62.007772694152294</v>
      </c>
      <c r="Q35" s="2">
        <f t="shared" ref="Q35:Q43" si="13">Q34+1</f>
        <v>66</v>
      </c>
      <c r="R35" s="2">
        <f t="shared" ref="R35:R43" ca="1" si="14">R34+(R34*0.0123)</f>
        <v>67.035813554166666</v>
      </c>
      <c r="S35" s="2">
        <f ca="1">S34-(1-0.4464)^(2/10)</f>
        <v>63.559184947305233</v>
      </c>
      <c r="T35" s="2">
        <f t="shared" ref="T35:T43" si="15">T34+1</f>
        <v>66</v>
      </c>
      <c r="U35" s="2">
        <f t="shared" si="10"/>
        <v>61.433370762560855</v>
      </c>
      <c r="V35" s="2">
        <f>V34-(1-0.27)^(2/10)</f>
        <v>58.855121378362817</v>
      </c>
      <c r="W35" s="2">
        <f t="shared" ref="W35:W43" si="16">W34+1</f>
        <v>66</v>
      </c>
      <c r="X35" s="2">
        <f t="shared" ref="X35:X43" ca="1" si="17">X34+(X34*0.0099)</f>
        <v>91.280871895000004</v>
      </c>
      <c r="Y35" s="2">
        <f ca="1">Y34-(1-0.4013)^(2/10)</f>
        <v>87.647516997485013</v>
      </c>
      <c r="Z35" s="2">
        <f t="shared" ref="Z35:Z43" si="18">Z34+1</f>
        <v>66</v>
      </c>
      <c r="AA35">
        <f t="shared" ref="AA35:AA43" si="19">AA34+(AA34*0.02)</f>
        <v>89.994600000000005</v>
      </c>
      <c r="AB35" s="2">
        <f>AB34-(1-0.2925)^(2/10)</f>
        <v>84.600873229710544</v>
      </c>
    </row>
    <row r="36" spans="1:28" x14ac:dyDescent="0.3">
      <c r="A36" t="s">
        <v>8</v>
      </c>
      <c r="N36" s="2">
        <f t="shared" si="11"/>
        <v>67</v>
      </c>
      <c r="O36" s="2">
        <f t="shared" si="12"/>
        <v>66.146340007926327</v>
      </c>
      <c r="P36" s="2">
        <f>P35-(1-0.27)^(2/10)</f>
        <v>61.068774900042932</v>
      </c>
      <c r="Q36" s="2">
        <f t="shared" si="13"/>
        <v>67</v>
      </c>
      <c r="R36" s="2">
        <f t="shared" ca="1" si="14"/>
        <v>67.860354060882912</v>
      </c>
      <c r="S36" s="2">
        <f ca="1">S35-(1-0.4464)^(2/10)</f>
        <v>62.670722213366361</v>
      </c>
      <c r="T36" s="2">
        <f t="shared" si="15"/>
        <v>67</v>
      </c>
      <c r="U36" s="2">
        <f t="shared" si="10"/>
        <v>61.771254301754944</v>
      </c>
      <c r="V36" s="2">
        <f>V35-(1-0.27)^(2/10)</f>
        <v>57.916123584253455</v>
      </c>
      <c r="W36" s="2">
        <f t="shared" si="16"/>
        <v>67</v>
      </c>
      <c r="X36" s="2">
        <f t="shared" ca="1" si="17"/>
        <v>92.184552526760498</v>
      </c>
      <c r="Y36" s="2">
        <f ca="1">Y35-(1-0.4013)^(2/10)</f>
        <v>86.745028133756449</v>
      </c>
      <c r="Z36" s="2">
        <f t="shared" si="18"/>
        <v>67</v>
      </c>
      <c r="AA36">
        <f t="shared" si="19"/>
        <v>91.794492000000005</v>
      </c>
      <c r="AB36" s="2">
        <f>AB35-(1-0.2925)^(2/10)</f>
        <v>83.667736490181682</v>
      </c>
    </row>
    <row r="37" spans="1:28" x14ac:dyDescent="0.3">
      <c r="A37" s="1">
        <f ca="1">(B28/100*20)+(B29/100*20)+(B30/100*25)+(B31/100*20)+(B32/100*15)</f>
        <v>71.932275767543857</v>
      </c>
      <c r="N37" s="2">
        <f t="shared" si="11"/>
        <v>68</v>
      </c>
      <c r="O37" s="2">
        <f t="shared" si="12"/>
        <v>66.907022918017475</v>
      </c>
      <c r="P37" s="2">
        <f>P36-(1-0.27)^(3/10)</f>
        <v>60.158868210281057</v>
      </c>
      <c r="Q37" s="2">
        <f t="shared" si="13"/>
        <v>68</v>
      </c>
      <c r="R37" s="2">
        <f t="shared" ca="1" si="14"/>
        <v>68.695036415831765</v>
      </c>
      <c r="S37" s="2">
        <f ca="1">S36-(1-0.4464)^(3/10)</f>
        <v>61.833272333830138</v>
      </c>
      <c r="T37" s="2">
        <f t="shared" si="15"/>
        <v>68</v>
      </c>
      <c r="U37" s="2">
        <f t="shared" si="10"/>
        <v>62.110996200414597</v>
      </c>
      <c r="V37" s="2">
        <f>V36-(1-0.27)^(3/10)</f>
        <v>57.00621689449158</v>
      </c>
      <c r="W37" s="2">
        <f t="shared" si="16"/>
        <v>68</v>
      </c>
      <c r="X37" s="2">
        <f t="shared" ca="1" si="17"/>
        <v>93.097179596775433</v>
      </c>
      <c r="Y37" s="2">
        <f ca="1">Y36-(1-0.4013)^(3/10)</f>
        <v>85.887669002894299</v>
      </c>
      <c r="Z37" s="2">
        <f t="shared" si="18"/>
        <v>68</v>
      </c>
      <c r="AA37">
        <f t="shared" si="19"/>
        <v>93.630381840000013</v>
      </c>
      <c r="AB37" s="2">
        <f>AB36-(1-0.2925)^(3/10)</f>
        <v>82.766335702460353</v>
      </c>
    </row>
    <row r="38" spans="1:28" x14ac:dyDescent="0.3">
      <c r="N38" s="2">
        <f t="shared" si="11"/>
        <v>69</v>
      </c>
      <c r="O38" s="2">
        <f t="shared" si="12"/>
        <v>67.676453681574671</v>
      </c>
      <c r="P38" s="2">
        <f>P37-(1-0.27)^(4/10)</f>
        <v>59.277151352938809</v>
      </c>
      <c r="Q38" s="2">
        <f t="shared" si="13"/>
        <v>69</v>
      </c>
      <c r="R38" s="2">
        <f t="shared" ca="1" si="14"/>
        <v>69.539985363746496</v>
      </c>
      <c r="S38" s="2">
        <f ca="1">S37-(1-0.4464)^(4/10)</f>
        <v>61.043906304232003</v>
      </c>
      <c r="T38" s="2">
        <f t="shared" si="15"/>
        <v>69</v>
      </c>
      <c r="U38" s="2">
        <f t="shared" si="10"/>
        <v>62.452606679516876</v>
      </c>
      <c r="V38" s="2">
        <f>V37-(1-0.27)^(4/10)</f>
        <v>56.124500037149332</v>
      </c>
      <c r="W38" s="2">
        <f t="shared" si="16"/>
        <v>69</v>
      </c>
      <c r="X38" s="2">
        <f t="shared" ca="1" si="17"/>
        <v>94.018841674783516</v>
      </c>
      <c r="Y38" s="2">
        <f ca="1">Y37-(1-0.4013)^(4/10)</f>
        <v>85.073182853740235</v>
      </c>
      <c r="Z38" s="2">
        <f t="shared" si="18"/>
        <v>69</v>
      </c>
      <c r="AA38">
        <f t="shared" si="19"/>
        <v>95.50298947680001</v>
      </c>
      <c r="AB38" s="2">
        <f>AB37-(1-0.2925)^(4/10)</f>
        <v>81.895591527801798</v>
      </c>
    </row>
    <row r="39" spans="1:28" x14ac:dyDescent="0.3">
      <c r="N39" s="2">
        <f t="shared" si="11"/>
        <v>70</v>
      </c>
      <c r="O39" s="2">
        <f t="shared" si="12"/>
        <v>68.454732898912781</v>
      </c>
      <c r="P39" s="2">
        <f>P38-(1-0.27)^(5/10)</f>
        <v>58.422750978407059</v>
      </c>
      <c r="Q39" s="2">
        <f t="shared" si="13"/>
        <v>70</v>
      </c>
      <c r="R39" s="2">
        <f t="shared" ca="1" si="14"/>
        <v>70.395327183720582</v>
      </c>
      <c r="S39" s="2">
        <f ca="1">S38-(1-0.4464)^(5/10)</f>
        <v>60.299863294722471</v>
      </c>
      <c r="T39" s="2">
        <f t="shared" si="15"/>
        <v>70</v>
      </c>
      <c r="U39" s="2">
        <f t="shared" si="10"/>
        <v>62.796096016254218</v>
      </c>
      <c r="V39" s="2">
        <f>V38-(1-0.27)^(5/10)</f>
        <v>55.270099662617582</v>
      </c>
      <c r="W39" s="2">
        <f t="shared" si="16"/>
        <v>70</v>
      </c>
      <c r="X39" s="2">
        <f t="shared" ca="1" si="17"/>
        <v>94.949628207363872</v>
      </c>
      <c r="Y39" s="2">
        <f ca="1">Y38-(1-0.4013)^(5/10)</f>
        <v>84.299425785921144</v>
      </c>
      <c r="Z39" s="2">
        <f t="shared" si="18"/>
        <v>70</v>
      </c>
      <c r="AA39">
        <f t="shared" si="19"/>
        <v>97.413049266336017</v>
      </c>
      <c r="AB39" s="2">
        <f>AB38-(1-0.2925)^(5/10)</f>
        <v>81.054461335738765</v>
      </c>
    </row>
    <row r="40" spans="1:28" x14ac:dyDescent="0.3">
      <c r="N40" s="2">
        <f t="shared" si="11"/>
        <v>71</v>
      </c>
      <c r="O40" s="2">
        <f t="shared" si="12"/>
        <v>69.241962327250278</v>
      </c>
      <c r="P40" s="2">
        <f>P39-(1-0.27)^(6/10)</f>
        <v>57.594820794333643</v>
      </c>
      <c r="Q40" s="2">
        <f t="shared" si="13"/>
        <v>71</v>
      </c>
      <c r="R40" s="2">
        <f t="shared" ca="1" si="14"/>
        <v>71.261189708080352</v>
      </c>
      <c r="S40" s="2">
        <f ca="1">S39-(1-0.4464)^(6/10)</f>
        <v>59.598540993987235</v>
      </c>
      <c r="T40" s="2">
        <f t="shared" si="15"/>
        <v>71</v>
      </c>
      <c r="U40" s="2">
        <f t="shared" si="10"/>
        <v>63.141474544343616</v>
      </c>
      <c r="V40" s="2">
        <f>V39-(1-0.27)^(6/10)</f>
        <v>54.442169478544173</v>
      </c>
      <c r="W40" s="2">
        <f t="shared" si="16"/>
        <v>71</v>
      </c>
      <c r="X40" s="2">
        <f t="shared" ca="1" si="17"/>
        <v>95.889629526616773</v>
      </c>
      <c r="Y40" s="2">
        <f ca="1">Y39-(1-0.4013)^(6/10)</f>
        <v>83.564361106648434</v>
      </c>
      <c r="Z40" s="2">
        <f t="shared" si="18"/>
        <v>71</v>
      </c>
      <c r="AA40">
        <f t="shared" si="19"/>
        <v>99.361310251662744</v>
      </c>
      <c r="AB40" s="2">
        <f>AB39-(1-0.2925)^(6/10)</f>
        <v>80.241937955634128</v>
      </c>
    </row>
    <row r="41" spans="1:28" x14ac:dyDescent="0.3">
      <c r="N41" s="2">
        <f t="shared" si="11"/>
        <v>72</v>
      </c>
      <c r="O41" s="2">
        <f t="shared" si="12"/>
        <v>70.038244894013658</v>
      </c>
      <c r="P41" s="2">
        <f>P40-(1-0.27)^(7/10)</f>
        <v>56.792540727362116</v>
      </c>
      <c r="Q41" s="2">
        <f t="shared" si="13"/>
        <v>72</v>
      </c>
      <c r="R41" s="2">
        <f t="shared" ca="1" si="14"/>
        <v>72.137702341489742</v>
      </c>
      <c r="S41" s="2">
        <f ca="1">S40-(1-0.4464)^(7/10)</f>
        <v>58.937486507590293</v>
      </c>
      <c r="T41" s="2">
        <f t="shared" si="15"/>
        <v>72</v>
      </c>
      <c r="U41" s="2">
        <f t="shared" si="10"/>
        <v>63.488752654337503</v>
      </c>
      <c r="V41" s="2">
        <f>V40-(1-0.27)^(7/10)</f>
        <v>53.639889411572646</v>
      </c>
      <c r="W41" s="2">
        <f t="shared" si="16"/>
        <v>72</v>
      </c>
      <c r="X41" s="2">
        <f t="shared" ca="1" si="17"/>
        <v>96.838936858930282</v>
      </c>
      <c r="Y41" s="2">
        <f ca="1">Y40-(1-0.4013)^(7/10)</f>
        <v>82.866053969710435</v>
      </c>
      <c r="Z41" s="2">
        <f t="shared" si="18"/>
        <v>72</v>
      </c>
      <c r="AA41">
        <f t="shared" si="19"/>
        <v>101.348536456696</v>
      </c>
      <c r="AB41" s="2">
        <f>AB40-(1-0.2925)^(7/10)</f>
        <v>79.457048470693138</v>
      </c>
    </row>
    <row r="42" spans="1:28" x14ac:dyDescent="0.3">
      <c r="B42" t="s">
        <v>12</v>
      </c>
      <c r="C42" t="s">
        <v>0</v>
      </c>
      <c r="D42" t="s">
        <v>12</v>
      </c>
      <c r="E42" t="s">
        <v>1</v>
      </c>
      <c r="F42" t="s">
        <v>12</v>
      </c>
      <c r="G42" t="s">
        <v>2</v>
      </c>
      <c r="H42" t="s">
        <v>12</v>
      </c>
      <c r="I42" t="s">
        <v>3</v>
      </c>
      <c r="J42" t="s">
        <v>12</v>
      </c>
      <c r="K42" t="s">
        <v>4</v>
      </c>
      <c r="N42" s="2">
        <f t="shared" si="11"/>
        <v>73</v>
      </c>
      <c r="O42" s="2">
        <f t="shared" si="12"/>
        <v>70.843684710294809</v>
      </c>
      <c r="P42" s="2">
        <f>P41-(1-0.27)^(8/10)</f>
        <v>56.015116110840623</v>
      </c>
      <c r="Q42" s="2">
        <f t="shared" si="13"/>
        <v>73</v>
      </c>
      <c r="R42" s="2">
        <f t="shared" ca="1" si="14"/>
        <v>73.024996080290066</v>
      </c>
      <c r="S42" s="2">
        <f ca="1">S41-(1-0.4464)^(8/10)</f>
        <v>58.31438777890677</v>
      </c>
      <c r="T42" s="2">
        <f t="shared" si="15"/>
        <v>73</v>
      </c>
      <c r="U42" s="2">
        <f t="shared" si="10"/>
        <v>63.837940793936362</v>
      </c>
      <c r="V42" s="2">
        <f>V41-(1-0.27)^(8/10)</f>
        <v>52.862464795051153</v>
      </c>
      <c r="W42" s="2">
        <f t="shared" si="16"/>
        <v>73</v>
      </c>
      <c r="X42" s="2">
        <f t="shared" ca="1" si="17"/>
        <v>97.797642333833693</v>
      </c>
      <c r="Y42" s="2">
        <f ca="1">Y41-(1-0.4013)^(8/10)</f>
        <v>82.202666282546616</v>
      </c>
      <c r="Z42" s="2">
        <f t="shared" si="18"/>
        <v>73</v>
      </c>
      <c r="AA42">
        <f t="shared" si="19"/>
        <v>103.37550718582992</v>
      </c>
      <c r="AB42" s="2">
        <f>AB41-(1-0.2925)^(8/10)</f>
        <v>78.698853052991325</v>
      </c>
    </row>
    <row r="43" spans="1:28" x14ac:dyDescent="0.3">
      <c r="B43">
        <f>B27</f>
        <v>64</v>
      </c>
      <c r="C43">
        <f>B28</f>
        <v>63.915789473684214</v>
      </c>
      <c r="D43">
        <f>B43</f>
        <v>64</v>
      </c>
      <c r="E43">
        <f ca="1">B29</f>
        <v>65.416666666666657</v>
      </c>
      <c r="F43">
        <f>B27</f>
        <v>64</v>
      </c>
      <c r="G43">
        <f>B30</f>
        <v>60.763138157894737</v>
      </c>
      <c r="H43">
        <f>B27</f>
        <v>64</v>
      </c>
      <c r="I43">
        <f ca="1">B31</f>
        <v>89.5</v>
      </c>
      <c r="J43">
        <f>B27</f>
        <v>64</v>
      </c>
      <c r="K43">
        <f>B32</f>
        <v>86.5</v>
      </c>
      <c r="N43" s="2">
        <f t="shared" si="11"/>
        <v>74</v>
      </c>
      <c r="O43" s="2">
        <f t="shared" si="12"/>
        <v>71.6583870844632</v>
      </c>
      <c r="P43" s="2">
        <f>P42-(1-0.27)^(9/10)</f>
        <v>55.261776897696443</v>
      </c>
      <c r="Q43" s="2">
        <f t="shared" si="13"/>
        <v>74</v>
      </c>
      <c r="R43" s="2">
        <f t="shared" ca="1" si="14"/>
        <v>73.923203532077636</v>
      </c>
      <c r="S43" s="2">
        <f ca="1">S42-(1-0.4464)^(9/10)</f>
        <v>57.727065502639981</v>
      </c>
      <c r="T43" s="2">
        <f t="shared" si="15"/>
        <v>74</v>
      </c>
      <c r="U43" s="2">
        <f t="shared" si="10"/>
        <v>64.189049468303011</v>
      </c>
      <c r="V43" s="2">
        <f>V42-(1-0.27)^(9/10)</f>
        <v>52.109125581906973</v>
      </c>
      <c r="W43" s="2">
        <f t="shared" si="16"/>
        <v>74</v>
      </c>
      <c r="X43" s="2">
        <f t="shared" ca="1" si="17"/>
        <v>98.76583899293864</v>
      </c>
      <c r="Y43" s="2">
        <f ca="1">Y42-(1-0.4013)^(9/10)</f>
        <v>81.572451867997898</v>
      </c>
      <c r="Z43" s="2">
        <f t="shared" si="18"/>
        <v>74</v>
      </c>
      <c r="AA43">
        <f t="shared" si="19"/>
        <v>105.44301732954652</v>
      </c>
      <c r="AB43" s="2">
        <f>AB42-(1-0.2925)^(9/10)</f>
        <v>77.966443838122998</v>
      </c>
    </row>
    <row r="44" spans="1:28" x14ac:dyDescent="0.3">
      <c r="B44">
        <f>C27</f>
        <v>74</v>
      </c>
      <c r="C44">
        <f>C28</f>
        <v>71.266105263157897</v>
      </c>
      <c r="D44">
        <f>B44</f>
        <v>74</v>
      </c>
      <c r="E44">
        <f ca="1">C29</f>
        <v>73.462916666666658</v>
      </c>
      <c r="F44">
        <f>C27</f>
        <v>74</v>
      </c>
      <c r="G44">
        <f>C30</f>
        <v>64.105110756578952</v>
      </c>
      <c r="H44">
        <f>C27</f>
        <v>74</v>
      </c>
      <c r="I44">
        <f ca="1">C31</f>
        <v>98.360500000000002</v>
      </c>
      <c r="J44">
        <f>C27</f>
        <v>74</v>
      </c>
      <c r="K44">
        <f>C32</f>
        <v>103.8</v>
      </c>
    </row>
    <row r="45" spans="1:28" x14ac:dyDescent="0.3">
      <c r="B45">
        <f>D27</f>
        <v>84</v>
      </c>
      <c r="C45">
        <f>D28</f>
        <v>94.213791157894747</v>
      </c>
      <c r="D45">
        <f>D27</f>
        <v>84</v>
      </c>
      <c r="E45">
        <f ca="1">D29</f>
        <v>96.089494999999985</v>
      </c>
      <c r="F45">
        <f>D27</f>
        <v>84</v>
      </c>
      <c r="G45">
        <f>D30</f>
        <v>71.156672939802633</v>
      </c>
      <c r="H45">
        <f>D27</f>
        <v>84</v>
      </c>
      <c r="I45">
        <f ca="1">D31</f>
        <v>117.83587900000001</v>
      </c>
      <c r="J45">
        <f>D27</f>
        <v>84</v>
      </c>
      <c r="K45">
        <f>D32</f>
        <v>166.07999999999998</v>
      </c>
    </row>
    <row r="46" spans="1:28" x14ac:dyDescent="0.3">
      <c r="B46">
        <f>E27</f>
        <v>94</v>
      </c>
      <c r="C46">
        <f>E28</f>
        <v>124.55063191073685</v>
      </c>
      <c r="D46">
        <f>E27</f>
        <v>94</v>
      </c>
      <c r="E46">
        <f ca="1">E29</f>
        <v>125.68505945999998</v>
      </c>
      <c r="F46">
        <f>E27</f>
        <v>94</v>
      </c>
      <c r="G46">
        <f>E30</f>
        <v>78.983906963180928</v>
      </c>
      <c r="H46">
        <f>E27</f>
        <v>94</v>
      </c>
      <c r="I46">
        <f ca="1">E31</f>
        <v>141.16738304200001</v>
      </c>
      <c r="J46">
        <f>E27</f>
        <v>94</v>
      </c>
      <c r="K46">
        <f>E32</f>
        <v>265.72799999999995</v>
      </c>
    </row>
    <row r="47" spans="1:28" x14ac:dyDescent="0.3">
      <c r="B47">
        <f>F27</f>
        <v>104</v>
      </c>
      <c r="C47">
        <f>F28</f>
        <v>164.65593538599413</v>
      </c>
      <c r="D47">
        <f>F27</f>
        <v>104</v>
      </c>
      <c r="E47">
        <f ca="1">F29</f>
        <v>164.39605777367996</v>
      </c>
      <c r="F47">
        <f>F27</f>
        <v>104</v>
      </c>
      <c r="G47">
        <f ca="1">F31</f>
        <v>169.118524884316</v>
      </c>
      <c r="H47">
        <f>F27</f>
        <v>104</v>
      </c>
      <c r="I47">
        <f ca="1">F31</f>
        <v>169.118524884316</v>
      </c>
      <c r="J47">
        <f>F27</f>
        <v>104</v>
      </c>
      <c r="K47">
        <f>F32</f>
        <v>425.1647999999999</v>
      </c>
    </row>
    <row r="54" spans="3:4" x14ac:dyDescent="0.3">
      <c r="C54" t="s">
        <v>227</v>
      </c>
      <c r="D54">
        <f ca="1">_xlfn.LET(_xlpm.ChronAge, B27, _xlpm.BioAge, MEDIAN(25, T4, 90), MAX(1, MIN(100, (100 * ((_xlpm.ChronAge + 30) - _xlpm.BioAge) / 60))))</f>
        <v>36.779540387426906</v>
      </c>
    </row>
    <row r="55" spans="3:4" x14ac:dyDescent="0.3">
      <c r="C55" t="s">
        <v>226</v>
      </c>
      <c r="D55">
        <f ca="1">_xlfn.LET(_xlpm.ChronAge, B27, _xlpm.BioAge, MEDIAN(25, T4, 90), MAX(300, MIN(850, 600 + (10 * (_xlpm.ChronAge - _xlpm.BioAge)))))</f>
        <v>520.67724232456146</v>
      </c>
    </row>
  </sheetData>
  <mergeCells count="4">
    <mergeCell ref="A23:F23"/>
    <mergeCell ref="I24:J24"/>
    <mergeCell ref="I25:J32"/>
    <mergeCell ref="N31:AA3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1116-6A14-4C1C-B676-5FDE12F97DBB}">
  <dimension ref="A1:AB55"/>
  <sheetViews>
    <sheetView topLeftCell="A34" workbookViewId="0">
      <selection activeCell="E55" sqref="E55"/>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9.5546875" bestFit="1" customWidth="1"/>
    <col min="9" max="9" width="21.88671875" customWidth="1"/>
    <col min="10" max="10" width="32.6640625" customWidth="1"/>
    <col min="11" max="11" width="16" customWidth="1"/>
    <col min="12" max="12" width="13.6640625" customWidth="1"/>
    <col min="13" max="13" width="14.44140625" customWidth="1"/>
    <col min="14" max="14" width="20.77734375" customWidth="1"/>
    <col min="15" max="15" width="12.33203125" customWidth="1"/>
    <col min="17" max="17" width="18.77734375" customWidth="1"/>
    <col min="18" max="18" width="17" customWidth="1"/>
    <col min="20" max="20" width="21" customWidth="1"/>
    <col min="21" max="21" width="13.21875" customWidth="1"/>
    <col min="26" max="26" width="11.21875" customWidth="1"/>
  </cols>
  <sheetData>
    <row r="1" spans="1:20" x14ac:dyDescent="0.3">
      <c r="A1" t="s">
        <v>13</v>
      </c>
      <c r="B1" t="s">
        <v>14</v>
      </c>
      <c r="C1" s="2"/>
      <c r="D1">
        <v>1</v>
      </c>
      <c r="E1">
        <v>2</v>
      </c>
      <c r="F1">
        <v>3</v>
      </c>
      <c r="G1">
        <v>4</v>
      </c>
      <c r="H1">
        <v>5</v>
      </c>
      <c r="I1">
        <v>6</v>
      </c>
      <c r="J1">
        <v>7</v>
      </c>
      <c r="K1">
        <v>8</v>
      </c>
      <c r="L1">
        <v>9</v>
      </c>
      <c r="M1">
        <v>10</v>
      </c>
      <c r="O1" s="8"/>
      <c r="R1" t="s">
        <v>42</v>
      </c>
    </row>
    <row r="2" spans="1:20" x14ac:dyDescent="0.3">
      <c r="A2" s="3" t="s">
        <v>0</v>
      </c>
      <c r="B2" s="3" t="s">
        <v>15</v>
      </c>
      <c r="C2" s="9">
        <v>22</v>
      </c>
      <c r="D2" s="35">
        <f>C2-(C2/100*1)</f>
        <v>21.78</v>
      </c>
      <c r="E2" s="35">
        <f t="shared" ref="E2:L2" si="0">D2-(D2/100*1)</f>
        <v>21.562200000000001</v>
      </c>
      <c r="F2" s="35">
        <f t="shared" si="0"/>
        <v>21.346578000000001</v>
      </c>
      <c r="G2" s="35">
        <f t="shared" si="0"/>
        <v>21.133112220000001</v>
      </c>
      <c r="H2" s="36">
        <f>G2-(G2/100*1)</f>
        <v>20.9217810978</v>
      </c>
      <c r="I2" s="35">
        <f t="shared" si="0"/>
        <v>20.712563286822</v>
      </c>
      <c r="J2" s="35">
        <f t="shared" si="0"/>
        <v>20.505437653953781</v>
      </c>
      <c r="K2" s="35">
        <f t="shared" si="0"/>
        <v>20.300383277414245</v>
      </c>
      <c r="L2" s="35">
        <f t="shared" si="0"/>
        <v>20.097379444640101</v>
      </c>
      <c r="M2" s="33">
        <f t="shared" ref="M2" si="1">L2-(L2/100*M1)</f>
        <v>18.08764150017609</v>
      </c>
      <c r="N2" s="8"/>
      <c r="O2" s="21">
        <v>54</v>
      </c>
      <c r="Q2" s="3" t="s">
        <v>0</v>
      </c>
      <c r="R2" s="16">
        <f>B27+ ((1 -((C2 / 39.5) * 0.7 )-((C3 / 100) * 0.3 )) * 100)</f>
        <v>75.512658227848107</v>
      </c>
    </row>
    <row r="3" spans="1:20" x14ac:dyDescent="0.3">
      <c r="A3" s="3" t="s">
        <v>0</v>
      </c>
      <c r="B3" s="3" t="s">
        <v>16</v>
      </c>
      <c r="C3" s="9">
        <v>85</v>
      </c>
      <c r="D3" s="35">
        <f t="shared" ref="D3:K3" si="2">C3-(C3/100*1.5)</f>
        <v>83.724999999999994</v>
      </c>
      <c r="E3" s="35">
        <f t="shared" si="2"/>
        <v>82.469124999999991</v>
      </c>
      <c r="F3" s="35">
        <f t="shared" si="2"/>
        <v>81.23208812499999</v>
      </c>
      <c r="G3" s="35">
        <f t="shared" si="2"/>
        <v>80.013606803124986</v>
      </c>
      <c r="H3" s="36">
        <f>G3-(G3/100*1.5)</f>
        <v>78.813402701078118</v>
      </c>
      <c r="I3" s="35">
        <f t="shared" si="2"/>
        <v>77.631201660561942</v>
      </c>
      <c r="J3" s="35">
        <f t="shared" si="2"/>
        <v>76.466733635653512</v>
      </c>
      <c r="K3" s="35">
        <f t="shared" si="2"/>
        <v>75.319732631118711</v>
      </c>
      <c r="L3" s="35">
        <f>K3-(K3/100*1.5)</f>
        <v>74.189936641651926</v>
      </c>
      <c r="M3" s="33">
        <f t="shared" ref="M3" si="3">L3-(L3/100*M1)</f>
        <v>66.770942977486726</v>
      </c>
      <c r="N3" s="8"/>
      <c r="O3" s="21">
        <v>110</v>
      </c>
      <c r="Q3" s="4" t="s">
        <v>1</v>
      </c>
      <c r="R3" s="4">
        <f ca="1">((O4/100*50)+(O5/100*25)+(O6/100*25))</f>
        <v>85</v>
      </c>
      <c r="T3" s="23" t="s">
        <v>8</v>
      </c>
    </row>
    <row r="4" spans="1:20" ht="18" customHeight="1" x14ac:dyDescent="0.3">
      <c r="A4" s="4" t="s">
        <v>17</v>
      </c>
      <c r="B4" s="4" t="s">
        <v>18</v>
      </c>
      <c r="C4" s="10">
        <v>30</v>
      </c>
      <c r="D4" s="35">
        <f>C4-(C4/100*1)</f>
        <v>29.7</v>
      </c>
      <c r="E4" s="35">
        <f t="shared" ref="E4:L4" si="4">D4-(D4/100*1)</f>
        <v>29.402999999999999</v>
      </c>
      <c r="F4" s="35">
        <f t="shared" si="4"/>
        <v>29.108969999999999</v>
      </c>
      <c r="G4" s="35">
        <f t="shared" si="4"/>
        <v>28.817880299999999</v>
      </c>
      <c r="H4" s="36">
        <f t="shared" si="4"/>
        <v>28.529701496999998</v>
      </c>
      <c r="I4" s="35">
        <f t="shared" si="4"/>
        <v>28.244404482029999</v>
      </c>
      <c r="J4" s="35">
        <f t="shared" si="4"/>
        <v>27.961960437209701</v>
      </c>
      <c r="K4" s="35">
        <f t="shared" si="4"/>
        <v>27.682340832837603</v>
      </c>
      <c r="L4" s="35">
        <f t="shared" si="4"/>
        <v>27.405517424509227</v>
      </c>
      <c r="M4" s="33">
        <f t="shared" ref="M4" si="5">L4-(L4/100*M1)</f>
        <v>24.664965682058305</v>
      </c>
      <c r="N4" s="8"/>
      <c r="O4" s="18">
        <f ca="1">IF(B27&lt;30, FORECAST(C4, OFFSET([1]Strength_Normative_Data!$A$3, MATCH(C4, [1]Strength_Normative_Data!$B$3:$B$5, 1)-1, 0, 2), OFFSET([1]Strength_Normative_Data!$B$3, MATCH(C4, [1]Strength_Normative_Data!$B$3:$B$5, 1)-1, 0, 2)), FORECAST(C4, OFFSET([1]Strength_Normative_Data!$A$5, MATCH(C4, [1]Strength_Normative_Data!$B$5:$B$16, -1)-1, 0, 2), OFFSET([1]Strength_Normative_Data!$B$5, MATCH(C4, [1]Strength_Normative_Data!$B$5:$B$16, -1)-1, 0, 2)))</f>
        <v>80</v>
      </c>
      <c r="Q4" s="5" t="s">
        <v>2</v>
      </c>
      <c r="R4" s="5">
        <f>B27 - 9*R11</f>
        <v>48.802160714285719</v>
      </c>
      <c r="T4" s="1">
        <f ca="1">(R2/100*20)+(R3/100*20)+(R4/100*25)+(R5/100*20)+(R6/100*15)</f>
        <v>70.053071824141057</v>
      </c>
    </row>
    <row r="5" spans="1:20" x14ac:dyDescent="0.3">
      <c r="A5" s="4" t="s">
        <v>17</v>
      </c>
      <c r="B5" s="4" t="s">
        <v>19</v>
      </c>
      <c r="C5" s="10">
        <v>1.5</v>
      </c>
      <c r="D5" s="35">
        <f>C5-(C5/100*1.2)</f>
        <v>1.482</v>
      </c>
      <c r="E5" s="35">
        <f t="shared" ref="E5:L6" si="6">D5-(D5/100*1.2)</f>
        <v>1.464216</v>
      </c>
      <c r="F5" s="35">
        <f t="shared" si="6"/>
        <v>1.446645408</v>
      </c>
      <c r="G5" s="35">
        <f t="shared" si="6"/>
        <v>1.4292856631040001</v>
      </c>
      <c r="H5" s="36">
        <f t="shared" si="6"/>
        <v>1.4121342351467521</v>
      </c>
      <c r="I5" s="35">
        <f t="shared" si="6"/>
        <v>1.3951886243249911</v>
      </c>
      <c r="J5" s="35">
        <f t="shared" si="6"/>
        <v>1.3784463608330912</v>
      </c>
      <c r="K5" s="35">
        <f t="shared" si="6"/>
        <v>1.361905004503094</v>
      </c>
      <c r="L5" s="35">
        <f t="shared" si="6"/>
        <v>1.3455621444490569</v>
      </c>
      <c r="M5" s="34">
        <f>C5-(C5/100*12)</f>
        <v>1.32</v>
      </c>
      <c r="N5" s="8"/>
      <c r="O5" s="18">
        <v>90</v>
      </c>
      <c r="Q5" s="6" t="s">
        <v>29</v>
      </c>
      <c r="R5" s="6">
        <f ca="1">((O14/100*30)+(O15/100*25)+(O16/100*30)+(O17/100*15))</f>
        <v>87.5</v>
      </c>
    </row>
    <row r="6" spans="1:20" x14ac:dyDescent="0.3">
      <c r="A6" s="4" t="s">
        <v>17</v>
      </c>
      <c r="B6" s="4" t="s">
        <v>20</v>
      </c>
      <c r="C6" s="10">
        <v>10</v>
      </c>
      <c r="D6" s="35">
        <f>C6-(C6/100*1.2)</f>
        <v>9.8800000000000008</v>
      </c>
      <c r="E6" s="35">
        <f t="shared" si="6"/>
        <v>9.7614400000000003</v>
      </c>
      <c r="F6" s="35">
        <f t="shared" si="6"/>
        <v>9.6443027200000007</v>
      </c>
      <c r="G6" s="35">
        <f t="shared" si="6"/>
        <v>9.5285710873600014</v>
      </c>
      <c r="H6" s="36">
        <f t="shared" si="6"/>
        <v>9.4142282343116808</v>
      </c>
      <c r="I6" s="35">
        <f t="shared" si="6"/>
        <v>9.3012574954999412</v>
      </c>
      <c r="J6" s="35">
        <f t="shared" si="6"/>
        <v>9.1896424055539416</v>
      </c>
      <c r="K6" s="35">
        <f t="shared" si="6"/>
        <v>9.0793666966872948</v>
      </c>
      <c r="L6" s="35">
        <f t="shared" si="6"/>
        <v>8.9704142963270481</v>
      </c>
      <c r="M6" s="34">
        <f>C6-(C6/100*12)</f>
        <v>8.8000000000000007</v>
      </c>
      <c r="N6" s="8"/>
      <c r="O6" s="18">
        <v>90</v>
      </c>
      <c r="Q6" s="7" t="s">
        <v>4</v>
      </c>
      <c r="R6" s="7">
        <f>((O18/100*60)+(O19/100*40))</f>
        <v>55</v>
      </c>
    </row>
    <row r="7" spans="1:20" x14ac:dyDescent="0.3">
      <c r="A7" s="5" t="s">
        <v>21</v>
      </c>
      <c r="B7" s="5" t="s">
        <v>22</v>
      </c>
      <c r="C7" s="11">
        <v>35</v>
      </c>
      <c r="D7" s="35"/>
      <c r="E7" s="35"/>
      <c r="F7" s="35"/>
      <c r="G7" s="35"/>
      <c r="H7" s="36"/>
      <c r="I7" s="35"/>
      <c r="J7" s="35"/>
      <c r="K7" s="35"/>
      <c r="L7" s="37"/>
      <c r="M7" s="34">
        <f>C7+(C7/100*6)</f>
        <v>37.1</v>
      </c>
      <c r="N7" s="8"/>
      <c r="O7" s="22"/>
    </row>
    <row r="8" spans="1:20" x14ac:dyDescent="0.3">
      <c r="A8" s="5" t="s">
        <v>21</v>
      </c>
      <c r="B8" s="5" t="s">
        <v>23</v>
      </c>
      <c r="C8" s="11">
        <v>0.72</v>
      </c>
      <c r="D8" s="35"/>
      <c r="E8" s="35"/>
      <c r="F8" s="35"/>
      <c r="G8" s="35"/>
      <c r="H8" s="36"/>
      <c r="I8" s="35"/>
      <c r="J8" s="35"/>
      <c r="K8" s="35"/>
      <c r="L8" s="37"/>
      <c r="M8" s="34">
        <f>C8+(C8/100*4)</f>
        <v>0.74880000000000002</v>
      </c>
      <c r="N8" s="8"/>
      <c r="O8" s="22">
        <f xml:space="preserve">
IF(C8&lt;=0.4,0,
IF(C8&lt;=0.5,20*(C8-0.4)/0.1,
IF(C8&lt;=0.6,20+40*(C8-0.5)/0.1,
60+40*(MIN(C8,0.75)-0.6)/0.15)))</f>
        <v>92</v>
      </c>
    </row>
    <row r="9" spans="1:20" x14ac:dyDescent="0.3">
      <c r="A9" s="5" t="s">
        <v>21</v>
      </c>
      <c r="B9" s="5" t="s">
        <v>24</v>
      </c>
      <c r="C9" s="11">
        <v>7.1</v>
      </c>
      <c r="D9" s="35"/>
      <c r="E9" s="35"/>
      <c r="F9" s="35"/>
      <c r="G9" s="35"/>
      <c r="H9" s="36"/>
      <c r="I9" s="35"/>
      <c r="J9" s="35"/>
      <c r="K9" s="35"/>
      <c r="L9" s="37"/>
      <c r="M9" s="34"/>
      <c r="N9" s="8"/>
      <c r="O9" s="22"/>
    </row>
    <row r="10" spans="1:20" x14ac:dyDescent="0.3">
      <c r="A10" s="5" t="s">
        <v>21</v>
      </c>
      <c r="B10" s="5" t="s">
        <v>25</v>
      </c>
      <c r="C10" s="11">
        <v>6.8</v>
      </c>
      <c r="D10" s="35"/>
      <c r="E10" s="35"/>
      <c r="F10" s="35"/>
      <c r="G10" s="35"/>
      <c r="H10" s="36"/>
      <c r="I10" s="35"/>
      <c r="J10" s="35"/>
      <c r="K10" s="35"/>
      <c r="L10" s="37"/>
      <c r="M10" s="34">
        <f>C10+(C10/100*5)</f>
        <v>7.14</v>
      </c>
      <c r="N10" s="8"/>
      <c r="O10" s="22">
        <f xml:space="preserve">
IF(C10&lt;5.7,10*(C10/5.7),
IF(C10&lt;6.5,10+40*(C10-5.7)/0.8,
50+50*(MIN(C10,9)-6.5)/2.5))</f>
        <v>56</v>
      </c>
      <c r="Q10" t="s">
        <v>89</v>
      </c>
      <c r="R10" t="s">
        <v>90</v>
      </c>
    </row>
    <row r="11" spans="1:20" x14ac:dyDescent="0.3">
      <c r="A11" s="5" t="s">
        <v>21</v>
      </c>
      <c r="B11" s="5" t="s">
        <v>26</v>
      </c>
      <c r="C11" s="11">
        <v>5.5</v>
      </c>
      <c r="D11" s="35"/>
      <c r="E11" s="35"/>
      <c r="F11" s="35"/>
      <c r="G11" s="35"/>
      <c r="H11" s="36"/>
      <c r="I11" s="35"/>
      <c r="J11" s="35"/>
      <c r="K11" s="35"/>
      <c r="L11" s="37"/>
      <c r="M11" s="34">
        <f>C11+(C11/100*14)</f>
        <v>6.27</v>
      </c>
      <c r="N11" s="8"/>
      <c r="O11" s="5">
        <f xml:space="preserve">
IF(C11&lt;1.6,10*(C11/1.6),
IF(C11&lt;3,10+40*(C11-1.6)/1.4,
50+50*(MIN(C11,7)-3)/4))</f>
        <v>81.25</v>
      </c>
      <c r="Q11">
        <f>(0.3*P12)+(0.2*O8)+(0.15*O10)+(0.25*O11)+(0.1*O13)</f>
        <v>75.933928571428581</v>
      </c>
      <c r="R11">
        <f xml:space="preserve">
IF(Q11&lt;=10,1.5-0.1*Q11,
IF(Q11&lt;=60,0.5-0.02*(Q11-10),
-0.5-0.03*(Q11-60)))</f>
        <v>-0.97801785714285738</v>
      </c>
    </row>
    <row r="12" spans="1:20" x14ac:dyDescent="0.3">
      <c r="A12" s="5" t="s">
        <v>21</v>
      </c>
      <c r="B12" s="5" t="s">
        <v>27</v>
      </c>
      <c r="C12" s="11">
        <v>1.45</v>
      </c>
      <c r="D12" s="35"/>
      <c r="E12" s="35"/>
      <c r="F12" s="35"/>
      <c r="G12" s="35"/>
      <c r="H12" s="36"/>
      <c r="I12" s="35"/>
      <c r="J12" s="35"/>
      <c r="K12" s="35"/>
      <c r="L12" s="37"/>
      <c r="M12" s="34">
        <f>C12+(C12/100*6)</f>
        <v>1.5369999999999999</v>
      </c>
      <c r="N12" s="8"/>
      <c r="O12" s="5">
        <f>C12*100</f>
        <v>145</v>
      </c>
      <c r="P12" s="5">
        <f xml:space="preserve">
IF(O12&lt;80,5*(O12/80),
IF(O12&lt;100,10+20*(O12-80)/20,
IF(O12&lt;130,30+25*(O12-100)/30,
IF(O12&lt;160,55+25*(O12-130)/30,
IF(O12&lt;200,80+20*(O12-160)/40,100)))))</f>
        <v>67.5</v>
      </c>
    </row>
    <row r="13" spans="1:20" x14ac:dyDescent="0.3">
      <c r="A13" s="5" t="s">
        <v>21</v>
      </c>
      <c r="B13" s="5" t="s">
        <v>28</v>
      </c>
      <c r="C13" s="11">
        <v>8</v>
      </c>
      <c r="D13" s="35"/>
      <c r="E13" s="35"/>
      <c r="F13" s="35"/>
      <c r="G13" s="35"/>
      <c r="H13" s="36"/>
      <c r="I13" s="35"/>
      <c r="J13" s="35"/>
      <c r="K13" s="35"/>
      <c r="L13" s="37"/>
      <c r="M13" s="34">
        <f>C13+(C13/100*18)</f>
        <v>9.44</v>
      </c>
      <c r="N13" s="8"/>
      <c r="O13" s="5">
        <f xml:space="preserve">
IF(C13&lt;1,10*(C13/1),
IF(C13&lt;3,10+40*(C13-1)/2,
50+50*(MIN(C13,10)-3)/7))</f>
        <v>85.714285714285722</v>
      </c>
    </row>
    <row r="14" spans="1:20" x14ac:dyDescent="0.3">
      <c r="A14" s="6" t="s">
        <v>29</v>
      </c>
      <c r="B14" s="6" t="s">
        <v>30</v>
      </c>
      <c r="C14" s="12">
        <v>1</v>
      </c>
      <c r="D14" s="35">
        <f>C14-(C14/100*0.6)</f>
        <v>0.99399999999999999</v>
      </c>
      <c r="E14" s="35">
        <f t="shared" ref="E14:L14" si="7">D14-(D14/100*0.6)</f>
        <v>0.98803600000000003</v>
      </c>
      <c r="F14" s="35">
        <f t="shared" si="7"/>
        <v>0.98210778399999998</v>
      </c>
      <c r="G14" s="35">
        <f t="shared" si="7"/>
        <v>0.97621513729599996</v>
      </c>
      <c r="H14" s="36">
        <f t="shared" si="7"/>
        <v>0.97035784647222401</v>
      </c>
      <c r="I14" s="35">
        <f t="shared" si="7"/>
        <v>0.96453569939339068</v>
      </c>
      <c r="J14" s="35">
        <f t="shared" si="7"/>
        <v>0.95874848519703038</v>
      </c>
      <c r="K14" s="35">
        <f t="shared" si="7"/>
        <v>0.95299599428584825</v>
      </c>
      <c r="L14" s="35">
        <f t="shared" si="7"/>
        <v>0.94727801832013314</v>
      </c>
      <c r="M14" s="34">
        <f>C14-(C14/100*6)</f>
        <v>0.94</v>
      </c>
      <c r="N14" s="8"/>
      <c r="O14" s="12">
        <v>90</v>
      </c>
    </row>
    <row r="15" spans="1:20" x14ac:dyDescent="0.3">
      <c r="A15" s="6" t="s">
        <v>29</v>
      </c>
      <c r="B15" s="6" t="s">
        <v>31</v>
      </c>
      <c r="C15" s="12">
        <v>10</v>
      </c>
      <c r="D15" s="35">
        <f>C15+(C15/100*1)</f>
        <v>10.1</v>
      </c>
      <c r="E15" s="35">
        <f t="shared" ref="E15:L15" si="8">D15+(D15/100*1)</f>
        <v>10.201000000000001</v>
      </c>
      <c r="F15" s="35">
        <f t="shared" si="8"/>
        <v>10.30301</v>
      </c>
      <c r="G15" s="35">
        <f t="shared" si="8"/>
        <v>10.4060401</v>
      </c>
      <c r="H15" s="35">
        <f t="shared" si="8"/>
        <v>10.510100501</v>
      </c>
      <c r="I15" s="35">
        <f t="shared" si="8"/>
        <v>10.615201506010001</v>
      </c>
      <c r="J15" s="35">
        <f t="shared" si="8"/>
        <v>10.721353521070101</v>
      </c>
      <c r="K15" s="35">
        <f t="shared" si="8"/>
        <v>10.828567056280802</v>
      </c>
      <c r="L15" s="35">
        <f t="shared" si="8"/>
        <v>10.936852726843609</v>
      </c>
      <c r="M15" s="34">
        <f>C15+(C15/100*10)</f>
        <v>11</v>
      </c>
      <c r="N15" s="8"/>
      <c r="O15" s="12">
        <f ca="1">FORECAST(C15, OFFSET([1]Mobility_Normative_Data!$E$3, MATCH(C15, [1]Mobility_Normative_Data!$F$3:$F$18, 1)-1, 0, 2), OFFSET([1]Mobility_Normative_Data!$F$3, MATCH(C15, [1]Mobility_Normative_Data!$F$3:$F$18, 1)-1, 0, 2))</f>
        <v>80</v>
      </c>
    </row>
    <row r="16" spans="1:20" x14ac:dyDescent="0.3">
      <c r="A16" s="6" t="s">
        <v>29</v>
      </c>
      <c r="B16" s="6" t="s">
        <v>32</v>
      </c>
      <c r="C16" s="12">
        <v>5</v>
      </c>
      <c r="D16" s="35">
        <f>C16+(C16/100*2)</f>
        <v>5.0999999999999996</v>
      </c>
      <c r="E16" s="35">
        <f>D16+(D16/100*2)</f>
        <v>5.202</v>
      </c>
      <c r="F16" s="35">
        <f t="shared" ref="F16:L16" si="9">E16+(E16/100*2)</f>
        <v>5.3060400000000003</v>
      </c>
      <c r="G16" s="35">
        <f t="shared" si="9"/>
        <v>5.4121608000000005</v>
      </c>
      <c r="H16" s="36">
        <f t="shared" si="9"/>
        <v>5.5204040160000005</v>
      </c>
      <c r="I16" s="35">
        <f t="shared" si="9"/>
        <v>5.6308120963200006</v>
      </c>
      <c r="J16" s="35">
        <f t="shared" si="9"/>
        <v>5.7434283382464004</v>
      </c>
      <c r="K16" s="35">
        <f t="shared" si="9"/>
        <v>5.8582969050113283</v>
      </c>
      <c r="L16" s="35">
        <f t="shared" si="9"/>
        <v>5.9754628431115551</v>
      </c>
      <c r="M16" s="34">
        <f>C16+(C16/100*20)</f>
        <v>6</v>
      </c>
      <c r="N16" s="8"/>
      <c r="O16" s="12">
        <v>90</v>
      </c>
    </row>
    <row r="17" spans="1:28" x14ac:dyDescent="0.3">
      <c r="A17" s="6" t="s">
        <v>29</v>
      </c>
      <c r="B17" s="6" t="s">
        <v>33</v>
      </c>
      <c r="C17" s="12">
        <v>-25</v>
      </c>
      <c r="D17" s="35">
        <f>C17-(C17/100*1)</f>
        <v>-24.75</v>
      </c>
      <c r="E17" s="35">
        <f t="shared" ref="E17:L17" si="10">D17-(D17/100*1)</f>
        <v>-24.502500000000001</v>
      </c>
      <c r="F17" s="35">
        <f t="shared" si="10"/>
        <v>-24.257475000000003</v>
      </c>
      <c r="G17" s="35">
        <f t="shared" si="10"/>
        <v>-24.014900250000004</v>
      </c>
      <c r="H17" s="36">
        <f t="shared" si="10"/>
        <v>-23.774751247500003</v>
      </c>
      <c r="I17" s="35">
        <f t="shared" si="10"/>
        <v>-23.537003735025003</v>
      </c>
      <c r="J17" s="35">
        <f t="shared" si="10"/>
        <v>-23.301633697674752</v>
      </c>
      <c r="K17" s="35">
        <f t="shared" si="10"/>
        <v>-23.068617360698006</v>
      </c>
      <c r="L17" s="35">
        <f t="shared" si="10"/>
        <v>-22.837931187091026</v>
      </c>
      <c r="M17" s="34">
        <f>C17+(C17/100*10)</f>
        <v>-27.5</v>
      </c>
      <c r="N17" s="8"/>
      <c r="O17" s="12">
        <v>90</v>
      </c>
    </row>
    <row r="18" spans="1:28" x14ac:dyDescent="0.3">
      <c r="A18" s="7" t="s">
        <v>34</v>
      </c>
      <c r="B18" s="7" t="s">
        <v>35</v>
      </c>
      <c r="C18" s="13">
        <v>-1</v>
      </c>
      <c r="D18" s="35">
        <f>C18+-0.02</f>
        <v>-1.02</v>
      </c>
      <c r="E18" s="35">
        <f t="shared" ref="E18:L18" si="11">D18+-0.02</f>
        <v>-1.04</v>
      </c>
      <c r="F18" s="35">
        <f t="shared" si="11"/>
        <v>-1.06</v>
      </c>
      <c r="G18" s="35">
        <f t="shared" si="11"/>
        <v>-1.08</v>
      </c>
      <c r="H18" s="36">
        <f t="shared" si="11"/>
        <v>-1.1000000000000001</v>
      </c>
      <c r="I18" s="35">
        <f t="shared" si="11"/>
        <v>-1.1200000000000001</v>
      </c>
      <c r="J18" s="35">
        <f t="shared" si="11"/>
        <v>-1.1400000000000001</v>
      </c>
      <c r="K18" s="35">
        <f t="shared" si="11"/>
        <v>-1.1600000000000001</v>
      </c>
      <c r="L18" s="35">
        <f t="shared" si="11"/>
        <v>-1.1800000000000002</v>
      </c>
      <c r="M18" s="34">
        <f>C18 +(-0.2)</f>
        <v>-1.2</v>
      </c>
      <c r="N18" s="8"/>
      <c r="O18" s="20">
        <f>MAX(18,B27-(C18*25))</f>
        <v>65</v>
      </c>
    </row>
    <row r="19" spans="1:28" x14ac:dyDescent="0.3">
      <c r="A19" s="7" t="s">
        <v>34</v>
      </c>
      <c r="B19" s="7" t="s">
        <v>36</v>
      </c>
      <c r="C19" s="13">
        <v>-0.5</v>
      </c>
      <c r="D19" s="35">
        <f>C19-0.02</f>
        <v>-0.52</v>
      </c>
      <c r="E19" s="35">
        <f t="shared" ref="E19:L19" si="12">D19-0.02</f>
        <v>-0.54</v>
      </c>
      <c r="F19" s="35">
        <f t="shared" si="12"/>
        <v>-0.56000000000000005</v>
      </c>
      <c r="G19" s="35">
        <f t="shared" si="12"/>
        <v>-0.58000000000000007</v>
      </c>
      <c r="H19" s="36">
        <f t="shared" si="12"/>
        <v>-0.60000000000000009</v>
      </c>
      <c r="I19" s="35">
        <f t="shared" si="12"/>
        <v>-0.62000000000000011</v>
      </c>
      <c r="J19" s="35">
        <f t="shared" si="12"/>
        <v>-0.64000000000000012</v>
      </c>
      <c r="K19" s="35">
        <f t="shared" si="12"/>
        <v>-0.66000000000000014</v>
      </c>
      <c r="L19" s="35">
        <f t="shared" si="12"/>
        <v>-0.68000000000000016</v>
      </c>
      <c r="M19" s="34">
        <f>C19+(-0.2)</f>
        <v>-0.7</v>
      </c>
      <c r="N19" s="8"/>
      <c r="O19" s="20">
        <f>MAX(18,B27-(J1925))</f>
        <v>40</v>
      </c>
    </row>
    <row r="23" spans="1:28" x14ac:dyDescent="0.3">
      <c r="A23" s="43" t="s">
        <v>37</v>
      </c>
      <c r="B23" s="43"/>
      <c r="C23" s="43"/>
      <c r="D23" s="43"/>
      <c r="E23" s="43"/>
      <c r="F23" s="43"/>
    </row>
    <row r="25" spans="1:28" x14ac:dyDescent="0.3">
      <c r="B25" t="s">
        <v>5</v>
      </c>
      <c r="C25" t="s">
        <v>6</v>
      </c>
      <c r="D25" t="s">
        <v>9</v>
      </c>
      <c r="E25" t="s">
        <v>10</v>
      </c>
      <c r="F25" t="s">
        <v>11</v>
      </c>
    </row>
    <row r="26" spans="1:28" x14ac:dyDescent="0.3">
      <c r="A26" t="s">
        <v>43</v>
      </c>
      <c r="B26" t="s">
        <v>44</v>
      </c>
      <c r="I26" s="43" t="s">
        <v>144</v>
      </c>
      <c r="J26" s="43"/>
    </row>
    <row r="27" spans="1:28" x14ac:dyDescent="0.3">
      <c r="A27" t="s">
        <v>7</v>
      </c>
      <c r="B27">
        <v>40</v>
      </c>
      <c r="C27">
        <f>B27+10</f>
        <v>50</v>
      </c>
      <c r="D27">
        <f>C27+10</f>
        <v>60</v>
      </c>
      <c r="E27">
        <f>D27+10</f>
        <v>70</v>
      </c>
      <c r="F27">
        <f>E27+10</f>
        <v>80</v>
      </c>
      <c r="I27" s="44" t="s">
        <v>238</v>
      </c>
      <c r="J27" s="45"/>
    </row>
    <row r="28" spans="1:28" x14ac:dyDescent="0.3">
      <c r="A28" t="s">
        <v>0</v>
      </c>
      <c r="B28" s="24">
        <f>R2</f>
        <v>75.512658227848107</v>
      </c>
      <c r="C28">
        <f>B28+(B28/100*11.5)</f>
        <v>84.196613924050638</v>
      </c>
      <c r="D28">
        <f>C28+(C28/100*32.2)</f>
        <v>111.30792360759494</v>
      </c>
      <c r="E28">
        <f>D28+(D28/100*32.2)</f>
        <v>147.14907500924051</v>
      </c>
      <c r="F28">
        <f>E28+(E28/100*32.2)</f>
        <v>194.53107716221595</v>
      </c>
      <c r="I28" s="45"/>
      <c r="J28" s="45"/>
    </row>
    <row r="29" spans="1:28" x14ac:dyDescent="0.3">
      <c r="A29" t="s">
        <v>1</v>
      </c>
      <c r="B29">
        <f ca="1">R3</f>
        <v>85</v>
      </c>
      <c r="C29">
        <f ca="1">B29+(B29/100*12.3)</f>
        <v>95.454999999999998</v>
      </c>
      <c r="D29">
        <f ca="1">C29+(C29/100*30.8)</f>
        <v>124.85514000000001</v>
      </c>
      <c r="E29">
        <f ca="1">D29+(D29/100*30.8)</f>
        <v>163.31052312</v>
      </c>
      <c r="F29">
        <f ca="1">E29+(E29/100*30.8)</f>
        <v>213.61016424095999</v>
      </c>
      <c r="I29" s="45"/>
      <c r="J29" s="45"/>
    </row>
    <row r="30" spans="1:28" x14ac:dyDescent="0.3">
      <c r="A30" t="s">
        <v>2</v>
      </c>
      <c r="B30">
        <f>R4</f>
        <v>48.802160714285719</v>
      </c>
      <c r="C30">
        <f>B30+(B30/100*5.5)</f>
        <v>51.486279553571435</v>
      </c>
      <c r="D30">
        <f>C30+(C30/100*11)</f>
        <v>57.14977030446429</v>
      </c>
      <c r="E30">
        <f>D30+(D30/100*11)</f>
        <v>63.436245037955359</v>
      </c>
      <c r="F30">
        <f>E30+(E30/100*11)</f>
        <v>70.414231992130453</v>
      </c>
      <c r="I30" s="45"/>
      <c r="J30" s="45"/>
    </row>
    <row r="31" spans="1:28" x14ac:dyDescent="0.3">
      <c r="A31" t="s">
        <v>3</v>
      </c>
      <c r="B31">
        <f ca="1">R5</f>
        <v>87.5</v>
      </c>
      <c r="C31">
        <f ca="1">B31+(B31/100*9.9)</f>
        <v>96.162499999999994</v>
      </c>
      <c r="D31">
        <f ca="1">C31+(C31/100*19.8)</f>
        <v>115.202675</v>
      </c>
      <c r="E31">
        <f ca="1">D31+(D31/100*19.8)</f>
        <v>138.01280464999999</v>
      </c>
      <c r="F31">
        <f ca="1">E31+(E31/100*19.8)</f>
        <v>165.3393399707</v>
      </c>
      <c r="I31" s="45"/>
      <c r="J31" s="45"/>
      <c r="N31" s="46" t="s">
        <v>104</v>
      </c>
      <c r="O31" s="46"/>
      <c r="P31" s="46"/>
      <c r="Q31" s="46"/>
      <c r="R31" s="46"/>
      <c r="S31" s="46"/>
      <c r="T31" s="46"/>
      <c r="U31" s="46"/>
      <c r="V31" s="46"/>
      <c r="W31" s="46"/>
      <c r="X31" s="46"/>
      <c r="Y31" s="46"/>
      <c r="Z31" s="46"/>
      <c r="AA31" s="46"/>
    </row>
    <row r="32" spans="1:28" ht="84" customHeight="1" x14ac:dyDescent="0.3">
      <c r="A32" t="s">
        <v>4</v>
      </c>
      <c r="B32">
        <f>R6</f>
        <v>55</v>
      </c>
      <c r="C32">
        <f>B32+(B32/100*20)</f>
        <v>66</v>
      </c>
      <c r="D32">
        <f>C32+(C32/100*60)</f>
        <v>105.6</v>
      </c>
      <c r="E32">
        <f>D32+(D32/100*60)</f>
        <v>168.95999999999998</v>
      </c>
      <c r="F32">
        <f>E32+(E32/100*60)</f>
        <v>270.33599999999996</v>
      </c>
      <c r="I32" s="45"/>
      <c r="J32" s="45"/>
      <c r="N32" s="2" t="s">
        <v>103</v>
      </c>
      <c r="O32" s="2" t="s">
        <v>147</v>
      </c>
      <c r="P32" s="2" t="s">
        <v>220</v>
      </c>
      <c r="Q32" s="2" t="s">
        <v>103</v>
      </c>
      <c r="R32" s="2" t="s">
        <v>105</v>
      </c>
      <c r="S32" s="2" t="s">
        <v>221</v>
      </c>
      <c r="T32" s="2" t="s">
        <v>103</v>
      </c>
      <c r="U32" s="2" t="s">
        <v>121</v>
      </c>
      <c r="V32" s="2" t="s">
        <v>222</v>
      </c>
      <c r="W32" s="2" t="s">
        <v>103</v>
      </c>
      <c r="X32" s="2" t="s">
        <v>108</v>
      </c>
      <c r="Y32" s="2" t="s">
        <v>223</v>
      </c>
      <c r="Z32" s="2" t="s">
        <v>103</v>
      </c>
      <c r="AA32" s="2" t="s">
        <v>123</v>
      </c>
      <c r="AB32" s="2" t="s">
        <v>224</v>
      </c>
    </row>
    <row r="33" spans="1:28" x14ac:dyDescent="0.3">
      <c r="N33" s="2">
        <f>B27</f>
        <v>40</v>
      </c>
      <c r="O33" s="27">
        <f>R2</f>
        <v>75.512658227848107</v>
      </c>
      <c r="P33" s="27">
        <f>O33</f>
        <v>75.512658227848107</v>
      </c>
      <c r="Q33" s="2">
        <f>N33</f>
        <v>40</v>
      </c>
      <c r="R33" s="2">
        <f ca="1">R3</f>
        <v>85</v>
      </c>
      <c r="S33" s="27">
        <f ca="1">R33</f>
        <v>85</v>
      </c>
      <c r="T33" s="2">
        <f>N33</f>
        <v>40</v>
      </c>
      <c r="U33" s="2">
        <f>R4</f>
        <v>48.802160714285719</v>
      </c>
      <c r="V33" s="27">
        <f>U33</f>
        <v>48.802160714285719</v>
      </c>
      <c r="W33" s="2">
        <f>N33</f>
        <v>40</v>
      </c>
      <c r="X33" s="2">
        <f ca="1">R5</f>
        <v>87.5</v>
      </c>
      <c r="Y33" s="27">
        <f ca="1">X33</f>
        <v>87.5</v>
      </c>
      <c r="Z33" s="2">
        <f>N33</f>
        <v>40</v>
      </c>
      <c r="AA33">
        <f>R6</f>
        <v>55</v>
      </c>
      <c r="AB33" s="27">
        <f>AA33</f>
        <v>55</v>
      </c>
    </row>
    <row r="34" spans="1:28" x14ac:dyDescent="0.3">
      <c r="N34" s="2">
        <f>N33+1</f>
        <v>41</v>
      </c>
      <c r="O34" s="2">
        <f>O33+(O33*0.0115)</f>
        <v>76.381053797468354</v>
      </c>
      <c r="P34" s="2">
        <f>O33-(1-0.27)^(1/10)</f>
        <v>74.543639242425556</v>
      </c>
      <c r="Q34" s="2">
        <f>Q33+1</f>
        <v>41</v>
      </c>
      <c r="R34" s="2">
        <f ca="1">R33+(R33*0.0123)</f>
        <v>86.045500000000004</v>
      </c>
      <c r="S34" s="2">
        <f ca="1">R33-(1-0.27)^(1/10)</f>
        <v>84.030981014577449</v>
      </c>
      <c r="T34" s="2">
        <f>T33+1</f>
        <v>41</v>
      </c>
      <c r="U34" s="2">
        <f t="shared" ref="U34:U43" si="13">U33+(U33*0.0055)</f>
        <v>49.070572598214291</v>
      </c>
      <c r="V34" s="2">
        <f>U33-(1-0.27)^(1/10)</f>
        <v>47.833141728863161</v>
      </c>
      <c r="W34" s="2">
        <f>W33+1</f>
        <v>41</v>
      </c>
      <c r="X34" s="2">
        <f ca="1">X33+(X33*0.0099)</f>
        <v>88.366249999999994</v>
      </c>
      <c r="Y34" s="2">
        <f ca="1">X33-(1-0.4013)^(1/10)</f>
        <v>86.550005861213577</v>
      </c>
      <c r="Z34" s="2">
        <f>Z33+1</f>
        <v>41</v>
      </c>
      <c r="AA34">
        <f>AA33+(AA33*0.02)</f>
        <v>56.1</v>
      </c>
      <c r="AB34" s="2">
        <f>AA33-(1-0.2925)^(1/10)</f>
        <v>54.034009969239399</v>
      </c>
    </row>
    <row r="35" spans="1:28" x14ac:dyDescent="0.3">
      <c r="N35" s="2">
        <f t="shared" ref="N35:N43" si="14">N34+1</f>
        <v>42</v>
      </c>
      <c r="O35" s="2">
        <f t="shared" ref="O35:O43" si="15">O34+(O34*0.0115)</f>
        <v>77.259435916139239</v>
      </c>
      <c r="P35" s="2">
        <f>P34-(1-0.27)^(2/10)</f>
        <v>73.604641448316187</v>
      </c>
      <c r="Q35" s="2">
        <f t="shared" ref="Q35:Q43" si="16">Q34+1</f>
        <v>42</v>
      </c>
      <c r="R35" s="2">
        <f t="shared" ref="R35:R43" ca="1" si="17">R34+(R34*0.0123)</f>
        <v>87.103859650000004</v>
      </c>
      <c r="S35" s="2">
        <f ca="1">S34-(1-0.4464)^(2/10)</f>
        <v>83.142518280638583</v>
      </c>
      <c r="T35" s="2">
        <f t="shared" ref="T35:T43" si="18">T34+1</f>
        <v>42</v>
      </c>
      <c r="U35" s="2">
        <f t="shared" si="13"/>
        <v>49.340460747504473</v>
      </c>
      <c r="V35" s="2">
        <f>V34-(1-0.27)^(2/10)</f>
        <v>46.894143934753799</v>
      </c>
      <c r="W35" s="2">
        <f t="shared" ref="W35:W43" si="19">W34+1</f>
        <v>42</v>
      </c>
      <c r="X35" s="2">
        <f t="shared" ref="X35:X43" ca="1" si="20">X34+(X34*0.0099)</f>
        <v>89.241075874999993</v>
      </c>
      <c r="Y35" s="2">
        <f ca="1">Y34-(1-0.4013)^(2/10)</f>
        <v>85.647516997485013</v>
      </c>
      <c r="Z35" s="2">
        <f t="shared" ref="Z35:Z43" si="21">Z34+1</f>
        <v>42</v>
      </c>
      <c r="AA35">
        <f t="shared" ref="AA35:AA43" si="22">AA34+(AA34*0.02)</f>
        <v>57.222000000000001</v>
      </c>
      <c r="AB35" s="2">
        <f>AB34-(1-0.2925)^(2/10)</f>
        <v>53.100873229710537</v>
      </c>
    </row>
    <row r="36" spans="1:28" x14ac:dyDescent="0.3">
      <c r="A36" t="s">
        <v>8</v>
      </c>
      <c r="N36" s="2">
        <f t="shared" si="14"/>
        <v>43</v>
      </c>
      <c r="O36" s="2">
        <f t="shared" si="15"/>
        <v>78.147919429174834</v>
      </c>
      <c r="P36" s="2">
        <f>P35-(1-0.27)^(2/10)</f>
        <v>72.665643654206818</v>
      </c>
      <c r="Q36" s="2">
        <f t="shared" si="16"/>
        <v>43</v>
      </c>
      <c r="R36" s="2">
        <f t="shared" ca="1" si="17"/>
        <v>88.175237123694998</v>
      </c>
      <c r="S36" s="2">
        <f ca="1">S35-(1-0.4464)^(2/10)</f>
        <v>82.254055546699718</v>
      </c>
      <c r="T36" s="2">
        <f t="shared" si="18"/>
        <v>43</v>
      </c>
      <c r="U36" s="2">
        <f t="shared" si="13"/>
        <v>49.611833281615745</v>
      </c>
      <c r="V36" s="2">
        <f>V35-(1-0.27)^(2/10)</f>
        <v>45.955146140644437</v>
      </c>
      <c r="W36" s="2">
        <f t="shared" si="19"/>
        <v>43</v>
      </c>
      <c r="X36" s="2">
        <f t="shared" ca="1" si="20"/>
        <v>90.124562526162492</v>
      </c>
      <c r="Y36" s="2">
        <f ca="1">Y35-(1-0.4013)^(2/10)</f>
        <v>84.745028133756449</v>
      </c>
      <c r="Z36" s="2">
        <f t="shared" si="21"/>
        <v>43</v>
      </c>
      <c r="AA36">
        <f t="shared" si="22"/>
        <v>58.366440000000004</v>
      </c>
      <c r="AB36" s="2">
        <f>AB35-(1-0.2925)^(2/10)</f>
        <v>52.167736490181674</v>
      </c>
    </row>
    <row r="37" spans="1:28" x14ac:dyDescent="0.3">
      <c r="A37" s="1">
        <f ca="1">(B28/100*20)+(B29/100*20)+(B30/100*25)+(B31/100*20)+(B32/100*15)</f>
        <v>70.053071824141057</v>
      </c>
      <c r="N37" s="2">
        <f t="shared" si="14"/>
        <v>44</v>
      </c>
      <c r="O37" s="2">
        <f t="shared" si="15"/>
        <v>79.046620502610338</v>
      </c>
      <c r="P37" s="2">
        <f>P36-(1-0.27)^(3/10)</f>
        <v>71.755736964444949</v>
      </c>
      <c r="Q37" s="2">
        <f t="shared" si="16"/>
        <v>44</v>
      </c>
      <c r="R37" s="2">
        <f t="shared" ca="1" si="17"/>
        <v>89.259792540316454</v>
      </c>
      <c r="S37" s="2">
        <f ca="1">S36-(1-0.4464)^(3/10)</f>
        <v>81.416605667163495</v>
      </c>
      <c r="T37" s="2">
        <f t="shared" si="18"/>
        <v>44</v>
      </c>
      <c r="U37" s="2">
        <f t="shared" si="13"/>
        <v>49.884698364664629</v>
      </c>
      <c r="V37" s="2">
        <f>V36-(1-0.27)^(3/10)</f>
        <v>45.045239450882562</v>
      </c>
      <c r="W37" s="2">
        <f t="shared" si="19"/>
        <v>44</v>
      </c>
      <c r="X37" s="2">
        <f t="shared" ca="1" si="20"/>
        <v>91.016795695171496</v>
      </c>
      <c r="Y37" s="2">
        <f ca="1">Y36-(1-0.4013)^(3/10)</f>
        <v>83.887669002894299</v>
      </c>
      <c r="Z37" s="2">
        <f t="shared" si="21"/>
        <v>44</v>
      </c>
      <c r="AA37">
        <f t="shared" si="22"/>
        <v>59.533768800000004</v>
      </c>
      <c r="AB37" s="2">
        <f>AB36-(1-0.2925)^(3/10)</f>
        <v>51.266335702460339</v>
      </c>
    </row>
    <row r="38" spans="1:28" x14ac:dyDescent="0.3">
      <c r="N38" s="2">
        <f t="shared" si="14"/>
        <v>45</v>
      </c>
      <c r="O38" s="2">
        <f t="shared" si="15"/>
        <v>79.955656638390352</v>
      </c>
      <c r="P38" s="2">
        <f>P37-(1-0.27)^(4/10)</f>
        <v>70.874020107102695</v>
      </c>
      <c r="Q38" s="2">
        <f t="shared" si="16"/>
        <v>45</v>
      </c>
      <c r="R38" s="2">
        <f t="shared" ca="1" si="17"/>
        <v>90.357687988562347</v>
      </c>
      <c r="S38" s="2">
        <f ca="1">S37-(1-0.4464)^(4/10)</f>
        <v>80.627239637565353</v>
      </c>
      <c r="T38" s="2">
        <f t="shared" si="18"/>
        <v>45</v>
      </c>
      <c r="U38" s="2">
        <f t="shared" si="13"/>
        <v>50.159064205670283</v>
      </c>
      <c r="V38" s="2">
        <f>V37-(1-0.27)^(4/10)</f>
        <v>44.163522593540314</v>
      </c>
      <c r="W38" s="2">
        <f t="shared" si="19"/>
        <v>45</v>
      </c>
      <c r="X38" s="2">
        <f t="shared" ca="1" si="20"/>
        <v>91.917861972553695</v>
      </c>
      <c r="Y38" s="2">
        <f ca="1">Y37-(1-0.4013)^(4/10)</f>
        <v>83.073182853740235</v>
      </c>
      <c r="Z38" s="2">
        <f t="shared" si="21"/>
        <v>45</v>
      </c>
      <c r="AA38">
        <f t="shared" si="22"/>
        <v>60.724444176000006</v>
      </c>
      <c r="AB38" s="2">
        <f>AB37-(1-0.2925)^(4/10)</f>
        <v>50.395591527801777</v>
      </c>
    </row>
    <row r="39" spans="1:28" x14ac:dyDescent="0.3">
      <c r="N39" s="2">
        <f t="shared" si="14"/>
        <v>46</v>
      </c>
      <c r="O39" s="2">
        <f t="shared" si="15"/>
        <v>80.875146689731835</v>
      </c>
      <c r="P39" s="2">
        <f>P38-(1-0.27)^(5/10)</f>
        <v>70.019619732570945</v>
      </c>
      <c r="Q39" s="2">
        <f t="shared" si="16"/>
        <v>46</v>
      </c>
      <c r="R39" s="2">
        <f t="shared" ca="1" si="17"/>
        <v>91.469087550821669</v>
      </c>
      <c r="S39" s="2">
        <f ca="1">S38-(1-0.4464)^(5/10)</f>
        <v>79.883196628055828</v>
      </c>
      <c r="T39" s="2">
        <f t="shared" si="18"/>
        <v>46</v>
      </c>
      <c r="U39" s="2">
        <f t="shared" si="13"/>
        <v>50.434939058801469</v>
      </c>
      <c r="V39" s="2">
        <f>V38-(1-0.27)^(5/10)</f>
        <v>43.309122219008565</v>
      </c>
      <c r="W39" s="2">
        <f t="shared" si="19"/>
        <v>46</v>
      </c>
      <c r="X39" s="2">
        <f t="shared" ca="1" si="20"/>
        <v>92.827848806081974</v>
      </c>
      <c r="Y39" s="2">
        <f ca="1">Y38-(1-0.4013)^(5/10)</f>
        <v>82.299425785921144</v>
      </c>
      <c r="Z39" s="2">
        <f t="shared" si="21"/>
        <v>46</v>
      </c>
      <c r="AA39">
        <f t="shared" si="22"/>
        <v>61.938933059520004</v>
      </c>
      <c r="AB39" s="2">
        <f>AB38-(1-0.2925)^(5/10)</f>
        <v>49.554461335738743</v>
      </c>
    </row>
    <row r="40" spans="1:28" x14ac:dyDescent="0.3">
      <c r="N40" s="2">
        <f t="shared" si="14"/>
        <v>47</v>
      </c>
      <c r="O40" s="2">
        <f t="shared" si="15"/>
        <v>81.80521087666375</v>
      </c>
      <c r="P40" s="2">
        <f>P39-(1-0.27)^(6/10)</f>
        <v>69.191689548497536</v>
      </c>
      <c r="Q40" s="2">
        <f t="shared" si="16"/>
        <v>47</v>
      </c>
      <c r="R40" s="2">
        <f t="shared" ca="1" si="17"/>
        <v>92.594157327696777</v>
      </c>
      <c r="S40" s="2">
        <f ca="1">S39-(1-0.4464)^(6/10)</f>
        <v>79.1818743273206</v>
      </c>
      <c r="T40" s="2">
        <f t="shared" si="18"/>
        <v>47</v>
      </c>
      <c r="U40" s="2">
        <f t="shared" si="13"/>
        <v>50.712331223624879</v>
      </c>
      <c r="V40" s="2">
        <f>V39-(1-0.27)^(6/10)</f>
        <v>42.481192034935148</v>
      </c>
      <c r="W40" s="2">
        <f t="shared" si="19"/>
        <v>47</v>
      </c>
      <c r="X40" s="2">
        <f t="shared" ca="1" si="20"/>
        <v>93.746844509262189</v>
      </c>
      <c r="Y40" s="2">
        <f ca="1">Y39-(1-0.4013)^(6/10)</f>
        <v>81.564361106648434</v>
      </c>
      <c r="Z40" s="2">
        <f t="shared" si="21"/>
        <v>47</v>
      </c>
      <c r="AA40">
        <f t="shared" si="22"/>
        <v>63.177711720710406</v>
      </c>
      <c r="AB40" s="2">
        <f>AB39-(1-0.2925)^(6/10)</f>
        <v>48.7419379556341</v>
      </c>
    </row>
    <row r="41" spans="1:28" x14ac:dyDescent="0.3">
      <c r="N41" s="2">
        <f t="shared" si="14"/>
        <v>48</v>
      </c>
      <c r="O41" s="2">
        <f t="shared" si="15"/>
        <v>82.745970801745386</v>
      </c>
      <c r="P41" s="2">
        <f>P40-(1-0.27)^(7/10)</f>
        <v>68.389409481526002</v>
      </c>
      <c r="Q41" s="2">
        <f t="shared" si="16"/>
        <v>48</v>
      </c>
      <c r="R41" s="2">
        <f t="shared" ca="1" si="17"/>
        <v>93.733065462827454</v>
      </c>
      <c r="S41" s="2">
        <f ca="1">S40-(1-0.4464)^(7/10)</f>
        <v>78.52081984092365</v>
      </c>
      <c r="T41" s="2">
        <f t="shared" si="18"/>
        <v>48</v>
      </c>
      <c r="U41" s="2">
        <f t="shared" si="13"/>
        <v>50.991249045354813</v>
      </c>
      <c r="V41" s="2">
        <f>V40-(1-0.27)^(7/10)</f>
        <v>41.678911967963622</v>
      </c>
      <c r="W41" s="2">
        <f t="shared" si="19"/>
        <v>48</v>
      </c>
      <c r="X41" s="2">
        <f t="shared" ca="1" si="20"/>
        <v>94.67493826990389</v>
      </c>
      <c r="Y41" s="2">
        <f ca="1">Y40-(1-0.4013)^(7/10)</f>
        <v>80.866053969710435</v>
      </c>
      <c r="Z41" s="2">
        <f t="shared" si="21"/>
        <v>48</v>
      </c>
      <c r="AA41">
        <f t="shared" si="22"/>
        <v>64.441265955124607</v>
      </c>
      <c r="AB41" s="2">
        <f>AB40-(1-0.2925)^(7/10)</f>
        <v>47.95704847069311</v>
      </c>
    </row>
    <row r="42" spans="1:28" x14ac:dyDescent="0.3">
      <c r="B42" t="s">
        <v>12</v>
      </c>
      <c r="C42" t="s">
        <v>0</v>
      </c>
      <c r="D42" t="s">
        <v>12</v>
      </c>
      <c r="E42" t="s">
        <v>1</v>
      </c>
      <c r="F42" t="s">
        <v>12</v>
      </c>
      <c r="G42" t="s">
        <v>2</v>
      </c>
      <c r="H42" t="s">
        <v>12</v>
      </c>
      <c r="I42" t="s">
        <v>3</v>
      </c>
      <c r="J42" t="s">
        <v>12</v>
      </c>
      <c r="K42" t="s">
        <v>4</v>
      </c>
      <c r="N42" s="2">
        <f t="shared" si="14"/>
        <v>49</v>
      </c>
      <c r="O42" s="2">
        <f t="shared" si="15"/>
        <v>83.697549465965452</v>
      </c>
      <c r="P42" s="2">
        <f>P41-(1-0.27)^(8/10)</f>
        <v>67.611984865004501</v>
      </c>
      <c r="Q42" s="2">
        <f t="shared" si="16"/>
        <v>49</v>
      </c>
      <c r="R42" s="2">
        <f t="shared" ca="1" si="17"/>
        <v>94.885982168020234</v>
      </c>
      <c r="S42" s="2">
        <f ca="1">S41-(1-0.4464)^(8/10)</f>
        <v>77.89772111224012</v>
      </c>
      <c r="T42" s="2">
        <f t="shared" si="18"/>
        <v>49</v>
      </c>
      <c r="U42" s="2">
        <f t="shared" si="13"/>
        <v>51.271700915104262</v>
      </c>
      <c r="V42" s="2">
        <f>V41-(1-0.27)^(8/10)</f>
        <v>40.901487351442128</v>
      </c>
      <c r="W42" s="2">
        <f t="shared" si="19"/>
        <v>49</v>
      </c>
      <c r="X42" s="2">
        <f t="shared" ca="1" si="20"/>
        <v>95.612220158775941</v>
      </c>
      <c r="Y42" s="2">
        <f ca="1">Y41-(1-0.4013)^(8/10)</f>
        <v>80.202666282546616</v>
      </c>
      <c r="Z42" s="2">
        <f t="shared" si="21"/>
        <v>49</v>
      </c>
      <c r="AA42">
        <f t="shared" si="22"/>
        <v>65.730091274227092</v>
      </c>
      <c r="AB42" s="2">
        <f>AB41-(1-0.2925)^(8/10)</f>
        <v>47.198853052991289</v>
      </c>
    </row>
    <row r="43" spans="1:28" x14ac:dyDescent="0.3">
      <c r="B43">
        <f>B27</f>
        <v>40</v>
      </c>
      <c r="C43">
        <f>B28</f>
        <v>75.512658227848107</v>
      </c>
      <c r="D43">
        <f>B43</f>
        <v>40</v>
      </c>
      <c r="E43">
        <f ca="1">B29</f>
        <v>85</v>
      </c>
      <c r="F43">
        <f>B27</f>
        <v>40</v>
      </c>
      <c r="G43">
        <f>B30</f>
        <v>48.802160714285719</v>
      </c>
      <c r="H43">
        <f>B27</f>
        <v>40</v>
      </c>
      <c r="I43">
        <f ca="1">B31</f>
        <v>87.5</v>
      </c>
      <c r="J43">
        <f>B27</f>
        <v>40</v>
      </c>
      <c r="K43">
        <f>B32</f>
        <v>55</v>
      </c>
      <c r="N43" s="2">
        <f t="shared" si="14"/>
        <v>50</v>
      </c>
      <c r="O43" s="2">
        <f t="shared" si="15"/>
        <v>84.660071284824056</v>
      </c>
      <c r="P43" s="2">
        <f>P42-(1-0.27)^(9/10)</f>
        <v>66.858645651860328</v>
      </c>
      <c r="Q43" s="2">
        <f t="shared" si="16"/>
        <v>50</v>
      </c>
      <c r="R43" s="2">
        <f t="shared" ca="1" si="17"/>
        <v>96.053079748686883</v>
      </c>
      <c r="S43" s="2">
        <f ca="1">S42-(1-0.4464)^(9/10)</f>
        <v>77.310398835973331</v>
      </c>
      <c r="T43" s="2">
        <f t="shared" si="18"/>
        <v>50</v>
      </c>
      <c r="U43" s="2">
        <f t="shared" si="13"/>
        <v>51.553695270137332</v>
      </c>
      <c r="V43" s="2">
        <f>V42-(1-0.27)^(9/10)</f>
        <v>40.148148138297948</v>
      </c>
      <c r="W43" s="2">
        <f t="shared" si="19"/>
        <v>50</v>
      </c>
      <c r="X43" s="2">
        <f t="shared" ca="1" si="20"/>
        <v>96.558781138347825</v>
      </c>
      <c r="Y43" s="2">
        <f ca="1">Y42-(1-0.4013)^(9/10)</f>
        <v>79.572451867997898</v>
      </c>
      <c r="Z43" s="2">
        <f t="shared" si="21"/>
        <v>50</v>
      </c>
      <c r="AA43">
        <f t="shared" si="22"/>
        <v>67.044693099711637</v>
      </c>
      <c r="AB43" s="2">
        <f>AB42-(1-0.2925)^(9/10)</f>
        <v>46.466443838122963</v>
      </c>
    </row>
    <row r="44" spans="1:28" x14ac:dyDescent="0.3">
      <c r="B44">
        <f>C27</f>
        <v>50</v>
      </c>
      <c r="C44">
        <f>C28</f>
        <v>84.196613924050638</v>
      </c>
      <c r="D44">
        <f>B44</f>
        <v>50</v>
      </c>
      <c r="E44">
        <f ca="1">C29</f>
        <v>95.454999999999998</v>
      </c>
      <c r="F44">
        <f>C27</f>
        <v>50</v>
      </c>
      <c r="G44">
        <f>C30</f>
        <v>51.486279553571435</v>
      </c>
      <c r="H44">
        <f>C27</f>
        <v>50</v>
      </c>
      <c r="I44">
        <f ca="1">C31</f>
        <v>96.162499999999994</v>
      </c>
      <c r="J44">
        <f>C27</f>
        <v>50</v>
      </c>
      <c r="K44">
        <f>C32</f>
        <v>66</v>
      </c>
    </row>
    <row r="45" spans="1:28" x14ac:dyDescent="0.3">
      <c r="B45">
        <f>D27</f>
        <v>60</v>
      </c>
      <c r="C45">
        <f>D28</f>
        <v>111.30792360759494</v>
      </c>
      <c r="D45">
        <f>D27</f>
        <v>60</v>
      </c>
      <c r="E45">
        <f ca="1">D29</f>
        <v>124.85514000000001</v>
      </c>
      <c r="F45">
        <f>D27</f>
        <v>60</v>
      </c>
      <c r="G45">
        <f>D30</f>
        <v>57.14977030446429</v>
      </c>
      <c r="H45">
        <f>D27</f>
        <v>60</v>
      </c>
      <c r="I45">
        <f ca="1">D31</f>
        <v>115.202675</v>
      </c>
      <c r="J45">
        <f>D27</f>
        <v>60</v>
      </c>
      <c r="K45">
        <f>D32</f>
        <v>105.6</v>
      </c>
    </row>
    <row r="46" spans="1:28" x14ac:dyDescent="0.3">
      <c r="B46">
        <f>E27</f>
        <v>70</v>
      </c>
      <c r="C46">
        <f>E28</f>
        <v>147.14907500924051</v>
      </c>
      <c r="D46">
        <f>E27</f>
        <v>70</v>
      </c>
      <c r="E46">
        <f ca="1">E29</f>
        <v>163.31052312</v>
      </c>
      <c r="F46">
        <f>E27</f>
        <v>70</v>
      </c>
      <c r="G46">
        <f>E30</f>
        <v>63.436245037955359</v>
      </c>
      <c r="H46">
        <f>E27</f>
        <v>70</v>
      </c>
      <c r="I46">
        <f ca="1">E31</f>
        <v>138.01280464999999</v>
      </c>
      <c r="J46">
        <f>E27</f>
        <v>70</v>
      </c>
      <c r="K46">
        <f>E32</f>
        <v>168.95999999999998</v>
      </c>
    </row>
    <row r="47" spans="1:28" x14ac:dyDescent="0.3">
      <c r="B47">
        <f>F27</f>
        <v>80</v>
      </c>
      <c r="C47">
        <f>F28</f>
        <v>194.53107716221595</v>
      </c>
      <c r="D47">
        <f>F27</f>
        <v>80</v>
      </c>
      <c r="E47">
        <f ca="1">F29</f>
        <v>213.61016424095999</v>
      </c>
      <c r="F47">
        <f>F27</f>
        <v>80</v>
      </c>
      <c r="G47">
        <f ca="1">F31</f>
        <v>165.3393399707</v>
      </c>
      <c r="H47">
        <f>F27</f>
        <v>80</v>
      </c>
      <c r="I47">
        <f ca="1">F31</f>
        <v>165.3393399707</v>
      </c>
      <c r="J47">
        <f>F27</f>
        <v>80</v>
      </c>
      <c r="K47">
        <f>F32</f>
        <v>270.33599999999996</v>
      </c>
    </row>
    <row r="54" spans="4:5" x14ac:dyDescent="0.3">
      <c r="D54" t="s">
        <v>227</v>
      </c>
      <c r="E54">
        <f ca="1">_xlfn.LET(_xlpm.ChronAge, B27, _xlpm.BioAge, MEDIAN(25, T4, 90), MAX(1, MIN(100, (100 * ((_xlpm.ChronAge + 30) - _xlpm.BioAge) / 60))))</f>
        <v>1</v>
      </c>
    </row>
    <row r="55" spans="4:5" x14ac:dyDescent="0.3">
      <c r="D55" t="s">
        <v>226</v>
      </c>
      <c r="E55">
        <f ca="1">_xlfn.LET(_xlpm.ChronAge, B27, _xlpm.BioAge, MEDIAN(25, T4, 90), MAX(300, MIN(850, 600 + (10 * (_xlpm.ChronAge - _xlpm.BioAge)))))</f>
        <v>300</v>
      </c>
    </row>
  </sheetData>
  <mergeCells count="4">
    <mergeCell ref="A23:F23"/>
    <mergeCell ref="I26:J26"/>
    <mergeCell ref="I27:J32"/>
    <mergeCell ref="N31:AA3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42DF-3593-4D46-B900-5383AA74A5E3}">
  <dimension ref="A1:AF55"/>
  <sheetViews>
    <sheetView zoomScale="85" zoomScaleNormal="85" workbookViewId="0">
      <selection activeCell="B2" sqref="B2:C19"/>
    </sheetView>
  </sheetViews>
  <sheetFormatPr defaultRowHeight="14.4" x14ac:dyDescent="0.3"/>
  <cols>
    <col min="1" max="1" width="22.6640625" customWidth="1"/>
    <col min="2" max="2" width="29.88671875" customWidth="1"/>
    <col min="3" max="3" width="16.5546875" customWidth="1"/>
    <col min="4" max="4" width="26" customWidth="1"/>
    <col min="5" max="5" width="13.109375" customWidth="1"/>
    <col min="6" max="6" width="12.21875" customWidth="1"/>
    <col min="7" max="7" width="11.109375" customWidth="1"/>
    <col min="8" max="8" width="9.5546875" bestFit="1" customWidth="1"/>
    <col min="9" max="9" width="21.88671875" customWidth="1"/>
    <col min="10" max="10" width="32.6640625" customWidth="1"/>
    <col min="11" max="11" width="16" customWidth="1"/>
    <col min="12" max="12" width="13.6640625" customWidth="1"/>
    <col min="13" max="13" width="14.44140625" customWidth="1"/>
    <col min="14" max="14" width="20.77734375" customWidth="1"/>
    <col min="15" max="15" width="12.33203125" customWidth="1"/>
    <col min="16" max="16" width="11.5546875" bestFit="1" customWidth="1"/>
    <col min="17" max="17" width="18.77734375" customWidth="1"/>
    <col min="18" max="18" width="17" customWidth="1"/>
    <col min="20" max="20" width="21" customWidth="1"/>
    <col min="21" max="21" width="13.21875" customWidth="1"/>
    <col min="26" max="26" width="11.21875" customWidth="1"/>
  </cols>
  <sheetData>
    <row r="1" spans="1:32" x14ac:dyDescent="0.3">
      <c r="A1" t="s">
        <v>13</v>
      </c>
      <c r="B1" t="s">
        <v>14</v>
      </c>
      <c r="C1" s="2"/>
      <c r="D1">
        <v>1</v>
      </c>
      <c r="E1">
        <v>2</v>
      </c>
      <c r="F1">
        <v>3</v>
      </c>
      <c r="G1">
        <v>4</v>
      </c>
      <c r="H1">
        <v>5</v>
      </c>
      <c r="I1">
        <v>6</v>
      </c>
      <c r="J1">
        <v>7</v>
      </c>
      <c r="K1">
        <v>8</v>
      </c>
      <c r="L1">
        <v>9</v>
      </c>
      <c r="M1">
        <v>10</v>
      </c>
      <c r="O1" s="8"/>
      <c r="R1" t="s">
        <v>42</v>
      </c>
    </row>
    <row r="2" spans="1:32" x14ac:dyDescent="0.3">
      <c r="A2" s="3" t="s">
        <v>0</v>
      </c>
      <c r="B2" s="3" t="s">
        <v>15</v>
      </c>
      <c r="C2" s="9">
        <v>32</v>
      </c>
      <c r="D2" s="35">
        <f>C2-(C2/100*1)</f>
        <v>31.68</v>
      </c>
      <c r="E2" s="35">
        <f t="shared" ref="E2:L2" si="0">D2-(D2/100*1)</f>
        <v>31.363199999999999</v>
      </c>
      <c r="F2" s="35">
        <f t="shared" si="0"/>
        <v>31.049568000000001</v>
      </c>
      <c r="G2" s="35">
        <f t="shared" si="0"/>
        <v>30.739072320000002</v>
      </c>
      <c r="H2" s="36">
        <f>G2-(G2/100*1)</f>
        <v>30.431681596800001</v>
      </c>
      <c r="I2" s="35">
        <f t="shared" si="0"/>
        <v>30.127364780832</v>
      </c>
      <c r="J2" s="35">
        <f t="shared" si="0"/>
        <v>29.826091133023681</v>
      </c>
      <c r="K2" s="35">
        <f t="shared" si="0"/>
        <v>29.527830221693446</v>
      </c>
      <c r="L2" s="35">
        <f t="shared" si="0"/>
        <v>29.23255191947651</v>
      </c>
      <c r="M2" s="33">
        <f t="shared" ref="M2" si="1">L2-(L2/100*M1)</f>
        <v>26.30929672752886</v>
      </c>
      <c r="N2" s="8"/>
      <c r="O2" s="21"/>
      <c r="Q2" s="3" t="s">
        <v>0</v>
      </c>
      <c r="R2" s="16">
        <f>B27+ ((1 -((C2 / 39.5) * 0.7 )-((C3 / 100) * 0.3 )) * 100)</f>
        <v>61.891139240506341</v>
      </c>
    </row>
    <row r="3" spans="1:32" x14ac:dyDescent="0.3">
      <c r="A3" s="3" t="s">
        <v>0</v>
      </c>
      <c r="B3" s="3" t="s">
        <v>16</v>
      </c>
      <c r="C3" s="9">
        <v>98</v>
      </c>
      <c r="D3" s="35">
        <f t="shared" ref="D3:K3" si="2">C3-(C3/100*1.5)</f>
        <v>96.53</v>
      </c>
      <c r="E3" s="35">
        <f t="shared" si="2"/>
        <v>95.082049999999995</v>
      </c>
      <c r="F3" s="35">
        <f t="shared" si="2"/>
        <v>93.655819249999993</v>
      </c>
      <c r="G3" s="35">
        <f t="shared" si="2"/>
        <v>92.250981961249991</v>
      </c>
      <c r="H3" s="36">
        <f>G3-(G3/100*1.5)</f>
        <v>90.867217231831248</v>
      </c>
      <c r="I3" s="35">
        <f t="shared" si="2"/>
        <v>89.504208973353784</v>
      </c>
      <c r="J3" s="35">
        <f t="shared" si="2"/>
        <v>88.161645838753472</v>
      </c>
      <c r="K3" s="35">
        <f t="shared" si="2"/>
        <v>86.839221151172168</v>
      </c>
      <c r="L3" s="35">
        <f>K3-(K3/100*1.5)</f>
        <v>85.536632833904591</v>
      </c>
      <c r="M3" s="33">
        <f t="shared" ref="M3" si="3">L3-(L3/100*M1)</f>
        <v>76.982969550514127</v>
      </c>
      <c r="N3" s="8"/>
      <c r="O3" s="21"/>
      <c r="Q3" s="4" t="s">
        <v>1</v>
      </c>
      <c r="R3" s="4">
        <f>((O4/100*50)+(O5/100*25)+(O6/100*25))</f>
        <v>35</v>
      </c>
      <c r="T3" s="23" t="s">
        <v>8</v>
      </c>
    </row>
    <row r="4" spans="1:32" ht="18" customHeight="1" x14ac:dyDescent="0.3">
      <c r="A4" s="4" t="s">
        <v>17</v>
      </c>
      <c r="B4" s="4" t="s">
        <v>18</v>
      </c>
      <c r="C4" s="10">
        <v>70</v>
      </c>
      <c r="D4" s="35">
        <f>C4-(C4/100*1)</f>
        <v>69.3</v>
      </c>
      <c r="E4" s="35">
        <f t="shared" ref="E4:L4" si="4">D4-(D4/100*1)</f>
        <v>68.606999999999999</v>
      </c>
      <c r="F4" s="35">
        <f t="shared" si="4"/>
        <v>67.920929999999998</v>
      </c>
      <c r="G4" s="35">
        <f t="shared" si="4"/>
        <v>67.241720700000002</v>
      </c>
      <c r="H4" s="36">
        <f t="shared" si="4"/>
        <v>66.569303493000007</v>
      </c>
      <c r="I4" s="35">
        <f t="shared" si="4"/>
        <v>65.903610458070006</v>
      </c>
      <c r="J4" s="35">
        <f t="shared" si="4"/>
        <v>65.244574353489298</v>
      </c>
      <c r="K4" s="35">
        <f t="shared" si="4"/>
        <v>64.592128609954401</v>
      </c>
      <c r="L4" s="35">
        <f t="shared" si="4"/>
        <v>63.946207323854857</v>
      </c>
      <c r="M4" s="33">
        <f t="shared" ref="M4" si="5">L4-(L4/100*M1)</f>
        <v>57.551586591469373</v>
      </c>
      <c r="N4" s="8"/>
      <c r="O4" s="18">
        <v>25</v>
      </c>
      <c r="Q4" s="5" t="s">
        <v>2</v>
      </c>
      <c r="R4" s="5">
        <f>B27 - 9*R11</f>
        <v>46.76709304511278</v>
      </c>
      <c r="T4" s="1">
        <f ca="1">(R2/100*20)+(R3/100*20)+(R4/100*25)+(R5/100*20)+(R6/100*15)</f>
        <v>54.295001109379463</v>
      </c>
    </row>
    <row r="5" spans="1:32" x14ac:dyDescent="0.3">
      <c r="A5" s="4" t="s">
        <v>17</v>
      </c>
      <c r="B5" s="4" t="s">
        <v>19</v>
      </c>
      <c r="C5" s="10">
        <v>3.8</v>
      </c>
      <c r="D5" s="35">
        <f>C5-(C5/100*1.2)</f>
        <v>3.7544</v>
      </c>
      <c r="E5" s="35">
        <f t="shared" ref="E5:L6" si="6">D5-(D5/100*1.2)</f>
        <v>3.7093471999999998</v>
      </c>
      <c r="F5" s="35">
        <f t="shared" si="6"/>
        <v>3.6648350335999997</v>
      </c>
      <c r="G5" s="35">
        <f t="shared" si="6"/>
        <v>3.6208570131967996</v>
      </c>
      <c r="H5" s="36">
        <f t="shared" si="6"/>
        <v>3.5774067290384379</v>
      </c>
      <c r="I5" s="35">
        <f t="shared" si="6"/>
        <v>3.5344778482899768</v>
      </c>
      <c r="J5" s="35">
        <f t="shared" si="6"/>
        <v>3.4920641141104971</v>
      </c>
      <c r="K5" s="35">
        <f t="shared" si="6"/>
        <v>3.4501593447411714</v>
      </c>
      <c r="L5" s="35">
        <f t="shared" si="6"/>
        <v>3.4087574326042773</v>
      </c>
      <c r="M5" s="34">
        <f>C5-(C5/100*12)</f>
        <v>3.3439999999999999</v>
      </c>
      <c r="N5" s="8"/>
      <c r="O5" s="18">
        <v>30</v>
      </c>
      <c r="Q5" s="6" t="s">
        <v>29</v>
      </c>
      <c r="R5" s="6">
        <f ca="1">((O14/100*30)+(O15/100*25)+(O16/100*30)+(O17/100*15))</f>
        <v>81.25</v>
      </c>
    </row>
    <row r="6" spans="1:32" x14ac:dyDescent="0.3">
      <c r="A6" s="4" t="s">
        <v>17</v>
      </c>
      <c r="B6" s="4" t="s">
        <v>20</v>
      </c>
      <c r="C6" s="10">
        <v>30</v>
      </c>
      <c r="D6" s="35">
        <f>C6-(C6/100*1.2)</f>
        <v>29.64</v>
      </c>
      <c r="E6" s="35">
        <f t="shared" si="6"/>
        <v>29.284320000000001</v>
      </c>
      <c r="F6" s="35">
        <f t="shared" si="6"/>
        <v>28.93290816</v>
      </c>
      <c r="G6" s="35">
        <f t="shared" si="6"/>
        <v>28.585713262079999</v>
      </c>
      <c r="H6" s="36">
        <f t="shared" si="6"/>
        <v>28.242684702935041</v>
      </c>
      <c r="I6" s="35">
        <f t="shared" si="6"/>
        <v>27.903772486499822</v>
      </c>
      <c r="J6" s="35">
        <f t="shared" si="6"/>
        <v>27.568927216661823</v>
      </c>
      <c r="K6" s="35">
        <f t="shared" si="6"/>
        <v>27.238100090061881</v>
      </c>
      <c r="L6" s="35">
        <f t="shared" si="6"/>
        <v>26.911242888981139</v>
      </c>
      <c r="M6" s="34">
        <f>C6-(C6/100*12)</f>
        <v>26.4</v>
      </c>
      <c r="N6" s="8"/>
      <c r="O6" s="18">
        <v>60</v>
      </c>
      <c r="Q6" s="7" t="s">
        <v>4</v>
      </c>
      <c r="R6" s="7">
        <f>((O18/100*60)+(O19/100*40))</f>
        <v>46.5</v>
      </c>
    </row>
    <row r="7" spans="1:32" x14ac:dyDescent="0.3">
      <c r="A7" s="5" t="s">
        <v>21</v>
      </c>
      <c r="B7" s="5" t="s">
        <v>22</v>
      </c>
      <c r="C7" s="11">
        <v>22</v>
      </c>
      <c r="D7" s="35"/>
      <c r="E7" s="35"/>
      <c r="F7" s="35"/>
      <c r="G7" s="35"/>
      <c r="H7" s="36"/>
      <c r="I7" s="35"/>
      <c r="J7" s="35"/>
      <c r="K7" s="35"/>
      <c r="L7" s="37"/>
      <c r="M7" s="34">
        <f>C7+(C7/100*6)</f>
        <v>23.32</v>
      </c>
      <c r="N7" s="8"/>
      <c r="O7" s="22"/>
    </row>
    <row r="8" spans="1:32" x14ac:dyDescent="0.3">
      <c r="A8" s="5" t="s">
        <v>21</v>
      </c>
      <c r="B8" s="5" t="s">
        <v>23</v>
      </c>
      <c r="C8" s="11">
        <v>0.52</v>
      </c>
      <c r="D8" s="35"/>
      <c r="E8" s="35"/>
      <c r="F8" s="35"/>
      <c r="G8" s="35"/>
      <c r="H8" s="36"/>
      <c r="I8" s="35"/>
      <c r="J8" s="35"/>
      <c r="K8" s="35"/>
      <c r="L8" s="37"/>
      <c r="M8" s="34">
        <f>C8+(C8/100*4)</f>
        <v>0.54080000000000006</v>
      </c>
      <c r="N8" s="8"/>
      <c r="O8" s="22">
        <f xml:space="preserve">
IF(C8&lt;=0.4,0,
IF(C8&lt;=0.5,20*(C8-0.4)/0.1,
IF(C8&lt;=0.6,20+40*(C8-0.5)/0.1,
60+40*(MIN(C8,0.75)-0.6)/0.15)))</f>
        <v>28.000000000000007</v>
      </c>
      <c r="V8">
        <v>48</v>
      </c>
      <c r="W8">
        <v>49</v>
      </c>
      <c r="X8">
        <v>50</v>
      </c>
      <c r="Y8">
        <v>51</v>
      </c>
      <c r="Z8">
        <v>52</v>
      </c>
      <c r="AA8">
        <v>53</v>
      </c>
      <c r="AB8">
        <v>54</v>
      </c>
      <c r="AC8">
        <v>55</v>
      </c>
      <c r="AD8">
        <v>56</v>
      </c>
      <c r="AE8">
        <v>57</v>
      </c>
      <c r="AF8">
        <v>58</v>
      </c>
    </row>
    <row r="9" spans="1:32" x14ac:dyDescent="0.3">
      <c r="A9" s="5" t="s">
        <v>21</v>
      </c>
      <c r="B9" s="5" t="s">
        <v>24</v>
      </c>
      <c r="C9" s="11">
        <v>5.2</v>
      </c>
      <c r="D9" s="35"/>
      <c r="E9" s="35"/>
      <c r="F9" s="35"/>
      <c r="G9" s="35"/>
      <c r="H9" s="36"/>
      <c r="I9" s="35"/>
      <c r="J9" s="35"/>
      <c r="K9" s="35"/>
      <c r="L9" s="37"/>
      <c r="M9" s="34"/>
      <c r="N9" s="8"/>
      <c r="O9" s="22"/>
      <c r="W9">
        <v>1</v>
      </c>
      <c r="X9">
        <v>2</v>
      </c>
      <c r="Y9">
        <v>3</v>
      </c>
      <c r="Z9">
        <v>4</v>
      </c>
      <c r="AA9">
        <v>5</v>
      </c>
      <c r="AB9">
        <v>6</v>
      </c>
      <c r="AC9">
        <v>7</v>
      </c>
      <c r="AD9">
        <v>8</v>
      </c>
      <c r="AE9">
        <v>9</v>
      </c>
      <c r="AF9">
        <v>10</v>
      </c>
    </row>
    <row r="10" spans="1:32" x14ac:dyDescent="0.3">
      <c r="A10" s="5" t="s">
        <v>21</v>
      </c>
      <c r="B10" s="5" t="s">
        <v>25</v>
      </c>
      <c r="C10" s="11">
        <v>5.4</v>
      </c>
      <c r="D10" s="35"/>
      <c r="E10" s="35"/>
      <c r="F10" s="35"/>
      <c r="G10" s="35"/>
      <c r="H10" s="36"/>
      <c r="I10" s="35"/>
      <c r="J10" s="35"/>
      <c r="K10" s="35"/>
      <c r="L10" s="37"/>
      <c r="M10" s="34">
        <f>C10+(C10/100*5)</f>
        <v>5.67</v>
      </c>
      <c r="N10" s="8"/>
      <c r="O10" s="22">
        <f xml:space="preserve">
IF(C10&lt;5.7,10*(C10/5.7),
IF(C10&lt;6.5,10+40*(C10-5.7)/0.8,
50+50*(MIN(C10,9)-6.5)/2.5))</f>
        <v>9.4736842105263168</v>
      </c>
      <c r="Q10" t="s">
        <v>89</v>
      </c>
      <c r="R10" t="s">
        <v>90</v>
      </c>
      <c r="V10">
        <f ca="1">T4</f>
        <v>54.295001109379463</v>
      </c>
      <c r="W10" s="1">
        <f ca="1">(O34/100*20)+(R34/100*20)+(U34/100*25)+(X34/100*20)+(AA34/100*15)</f>
        <v>54.888130482569657</v>
      </c>
      <c r="X10" s="1">
        <f ca="1">(O35/100*20)+(R35/100*20)+(U35/100*25)+(X35/100*20)+(AA35/100*15)</f>
        <v>55.488692245033924</v>
      </c>
      <c r="Y10" s="1">
        <f ca="1">(O36/100*20)+(R36/100*20)+(U36/100*25)+(X36/100*20)+(AA36/100*15)</f>
        <v>56.096791761156041</v>
      </c>
      <c r="Z10" s="1">
        <f ca="1">(O37/100*20)+(R37/100*20)+(U37/100*25)+(X37/100*20)+(AA37/100*15)</f>
        <v>56.712536054832029</v>
      </c>
      <c r="AA10" s="1">
        <f ca="1">(O38/100*20)+(R38/100*20)+(U38/100*25)+(X38/100*20)+(AA38/100*15)</f>
        <v>57.336033837854664</v>
      </c>
      <c r="AB10" s="1">
        <f ca="1">(O39/100*20)+(R39/100*20)+(U39/100*25)+(X39/100*20)+(AA39/100*15)</f>
        <v>57.967395538813051</v>
      </c>
      <c r="AC10" s="1">
        <f ca="1">(O40/100*20)+(R40/100*20)+(U40/100*25)+(X40/100*20)+(AA40/100*15)</f>
        <v>58.606733332516718</v>
      </c>
      <c r="AD10" s="1">
        <f ca="1">(O41/100*20)+(R41/100*20)+(U41/100*25)+(X41/100*20)+(AA41/100*15)</f>
        <v>59.254161169954259</v>
      </c>
      <c r="AE10" s="1">
        <f ca="1">(O42/100*20)+(R42/100*20)+(U42/100*25)+(X42/100*20)+(AA42/100*15)</f>
        <v>59.909794808796491</v>
      </c>
      <c r="AF10" s="1">
        <f ca="1">(O43/100*20)+(R43/100*20)+(U43/100*25)+(X43/100*20)+(AA43/100*15)</f>
        <v>60.573751844454563</v>
      </c>
    </row>
    <row r="11" spans="1:32" x14ac:dyDescent="0.3">
      <c r="A11" s="5" t="s">
        <v>21</v>
      </c>
      <c r="B11" s="5" t="s">
        <v>26</v>
      </c>
      <c r="C11" s="11">
        <v>1.5</v>
      </c>
      <c r="D11" s="35"/>
      <c r="E11" s="35"/>
      <c r="F11" s="35"/>
      <c r="G11" s="35"/>
      <c r="H11" s="36"/>
      <c r="I11" s="35"/>
      <c r="J11" s="35"/>
      <c r="K11" s="35"/>
      <c r="L11" s="37"/>
      <c r="M11" s="34">
        <f>C11+(C11/100*14)</f>
        <v>1.71</v>
      </c>
      <c r="N11" s="8"/>
      <c r="O11" s="5">
        <f xml:space="preserve">
IF(C11&lt;1.6,10*(C11/1.6),
IF(C11&lt;3,10+40*(C11-1.6)/1.4,
50+50*(MIN(C11,7)-3)/4))</f>
        <v>9.375</v>
      </c>
      <c r="Q11">
        <f>(0.3*P12)+(0.2*O8)+(0.15*O10)+(0.25*O11)+(0.1*O13)</f>
        <v>28.150516917293238</v>
      </c>
      <c r="R11">
        <f xml:space="preserve">
IF(Q11&lt;=10,1.5-0.1*Q11,
IF(Q11&lt;=60,0.5-0.02*(Q11-10),
-0.5-0.03*(Q11-60)))</f>
        <v>0.13698966165413523</v>
      </c>
    </row>
    <row r="12" spans="1:32" x14ac:dyDescent="0.3">
      <c r="A12" s="5" t="s">
        <v>21</v>
      </c>
      <c r="B12" s="5" t="s">
        <v>27</v>
      </c>
      <c r="C12" s="11">
        <v>1.1000000000000001</v>
      </c>
      <c r="D12" s="35"/>
      <c r="E12" s="35"/>
      <c r="F12" s="35"/>
      <c r="G12" s="35"/>
      <c r="H12" s="36"/>
      <c r="I12" s="35"/>
      <c r="J12" s="35"/>
      <c r="K12" s="35"/>
      <c r="L12" s="37"/>
      <c r="M12" s="34">
        <f>C12+(C12/100*6)</f>
        <v>1.1660000000000001</v>
      </c>
      <c r="N12" s="8"/>
      <c r="O12" s="5">
        <f>C12*100</f>
        <v>110.00000000000001</v>
      </c>
      <c r="P12" s="5">
        <f xml:space="preserve">
IF(O12&lt;80,5*(O12/80),
IF(O12&lt;100,10+20*(O12-80)/20,
IF(O12&lt;130,30+25*(O12-100)/30,
IF(O12&lt;160,55+25*(O12-130)/30,
IF(O12&lt;200,80+20*(O12-160)/40,100)))))</f>
        <v>38.333333333333343</v>
      </c>
    </row>
    <row r="13" spans="1:32" x14ac:dyDescent="0.3">
      <c r="A13" s="5" t="s">
        <v>21</v>
      </c>
      <c r="B13" s="5" t="s">
        <v>28</v>
      </c>
      <c r="C13" s="11">
        <v>6.2</v>
      </c>
      <c r="D13" s="35"/>
      <c r="E13" s="35"/>
      <c r="F13" s="35"/>
      <c r="G13" s="35"/>
      <c r="H13" s="36"/>
      <c r="I13" s="35"/>
      <c r="J13" s="35"/>
      <c r="K13" s="35"/>
      <c r="L13" s="37"/>
      <c r="M13" s="34">
        <f>C13+(C13/100*18)</f>
        <v>7.3160000000000007</v>
      </c>
      <c r="N13" s="8"/>
      <c r="O13" s="5">
        <f xml:space="preserve">
IF(C13&lt;1,10*(C13/1),
IF(C13&lt;3,10+40*(C13-1)/2,
50+50*(MIN(C13,10)-3)/7))</f>
        <v>72.857142857142861</v>
      </c>
    </row>
    <row r="14" spans="1:32" x14ac:dyDescent="0.3">
      <c r="A14" s="6" t="s">
        <v>29</v>
      </c>
      <c r="B14" s="6" t="s">
        <v>30</v>
      </c>
      <c r="C14" s="12">
        <v>1.1000000000000001</v>
      </c>
      <c r="D14" s="35">
        <f>C14-(C14/100*0.6)</f>
        <v>1.0934000000000001</v>
      </c>
      <c r="E14" s="35">
        <f t="shared" ref="E14:L14" si="7">D14-(D14/100*0.6)</f>
        <v>1.0868396000000002</v>
      </c>
      <c r="F14" s="35">
        <f t="shared" si="7"/>
        <v>1.0803185624000002</v>
      </c>
      <c r="G14" s="35">
        <f t="shared" si="7"/>
        <v>1.0738366510256003</v>
      </c>
      <c r="H14" s="36">
        <f t="shared" si="7"/>
        <v>1.0673936311194467</v>
      </c>
      <c r="I14" s="35">
        <f t="shared" si="7"/>
        <v>1.0609892693327301</v>
      </c>
      <c r="J14" s="35">
        <f t="shared" si="7"/>
        <v>1.0546233337167337</v>
      </c>
      <c r="K14" s="35">
        <f t="shared" si="7"/>
        <v>1.0482955937144334</v>
      </c>
      <c r="L14" s="35">
        <f t="shared" si="7"/>
        <v>1.0420058201521467</v>
      </c>
      <c r="M14" s="34">
        <f>C14-(C14/100*6)</f>
        <v>1.034</v>
      </c>
      <c r="N14" s="8"/>
      <c r="O14" s="12">
        <f ca="1">IFERROR(FORECAST(C14, OFFSET([1]Mobility_Normative_Data!$A$3, MATCH(C14, [1]Mobility_Normative_Data!$C$3:$C$17, -1)-1, 0, 2), OFFSET([1]Mobility_Normative_Data!$C$3, MATCH(C14, [1]Mobility_Normative_Data!$C$3:$C$17, -1)-1, 0, 2)), INDEX([1]Mobility_Normative_Data!$A$3:$A$17, MATCH(C14, [1]Mobility_Normative_Data!$C$3:$C$17, -1)))</f>
        <v>80</v>
      </c>
    </row>
    <row r="15" spans="1:32" x14ac:dyDescent="0.3">
      <c r="A15" s="6" t="s">
        <v>29</v>
      </c>
      <c r="B15" s="6" t="s">
        <v>31</v>
      </c>
      <c r="C15" s="12">
        <v>9</v>
      </c>
      <c r="D15" s="35">
        <f>C15+(C15/100*1)</f>
        <v>9.09</v>
      </c>
      <c r="E15" s="35">
        <f t="shared" ref="E15:L15" si="8">D15+(D15/100*1)</f>
        <v>9.1808999999999994</v>
      </c>
      <c r="F15" s="35">
        <f t="shared" si="8"/>
        <v>9.272708999999999</v>
      </c>
      <c r="G15" s="35">
        <f t="shared" si="8"/>
        <v>9.3654360899999993</v>
      </c>
      <c r="H15" s="35">
        <f t="shared" si="8"/>
        <v>9.4590904508999998</v>
      </c>
      <c r="I15" s="35">
        <f t="shared" si="8"/>
        <v>9.5536813554089992</v>
      </c>
      <c r="J15" s="35">
        <f t="shared" si="8"/>
        <v>9.64921816896309</v>
      </c>
      <c r="K15" s="35">
        <f t="shared" si="8"/>
        <v>9.7457103506527201</v>
      </c>
      <c r="L15" s="35">
        <f t="shared" si="8"/>
        <v>9.8431674541592464</v>
      </c>
      <c r="M15" s="34">
        <f>C15+(C15/100*10)</f>
        <v>9.9</v>
      </c>
      <c r="N15" s="8"/>
      <c r="O15" s="12">
        <f ca="1">FORECAST(C15, OFFSET(Mobility_Normative_Data!$E$3, MATCH(C15, Mobility_Normative_Data!$F$3:$F$18, 1)-1, 0, 2), OFFSET(Mobility_Normative_Data!$F$3, MATCH(C15, Mobility_Normative_Data!$F$3:$F$18, 1)-1, 0, 2))</f>
        <v>70</v>
      </c>
    </row>
    <row r="16" spans="1:32" x14ac:dyDescent="0.3">
      <c r="A16" s="6" t="s">
        <v>29</v>
      </c>
      <c r="B16" s="6" t="s">
        <v>32</v>
      </c>
      <c r="C16" s="12">
        <v>5</v>
      </c>
      <c r="D16" s="35">
        <f>C16+(C16/100*2)</f>
        <v>5.0999999999999996</v>
      </c>
      <c r="E16" s="35">
        <f>D16+(D16/100*2)</f>
        <v>5.202</v>
      </c>
      <c r="F16" s="35">
        <f t="shared" ref="F16:L16" si="9">E16+(E16/100*2)</f>
        <v>5.3060400000000003</v>
      </c>
      <c r="G16" s="35">
        <f t="shared" si="9"/>
        <v>5.4121608000000005</v>
      </c>
      <c r="H16" s="36">
        <f t="shared" si="9"/>
        <v>5.5204040160000005</v>
      </c>
      <c r="I16" s="35">
        <f t="shared" si="9"/>
        <v>5.6308120963200006</v>
      </c>
      <c r="J16" s="35">
        <f t="shared" si="9"/>
        <v>5.7434283382464004</v>
      </c>
      <c r="K16" s="35">
        <f t="shared" si="9"/>
        <v>5.8582969050113283</v>
      </c>
      <c r="L16" s="35">
        <f t="shared" si="9"/>
        <v>5.9754628431115551</v>
      </c>
      <c r="M16" s="34">
        <f>C16+(C16/100*20)</f>
        <v>6</v>
      </c>
      <c r="N16" s="8"/>
      <c r="O16" s="12">
        <v>90</v>
      </c>
    </row>
    <row r="17" spans="1:28" x14ac:dyDescent="0.3">
      <c r="A17" s="6" t="s">
        <v>29</v>
      </c>
      <c r="B17" s="6" t="s">
        <v>33</v>
      </c>
      <c r="C17" s="12">
        <v>-15</v>
      </c>
      <c r="D17" s="35">
        <f>C17-(C17/100*1)</f>
        <v>-14.85</v>
      </c>
      <c r="E17" s="35">
        <f t="shared" ref="E17:L17" si="10">D17-(D17/100*1)</f>
        <v>-14.701499999999999</v>
      </c>
      <c r="F17" s="35">
        <f t="shared" si="10"/>
        <v>-14.554485</v>
      </c>
      <c r="G17" s="35">
        <f t="shared" si="10"/>
        <v>-14.408940149999999</v>
      </c>
      <c r="H17" s="36">
        <f t="shared" si="10"/>
        <v>-14.264850748499999</v>
      </c>
      <c r="I17" s="35">
        <f t="shared" si="10"/>
        <v>-14.122202241015</v>
      </c>
      <c r="J17" s="35">
        <f t="shared" si="10"/>
        <v>-13.98098021860485</v>
      </c>
      <c r="K17" s="35">
        <f t="shared" si="10"/>
        <v>-13.841170416418802</v>
      </c>
      <c r="L17" s="35">
        <f t="shared" si="10"/>
        <v>-13.702758712254614</v>
      </c>
      <c r="M17" s="34">
        <f>C17+(C17/100*10)</f>
        <v>-16.5</v>
      </c>
      <c r="N17" s="8"/>
      <c r="O17" s="12">
        <v>85</v>
      </c>
    </row>
    <row r="18" spans="1:28" x14ac:dyDescent="0.3">
      <c r="A18" s="7" t="s">
        <v>34</v>
      </c>
      <c r="B18" s="7" t="s">
        <v>35</v>
      </c>
      <c r="C18" s="13">
        <v>0.1</v>
      </c>
      <c r="D18" s="35">
        <f>C18+-0.02</f>
        <v>0.08</v>
      </c>
      <c r="E18" s="35">
        <f t="shared" ref="E18:L18" si="11">D18+-0.02</f>
        <v>0.06</v>
      </c>
      <c r="F18" s="35">
        <f t="shared" si="11"/>
        <v>3.9999999999999994E-2</v>
      </c>
      <c r="G18" s="35">
        <f t="shared" si="11"/>
        <v>1.9999999999999993E-2</v>
      </c>
      <c r="H18" s="36">
        <f t="shared" si="11"/>
        <v>0</v>
      </c>
      <c r="I18" s="35">
        <f t="shared" si="11"/>
        <v>-0.02</v>
      </c>
      <c r="J18" s="35">
        <f t="shared" si="11"/>
        <v>-0.04</v>
      </c>
      <c r="K18" s="35">
        <f t="shared" si="11"/>
        <v>-0.06</v>
      </c>
      <c r="L18" s="35">
        <f t="shared" si="11"/>
        <v>-0.08</v>
      </c>
      <c r="M18" s="34">
        <f>C18 +(-0.2)</f>
        <v>-0.1</v>
      </c>
      <c r="N18" s="8"/>
      <c r="O18" s="20">
        <f>MAX(18,B27-(C18*25))</f>
        <v>45.5</v>
      </c>
    </row>
    <row r="19" spans="1:28" x14ac:dyDescent="0.3">
      <c r="A19" s="7" t="s">
        <v>34</v>
      </c>
      <c r="B19" s="7" t="s">
        <v>36</v>
      </c>
      <c r="C19" s="13">
        <v>0.3</v>
      </c>
      <c r="D19" s="35">
        <f>C19-0.02</f>
        <v>0.27999999999999997</v>
      </c>
      <c r="E19" s="35">
        <f t="shared" ref="E19:L19" si="12">D19-0.02</f>
        <v>0.25999999999999995</v>
      </c>
      <c r="F19" s="35">
        <f t="shared" si="12"/>
        <v>0.23999999999999996</v>
      </c>
      <c r="G19" s="35">
        <f t="shared" si="12"/>
        <v>0.21999999999999997</v>
      </c>
      <c r="H19" s="36">
        <f t="shared" si="12"/>
        <v>0.19999999999999998</v>
      </c>
      <c r="I19" s="35">
        <f t="shared" si="12"/>
        <v>0.18</v>
      </c>
      <c r="J19" s="35">
        <f t="shared" si="12"/>
        <v>0.16</v>
      </c>
      <c r="K19" s="35">
        <f t="shared" si="12"/>
        <v>0.14000000000000001</v>
      </c>
      <c r="L19" s="35">
        <f t="shared" si="12"/>
        <v>0.12000000000000001</v>
      </c>
      <c r="M19" s="34">
        <f>C19+(-0.2)</f>
        <v>9.9999999999999978E-2</v>
      </c>
      <c r="N19" s="8"/>
      <c r="O19" s="20">
        <f>MAX(18,B27-(J1925))</f>
        <v>48</v>
      </c>
    </row>
    <row r="23" spans="1:28" x14ac:dyDescent="0.3">
      <c r="A23" s="43" t="s">
        <v>37</v>
      </c>
      <c r="B23" s="43"/>
      <c r="C23" s="43"/>
      <c r="D23" s="43"/>
      <c r="E23" s="43"/>
      <c r="F23" s="43"/>
    </row>
    <row r="25" spans="1:28" x14ac:dyDescent="0.3">
      <c r="B25" t="s">
        <v>5</v>
      </c>
      <c r="C25" t="s">
        <v>6</v>
      </c>
      <c r="D25" t="s">
        <v>9</v>
      </c>
      <c r="E25" t="s">
        <v>10</v>
      </c>
      <c r="F25" t="s">
        <v>11</v>
      </c>
    </row>
    <row r="26" spans="1:28" x14ac:dyDescent="0.3">
      <c r="A26" t="s">
        <v>43</v>
      </c>
      <c r="B26" t="s">
        <v>44</v>
      </c>
      <c r="I26" s="43" t="s">
        <v>144</v>
      </c>
      <c r="J26" s="43"/>
    </row>
    <row r="27" spans="1:28" x14ac:dyDescent="0.3">
      <c r="A27" t="s">
        <v>7</v>
      </c>
      <c r="B27">
        <v>48</v>
      </c>
      <c r="C27">
        <f>B27+10</f>
        <v>58</v>
      </c>
      <c r="D27">
        <f>C27+10</f>
        <v>68</v>
      </c>
      <c r="E27">
        <f>D27+10</f>
        <v>78</v>
      </c>
      <c r="F27">
        <f>E27+10</f>
        <v>88</v>
      </c>
      <c r="I27" s="44" t="s">
        <v>238</v>
      </c>
      <c r="J27" s="45"/>
    </row>
    <row r="28" spans="1:28" x14ac:dyDescent="0.3">
      <c r="A28" t="s">
        <v>0</v>
      </c>
      <c r="B28" s="24">
        <f>R2</f>
        <v>61.891139240506341</v>
      </c>
      <c r="C28">
        <f>B28+(B28/100*11.5)</f>
        <v>69.008620253164565</v>
      </c>
      <c r="D28">
        <f>C28+(C28/100*32.2)</f>
        <v>91.229395974683555</v>
      </c>
      <c r="E28">
        <f>D28+(D28/100*32.2)</f>
        <v>120.60526147853166</v>
      </c>
      <c r="F28">
        <f>E28+(E28/100*32.2)</f>
        <v>159.44015567461886</v>
      </c>
      <c r="I28" s="45"/>
      <c r="J28" s="45"/>
    </row>
    <row r="29" spans="1:28" x14ac:dyDescent="0.3">
      <c r="A29" t="s">
        <v>1</v>
      </c>
      <c r="B29">
        <f>R3</f>
        <v>35</v>
      </c>
      <c r="C29">
        <f>B29+(B29/100*12.3)</f>
        <v>39.305</v>
      </c>
      <c r="D29">
        <f>C29+(C29/100*30.8)</f>
        <v>51.410939999999997</v>
      </c>
      <c r="E29">
        <f>D29+(D29/100*30.8)</f>
        <v>67.245509519999999</v>
      </c>
      <c r="F29">
        <f>E29+(E29/100*30.8)</f>
        <v>87.957126452159997</v>
      </c>
      <c r="I29" s="45"/>
      <c r="J29" s="45"/>
    </row>
    <row r="30" spans="1:28" x14ac:dyDescent="0.3">
      <c r="A30" t="s">
        <v>2</v>
      </c>
      <c r="B30">
        <f>R4</f>
        <v>46.76709304511278</v>
      </c>
      <c r="C30">
        <f>B30+(B30/100*5.5)</f>
        <v>49.339283162593986</v>
      </c>
      <c r="D30">
        <f>C30+(C30/100*11)</f>
        <v>54.766604310479323</v>
      </c>
      <c r="E30">
        <f>D30+(D30/100*11)</f>
        <v>60.790930784632053</v>
      </c>
      <c r="F30">
        <f>E30+(E30/100*11)</f>
        <v>67.477933170941583</v>
      </c>
      <c r="I30" s="45"/>
      <c r="J30" s="45"/>
    </row>
    <row r="31" spans="1:28" x14ac:dyDescent="0.3">
      <c r="A31" t="s">
        <v>3</v>
      </c>
      <c r="B31">
        <f ca="1">R5</f>
        <v>81.25</v>
      </c>
      <c r="C31">
        <f ca="1">B31+(B31/100*9.9)</f>
        <v>89.293750000000003</v>
      </c>
      <c r="D31">
        <f ca="1">C31+(C31/100*19.8)</f>
        <v>106.97391250000001</v>
      </c>
      <c r="E31">
        <f ca="1">D31+(D31/100*19.8)</f>
        <v>128.15474717500001</v>
      </c>
      <c r="F31">
        <f ca="1">E31+(E31/100*19.8)</f>
        <v>153.52938711565002</v>
      </c>
      <c r="I31" s="45"/>
      <c r="J31" s="45"/>
      <c r="N31" s="46" t="s">
        <v>104</v>
      </c>
      <c r="O31" s="46"/>
      <c r="P31" s="46"/>
      <c r="Q31" s="46"/>
      <c r="R31" s="46"/>
      <c r="S31" s="46"/>
      <c r="T31" s="46"/>
      <c r="U31" s="46"/>
      <c r="V31" s="46"/>
      <c r="W31" s="46"/>
      <c r="X31" s="46"/>
      <c r="Y31" s="46"/>
      <c r="Z31" s="46"/>
      <c r="AA31" s="46"/>
    </row>
    <row r="32" spans="1:28" ht="84" customHeight="1" x14ac:dyDescent="0.3">
      <c r="A32" t="s">
        <v>4</v>
      </c>
      <c r="B32">
        <f>R6</f>
        <v>46.5</v>
      </c>
      <c r="C32">
        <f>B32+(B32/100*20)</f>
        <v>55.8</v>
      </c>
      <c r="D32">
        <f>C32+(C32/100*60)</f>
        <v>89.28</v>
      </c>
      <c r="E32">
        <f>D32+(D32/100*60)</f>
        <v>142.84800000000001</v>
      </c>
      <c r="F32">
        <f>E32+(E32/100*60)</f>
        <v>228.55680000000001</v>
      </c>
      <c r="I32" s="45"/>
      <c r="J32" s="45"/>
      <c r="N32" s="2" t="s">
        <v>103</v>
      </c>
      <c r="O32" s="2" t="s">
        <v>147</v>
      </c>
      <c r="P32" s="2" t="s">
        <v>220</v>
      </c>
      <c r="Q32" s="2" t="s">
        <v>103</v>
      </c>
      <c r="R32" s="2" t="s">
        <v>105</v>
      </c>
      <c r="S32" s="2" t="s">
        <v>221</v>
      </c>
      <c r="T32" s="2" t="s">
        <v>103</v>
      </c>
      <c r="U32" s="2" t="s">
        <v>121</v>
      </c>
      <c r="V32" s="2" t="s">
        <v>222</v>
      </c>
      <c r="W32" s="2" t="s">
        <v>103</v>
      </c>
      <c r="X32" s="2" t="s">
        <v>108</v>
      </c>
      <c r="Y32" s="2" t="s">
        <v>223</v>
      </c>
      <c r="Z32" s="2" t="s">
        <v>103</v>
      </c>
      <c r="AA32" s="2" t="s">
        <v>123</v>
      </c>
      <c r="AB32" s="2" t="s">
        <v>224</v>
      </c>
    </row>
    <row r="33" spans="1:28" x14ac:dyDescent="0.3">
      <c r="N33" s="2">
        <f>B27</f>
        <v>48</v>
      </c>
      <c r="O33" s="27">
        <f>R2</f>
        <v>61.891139240506341</v>
      </c>
      <c r="P33" s="27">
        <f>O33</f>
        <v>61.891139240506341</v>
      </c>
      <c r="Q33" s="2">
        <f>N33</f>
        <v>48</v>
      </c>
      <c r="R33" s="2">
        <f>R3</f>
        <v>35</v>
      </c>
      <c r="S33" s="27">
        <f>R33</f>
        <v>35</v>
      </c>
      <c r="T33" s="2">
        <f>N33</f>
        <v>48</v>
      </c>
      <c r="U33" s="2">
        <f>R4</f>
        <v>46.76709304511278</v>
      </c>
      <c r="V33" s="27">
        <f>U33</f>
        <v>46.76709304511278</v>
      </c>
      <c r="W33" s="2">
        <f>N33</f>
        <v>48</v>
      </c>
      <c r="X33" s="2">
        <f ca="1">R5</f>
        <v>81.25</v>
      </c>
      <c r="Y33" s="27">
        <f ca="1">X33</f>
        <v>81.25</v>
      </c>
      <c r="Z33" s="2">
        <f>N33</f>
        <v>48</v>
      </c>
      <c r="AA33">
        <f>R6</f>
        <v>46.5</v>
      </c>
      <c r="AB33" s="27">
        <f>AA33</f>
        <v>46.5</v>
      </c>
    </row>
    <row r="34" spans="1:28" x14ac:dyDescent="0.3">
      <c r="N34" s="2">
        <f>N33+1</f>
        <v>49</v>
      </c>
      <c r="O34" s="2">
        <f>O33+(O33*0.0115)</f>
        <v>62.602887341772167</v>
      </c>
      <c r="P34" s="2">
        <f>O33-(1-0.27)^(1/10)</f>
        <v>60.922120255083783</v>
      </c>
      <c r="Q34" s="2">
        <f>Q33+1</f>
        <v>49</v>
      </c>
      <c r="R34" s="2">
        <f>R33+(R33*0.0123)</f>
        <v>35.430500000000002</v>
      </c>
      <c r="S34" s="2">
        <f>R33-(1-0.27)^(1/10)</f>
        <v>34.030981014577442</v>
      </c>
      <c r="T34" s="2">
        <f>T33+1</f>
        <v>49</v>
      </c>
      <c r="U34" s="2">
        <f t="shared" ref="U34:U43" si="13">U33+(U33*0.0055)</f>
        <v>47.0243120568609</v>
      </c>
      <c r="V34" s="2">
        <f>U33-(1-0.27)^(1/10)</f>
        <v>45.798074059690222</v>
      </c>
      <c r="W34" s="2">
        <f>W33+1</f>
        <v>49</v>
      </c>
      <c r="X34" s="2">
        <f ca="1">X33+(X33*0.0099)</f>
        <v>82.054374999999993</v>
      </c>
      <c r="Y34" s="2">
        <f ca="1">X33-(1-0.4013)^(1/10)</f>
        <v>80.300005861213577</v>
      </c>
      <c r="Z34" s="2">
        <f>Z33+1</f>
        <v>49</v>
      </c>
      <c r="AA34">
        <f>AA33+(AA33*0.02)</f>
        <v>47.43</v>
      </c>
      <c r="AB34" s="2">
        <f>AA33-(1-0.2925)^(1/10)</f>
        <v>45.534009969239399</v>
      </c>
    </row>
    <row r="35" spans="1:28" x14ac:dyDescent="0.3">
      <c r="N35" s="2">
        <f t="shared" ref="N35:N43" si="14">N34+1</f>
        <v>50</v>
      </c>
      <c r="O35" s="2">
        <f t="shared" ref="O35:O43" si="15">O34+(O34*0.0115)</f>
        <v>63.32282054620255</v>
      </c>
      <c r="P35" s="2">
        <f>P34-(1-0.27)^(2/10)</f>
        <v>59.983122460974421</v>
      </c>
      <c r="Q35" s="2">
        <f t="shared" ref="Q35:Q43" si="16">Q34+1</f>
        <v>50</v>
      </c>
      <c r="R35" s="2">
        <f t="shared" ref="R35:R43" si="17">R34+(R34*0.0123)</f>
        <v>35.866295149999999</v>
      </c>
      <c r="S35" s="2">
        <f>S34-(1-0.4464)^(2/10)</f>
        <v>33.142518280638569</v>
      </c>
      <c r="T35" s="2">
        <f t="shared" ref="T35:T43" si="18">T34+1</f>
        <v>50</v>
      </c>
      <c r="U35" s="2">
        <f t="shared" si="13"/>
        <v>47.282945773173637</v>
      </c>
      <c r="V35" s="2">
        <f>V34-(1-0.27)^(2/10)</f>
        <v>44.85907626558086</v>
      </c>
      <c r="W35" s="2">
        <f t="shared" ref="W35:W43" si="19">W34+1</f>
        <v>50</v>
      </c>
      <c r="X35" s="2">
        <f t="shared" ref="X35:X43" ca="1" si="20">X34+(X34*0.0099)</f>
        <v>82.866713312499996</v>
      </c>
      <c r="Y35" s="2">
        <f ca="1">Y34-(1-0.4013)^(2/10)</f>
        <v>79.397516997485013</v>
      </c>
      <c r="Z35" s="2">
        <f t="shared" ref="Z35:Z43" si="21">Z34+1</f>
        <v>50</v>
      </c>
      <c r="AA35">
        <f t="shared" ref="AA35:AA43" si="22">AA34+(AA34*0.02)</f>
        <v>48.378599999999999</v>
      </c>
      <c r="AB35" s="2">
        <f>AB34-(1-0.2925)^(2/10)</f>
        <v>44.600873229710537</v>
      </c>
    </row>
    <row r="36" spans="1:28" x14ac:dyDescent="0.3">
      <c r="A36" t="s">
        <v>8</v>
      </c>
      <c r="N36" s="2">
        <f t="shared" si="14"/>
        <v>51</v>
      </c>
      <c r="O36" s="2">
        <f t="shared" si="15"/>
        <v>64.051032982483875</v>
      </c>
      <c r="P36" s="2">
        <f>P35-(1-0.27)^(2/10)</f>
        <v>59.044124666865059</v>
      </c>
      <c r="Q36" s="2">
        <f t="shared" si="16"/>
        <v>51</v>
      </c>
      <c r="R36" s="2">
        <f t="shared" si="17"/>
        <v>36.307450580344998</v>
      </c>
      <c r="S36" s="2">
        <f>S35-(1-0.4464)^(2/10)</f>
        <v>32.254055546699696</v>
      </c>
      <c r="T36" s="2">
        <f t="shared" si="18"/>
        <v>51</v>
      </c>
      <c r="U36" s="2">
        <f t="shared" si="13"/>
        <v>47.543001974926092</v>
      </c>
      <c r="V36" s="2">
        <f>V35-(1-0.27)^(2/10)</f>
        <v>43.920078471471498</v>
      </c>
      <c r="W36" s="2">
        <f t="shared" si="19"/>
        <v>51</v>
      </c>
      <c r="X36" s="2">
        <f t="shared" ca="1" si="20"/>
        <v>83.687093774293743</v>
      </c>
      <c r="Y36" s="2">
        <f ca="1">Y35-(1-0.4013)^(2/10)</f>
        <v>78.495028133756449</v>
      </c>
      <c r="Z36" s="2">
        <f t="shared" si="21"/>
        <v>51</v>
      </c>
      <c r="AA36">
        <f t="shared" si="22"/>
        <v>49.346171999999996</v>
      </c>
      <c r="AB36" s="2">
        <f>AB35-(1-0.2925)^(2/10)</f>
        <v>43.667736490181674</v>
      </c>
    </row>
    <row r="37" spans="1:28" x14ac:dyDescent="0.3">
      <c r="A37" s="1">
        <f ca="1">(B28/100*20)+(B29/100*20)+(B30/100*25)+(B31/100*20)+(B32/100*15)</f>
        <v>54.295001109379463</v>
      </c>
      <c r="N37" s="2">
        <f t="shared" si="14"/>
        <v>52</v>
      </c>
      <c r="O37" s="2">
        <f t="shared" si="15"/>
        <v>64.787619861782446</v>
      </c>
      <c r="P37" s="2">
        <f>P36-(1-0.27)^(3/10)</f>
        <v>58.134217977103184</v>
      </c>
      <c r="Q37" s="2">
        <f t="shared" si="16"/>
        <v>52</v>
      </c>
      <c r="R37" s="2">
        <f t="shared" si="17"/>
        <v>36.754032222483239</v>
      </c>
      <c r="S37" s="2">
        <f>S36-(1-0.4464)^(3/10)</f>
        <v>31.416605667163473</v>
      </c>
      <c r="T37" s="2">
        <f t="shared" si="18"/>
        <v>52</v>
      </c>
      <c r="U37" s="2">
        <f t="shared" si="13"/>
        <v>47.804488485788184</v>
      </c>
      <c r="V37" s="2">
        <f>V36-(1-0.27)^(3/10)</f>
        <v>43.010171781709623</v>
      </c>
      <c r="W37" s="2">
        <f t="shared" si="19"/>
        <v>52</v>
      </c>
      <c r="X37" s="2">
        <f t="shared" ca="1" si="20"/>
        <v>84.515596002659251</v>
      </c>
      <c r="Y37" s="2">
        <f ca="1">Y36-(1-0.4013)^(3/10)</f>
        <v>77.637669002894299</v>
      </c>
      <c r="Z37" s="2">
        <f t="shared" si="21"/>
        <v>52</v>
      </c>
      <c r="AA37">
        <f t="shared" si="22"/>
        <v>50.333095439999994</v>
      </c>
      <c r="AB37" s="2">
        <f>AB36-(1-0.2925)^(3/10)</f>
        <v>42.766335702460339</v>
      </c>
    </row>
    <row r="38" spans="1:28" x14ac:dyDescent="0.3">
      <c r="N38" s="2">
        <f t="shared" si="14"/>
        <v>53</v>
      </c>
      <c r="O38" s="2">
        <f t="shared" si="15"/>
        <v>65.532677490192938</v>
      </c>
      <c r="P38" s="2">
        <f>P37-(1-0.27)^(4/10)</f>
        <v>57.252501119760936</v>
      </c>
      <c r="Q38" s="2">
        <f t="shared" si="16"/>
        <v>53</v>
      </c>
      <c r="R38" s="2">
        <f t="shared" si="17"/>
        <v>37.206106818819784</v>
      </c>
      <c r="S38" s="2">
        <f>S37-(1-0.4464)^(4/10)</f>
        <v>30.627239637565339</v>
      </c>
      <c r="T38" s="2">
        <f t="shared" si="18"/>
        <v>53</v>
      </c>
      <c r="U38" s="2">
        <f t="shared" si="13"/>
        <v>48.067413172460022</v>
      </c>
      <c r="V38" s="2">
        <f>V37-(1-0.27)^(4/10)</f>
        <v>42.128454924367375</v>
      </c>
      <c r="W38" s="2">
        <f t="shared" si="19"/>
        <v>53</v>
      </c>
      <c r="X38" s="2">
        <f t="shared" ca="1" si="20"/>
        <v>85.352300403085579</v>
      </c>
      <c r="Y38" s="2">
        <f ca="1">Y37-(1-0.4013)^(4/10)</f>
        <v>76.823182853740235</v>
      </c>
      <c r="Z38" s="2">
        <f t="shared" si="21"/>
        <v>53</v>
      </c>
      <c r="AA38">
        <f t="shared" si="22"/>
        <v>51.339757348799992</v>
      </c>
      <c r="AB38" s="2">
        <f>AB37-(1-0.2925)^(4/10)</f>
        <v>41.895591527801777</v>
      </c>
    </row>
    <row r="39" spans="1:28" x14ac:dyDescent="0.3">
      <c r="N39" s="2">
        <f t="shared" si="14"/>
        <v>54</v>
      </c>
      <c r="O39" s="2">
        <f t="shared" si="15"/>
        <v>66.286303281330163</v>
      </c>
      <c r="P39" s="2">
        <f>P38-(1-0.27)^(5/10)</f>
        <v>56.398100745229186</v>
      </c>
      <c r="Q39" s="2">
        <f t="shared" si="16"/>
        <v>54</v>
      </c>
      <c r="R39" s="2">
        <f t="shared" si="17"/>
        <v>37.663741932691266</v>
      </c>
      <c r="S39" s="2">
        <f>S38-(1-0.4464)^(5/10)</f>
        <v>29.883196628055806</v>
      </c>
      <c r="T39" s="2">
        <f t="shared" si="18"/>
        <v>54</v>
      </c>
      <c r="U39" s="2">
        <f t="shared" si="13"/>
        <v>48.331783944908551</v>
      </c>
      <c r="V39" s="2">
        <f>V38-(1-0.27)^(5/10)</f>
        <v>41.274054549835625</v>
      </c>
      <c r="W39" s="2">
        <f t="shared" si="19"/>
        <v>54</v>
      </c>
      <c r="X39" s="2">
        <f t="shared" ca="1" si="20"/>
        <v>86.197288177076132</v>
      </c>
      <c r="Y39" s="2">
        <f ca="1">Y38-(1-0.4013)^(5/10)</f>
        <v>76.049425785921144</v>
      </c>
      <c r="Z39" s="2">
        <f t="shared" si="21"/>
        <v>54</v>
      </c>
      <c r="AA39">
        <f t="shared" si="22"/>
        <v>52.366552495775991</v>
      </c>
      <c r="AB39" s="2">
        <f>AB38-(1-0.2925)^(5/10)</f>
        <v>41.054461335738743</v>
      </c>
    </row>
    <row r="40" spans="1:28" x14ac:dyDescent="0.3">
      <c r="N40" s="2">
        <f t="shared" si="14"/>
        <v>55</v>
      </c>
      <c r="O40" s="2">
        <f t="shared" si="15"/>
        <v>67.048595769065457</v>
      </c>
      <c r="P40" s="2">
        <f>P39-(1-0.27)^(6/10)</f>
        <v>55.570170561155777</v>
      </c>
      <c r="Q40" s="2">
        <f t="shared" si="16"/>
        <v>55</v>
      </c>
      <c r="R40" s="2">
        <f t="shared" si="17"/>
        <v>38.127005958463371</v>
      </c>
      <c r="S40" s="2">
        <f>S39-(1-0.4464)^(6/10)</f>
        <v>29.181874327320575</v>
      </c>
      <c r="T40" s="2">
        <f t="shared" si="18"/>
        <v>55</v>
      </c>
      <c r="U40" s="2">
        <f t="shared" si="13"/>
        <v>48.597608756605545</v>
      </c>
      <c r="V40" s="2">
        <f>V39-(1-0.27)^(6/10)</f>
        <v>40.446124365762216</v>
      </c>
      <c r="W40" s="2">
        <f t="shared" si="19"/>
        <v>55</v>
      </c>
      <c r="X40" s="2">
        <f t="shared" ca="1" si="20"/>
        <v>87.05064133002918</v>
      </c>
      <c r="Y40" s="2">
        <f ca="1">Y39-(1-0.4013)^(6/10)</f>
        <v>75.314361106648434</v>
      </c>
      <c r="Z40" s="2">
        <f t="shared" si="21"/>
        <v>55</v>
      </c>
      <c r="AA40">
        <f t="shared" si="22"/>
        <v>53.413883545691512</v>
      </c>
      <c r="AB40" s="2">
        <f>AB39-(1-0.2925)^(6/10)</f>
        <v>40.2419379556341</v>
      </c>
    </row>
    <row r="41" spans="1:28" x14ac:dyDescent="0.3">
      <c r="N41" s="2">
        <f t="shared" si="14"/>
        <v>56</v>
      </c>
      <c r="O41" s="2">
        <f t="shared" si="15"/>
        <v>67.819654620409707</v>
      </c>
      <c r="P41" s="2">
        <f>P40-(1-0.27)^(7/10)</f>
        <v>54.76789049418425</v>
      </c>
      <c r="Q41" s="2">
        <f t="shared" si="16"/>
        <v>56</v>
      </c>
      <c r="R41" s="2">
        <f t="shared" si="17"/>
        <v>38.595968131752471</v>
      </c>
      <c r="S41" s="2">
        <f>S40-(1-0.4464)^(7/10)</f>
        <v>28.520819840923629</v>
      </c>
      <c r="T41" s="2">
        <f t="shared" si="18"/>
        <v>56</v>
      </c>
      <c r="U41" s="2">
        <f t="shared" si="13"/>
        <v>48.864895604766879</v>
      </c>
      <c r="V41" s="2">
        <f>V40-(1-0.27)^(7/10)</f>
        <v>39.64384429879069</v>
      </c>
      <c r="W41" s="2">
        <f t="shared" si="19"/>
        <v>56</v>
      </c>
      <c r="X41" s="2">
        <f t="shared" ca="1" si="20"/>
        <v>87.912442679196474</v>
      </c>
      <c r="Y41" s="2">
        <f ca="1">Y40-(1-0.4013)^(7/10)</f>
        <v>74.616053969710435</v>
      </c>
      <c r="Z41" s="2">
        <f t="shared" si="21"/>
        <v>56</v>
      </c>
      <c r="AA41">
        <f t="shared" si="22"/>
        <v>54.482161216605341</v>
      </c>
      <c r="AB41" s="2">
        <f>AB40-(1-0.2925)^(7/10)</f>
        <v>39.45704847069311</v>
      </c>
    </row>
    <row r="42" spans="1:28" x14ac:dyDescent="0.3">
      <c r="B42" t="s">
        <v>12</v>
      </c>
      <c r="C42" t="s">
        <v>0</v>
      </c>
      <c r="D42" t="s">
        <v>12</v>
      </c>
      <c r="E42" t="s">
        <v>1</v>
      </c>
      <c r="F42" t="s">
        <v>12</v>
      </c>
      <c r="G42" t="s">
        <v>2</v>
      </c>
      <c r="H42" t="s">
        <v>12</v>
      </c>
      <c r="I42" t="s">
        <v>3</v>
      </c>
      <c r="J42" t="s">
        <v>12</v>
      </c>
      <c r="K42" t="s">
        <v>4</v>
      </c>
      <c r="N42" s="2">
        <f t="shared" si="14"/>
        <v>57</v>
      </c>
      <c r="O42" s="2">
        <f t="shared" si="15"/>
        <v>68.599580648544418</v>
      </c>
      <c r="P42" s="2">
        <f>P41-(1-0.27)^(8/10)</f>
        <v>53.990465877662757</v>
      </c>
      <c r="Q42" s="2">
        <f t="shared" si="16"/>
        <v>57</v>
      </c>
      <c r="R42" s="2">
        <f t="shared" si="17"/>
        <v>39.070698539773026</v>
      </c>
      <c r="S42" s="2">
        <f>S41-(1-0.4464)^(8/10)</f>
        <v>27.897721112240106</v>
      </c>
      <c r="T42" s="2">
        <f t="shared" si="18"/>
        <v>57</v>
      </c>
      <c r="U42" s="2">
        <f t="shared" si="13"/>
        <v>49.133652530593096</v>
      </c>
      <c r="V42" s="2">
        <f>V41-(1-0.27)^(8/10)</f>
        <v>38.866419682269196</v>
      </c>
      <c r="W42" s="2">
        <f t="shared" si="19"/>
        <v>57</v>
      </c>
      <c r="X42" s="2">
        <f t="shared" ca="1" si="20"/>
        <v>88.782775861720523</v>
      </c>
      <c r="Y42" s="2">
        <f ca="1">Y41-(1-0.4013)^(8/10)</f>
        <v>73.952666282546616</v>
      </c>
      <c r="Z42" s="2">
        <f t="shared" si="21"/>
        <v>57</v>
      </c>
      <c r="AA42">
        <f t="shared" si="22"/>
        <v>55.571804440937449</v>
      </c>
      <c r="AB42" s="2">
        <f>AB41-(1-0.2925)^(8/10)</f>
        <v>38.698853052991289</v>
      </c>
    </row>
    <row r="43" spans="1:28" x14ac:dyDescent="0.3">
      <c r="B43">
        <f>B27</f>
        <v>48</v>
      </c>
      <c r="C43">
        <f>B28</f>
        <v>61.891139240506341</v>
      </c>
      <c r="D43">
        <f>B43</f>
        <v>48</v>
      </c>
      <c r="E43">
        <f>B29</f>
        <v>35</v>
      </c>
      <c r="F43">
        <f>B27</f>
        <v>48</v>
      </c>
      <c r="G43">
        <f>B30</f>
        <v>46.76709304511278</v>
      </c>
      <c r="H43">
        <f>B27</f>
        <v>48</v>
      </c>
      <c r="I43">
        <f ca="1">B31</f>
        <v>81.25</v>
      </c>
      <c r="J43">
        <f>B27</f>
        <v>48</v>
      </c>
      <c r="K43">
        <f>B32</f>
        <v>46.5</v>
      </c>
      <c r="N43" s="2">
        <f t="shared" si="14"/>
        <v>58</v>
      </c>
      <c r="O43" s="2">
        <f t="shared" si="15"/>
        <v>69.388475826002676</v>
      </c>
      <c r="P43" s="2">
        <f>P42-(1-0.27)^(9/10)</f>
        <v>53.237126664518577</v>
      </c>
      <c r="Q43" s="2">
        <f t="shared" si="16"/>
        <v>58</v>
      </c>
      <c r="R43" s="2">
        <f t="shared" si="17"/>
        <v>39.551268131812236</v>
      </c>
      <c r="S43" s="2">
        <f>S42-(1-0.4464)^(9/10)</f>
        <v>27.31039883597332</v>
      </c>
      <c r="T43" s="2">
        <f t="shared" si="18"/>
        <v>58</v>
      </c>
      <c r="U43" s="2">
        <f t="shared" si="13"/>
        <v>49.403887619511359</v>
      </c>
      <c r="V43" s="2">
        <f>V42-(1-0.27)^(9/10)</f>
        <v>38.113080469125016</v>
      </c>
      <c r="W43" s="2">
        <f t="shared" si="19"/>
        <v>58</v>
      </c>
      <c r="X43" s="2">
        <f t="shared" ca="1" si="20"/>
        <v>89.661725342751552</v>
      </c>
      <c r="Y43" s="2">
        <f ca="1">Y42-(1-0.4013)^(9/10)</f>
        <v>73.322451867997898</v>
      </c>
      <c r="Z43" s="2">
        <f t="shared" si="21"/>
        <v>58</v>
      </c>
      <c r="AA43">
        <f t="shared" si="22"/>
        <v>56.683240529756198</v>
      </c>
      <c r="AB43" s="2">
        <f>AB42-(1-0.2925)^(9/10)</f>
        <v>37.966443838122963</v>
      </c>
    </row>
    <row r="44" spans="1:28" x14ac:dyDescent="0.3">
      <c r="B44">
        <f>C27</f>
        <v>58</v>
      </c>
      <c r="C44">
        <f>C28</f>
        <v>69.008620253164565</v>
      </c>
      <c r="D44">
        <f>B44</f>
        <v>58</v>
      </c>
      <c r="E44">
        <f>C29</f>
        <v>39.305</v>
      </c>
      <c r="F44">
        <f>C27</f>
        <v>58</v>
      </c>
      <c r="G44">
        <f>C30</f>
        <v>49.339283162593986</v>
      </c>
      <c r="H44">
        <f>C27</f>
        <v>58</v>
      </c>
      <c r="I44">
        <f ca="1">C31</f>
        <v>89.293750000000003</v>
      </c>
      <c r="J44">
        <f>C27</f>
        <v>58</v>
      </c>
      <c r="K44">
        <f>C32</f>
        <v>55.8</v>
      </c>
    </row>
    <row r="45" spans="1:28" x14ac:dyDescent="0.3">
      <c r="B45">
        <f>D27</f>
        <v>68</v>
      </c>
      <c r="C45">
        <f>D28</f>
        <v>91.229395974683555</v>
      </c>
      <c r="D45">
        <f>D27</f>
        <v>68</v>
      </c>
      <c r="E45">
        <f>D29</f>
        <v>51.410939999999997</v>
      </c>
      <c r="F45">
        <f>D27</f>
        <v>68</v>
      </c>
      <c r="G45">
        <f>D30</f>
        <v>54.766604310479323</v>
      </c>
      <c r="H45">
        <f>D27</f>
        <v>68</v>
      </c>
      <c r="I45">
        <f ca="1">D31</f>
        <v>106.97391250000001</v>
      </c>
      <c r="J45">
        <f>D27</f>
        <v>68</v>
      </c>
      <c r="K45">
        <f>D32</f>
        <v>89.28</v>
      </c>
    </row>
    <row r="46" spans="1:28" x14ac:dyDescent="0.3">
      <c r="B46">
        <f>E27</f>
        <v>78</v>
      </c>
      <c r="C46">
        <f>E28</f>
        <v>120.60526147853166</v>
      </c>
      <c r="D46">
        <f>E27</f>
        <v>78</v>
      </c>
      <c r="E46">
        <f>E29</f>
        <v>67.245509519999999</v>
      </c>
      <c r="F46">
        <f>E27</f>
        <v>78</v>
      </c>
      <c r="G46">
        <f>E30</f>
        <v>60.790930784632053</v>
      </c>
      <c r="H46">
        <f>E27</f>
        <v>78</v>
      </c>
      <c r="I46">
        <f ca="1">E31</f>
        <v>128.15474717500001</v>
      </c>
      <c r="J46">
        <f>E27</f>
        <v>78</v>
      </c>
      <c r="K46">
        <f>E32</f>
        <v>142.84800000000001</v>
      </c>
    </row>
    <row r="47" spans="1:28" x14ac:dyDescent="0.3">
      <c r="B47">
        <f>F27</f>
        <v>88</v>
      </c>
      <c r="C47">
        <f>F28</f>
        <v>159.44015567461886</v>
      </c>
      <c r="D47">
        <f>F27</f>
        <v>88</v>
      </c>
      <c r="E47">
        <f>F29</f>
        <v>87.957126452159997</v>
      </c>
      <c r="F47">
        <f>F27</f>
        <v>88</v>
      </c>
      <c r="G47">
        <f ca="1">F31</f>
        <v>153.52938711565002</v>
      </c>
      <c r="H47">
        <f>F27</f>
        <v>88</v>
      </c>
      <c r="I47">
        <f ca="1">F31</f>
        <v>153.52938711565002</v>
      </c>
      <c r="J47">
        <f>F27</f>
        <v>88</v>
      </c>
      <c r="K47">
        <f>F32</f>
        <v>228.55680000000001</v>
      </c>
    </row>
    <row r="53" spans="4:5" x14ac:dyDescent="0.3">
      <c r="D53" t="s">
        <v>239</v>
      </c>
      <c r="E53">
        <f ca="1">_xlfn.LET(
    _xlpm.ChronAge, B27,
    _xlpm.BioAge, MEDIAN(25, R5, 90),
    _xlpm.Gap, _xlpm.ChronAge - _xlpm.BioAge,
    _xlpm.ClampedGap, MAX(-30, MIN(30, _xlpm.Gap)),
    _xlpm.RawAngle, _xlpm.ClampedGap * 6,
    MOD(_xlpm.RawAngle + 90, 360)
)</f>
        <v>270</v>
      </c>
    </row>
    <row r="54" spans="4:5" x14ac:dyDescent="0.3">
      <c r="D54" t="s">
        <v>227</v>
      </c>
      <c r="E54">
        <f ca="1">_xlfn.LET(_xlpm.ChronAge, B27, _xlpm.BioAge, MEDIAN(25, T4, 90), MAX(1, MIN(100, (100 * ((_xlpm.ChronAge + 30) - _xlpm.BioAge) / 60))))</f>
        <v>39.508331484367559</v>
      </c>
    </row>
    <row r="55" spans="4:5" x14ac:dyDescent="0.3">
      <c r="D55" t="s">
        <v>226</v>
      </c>
      <c r="E55">
        <f ca="1">_xlfn.LET(_xlpm.ChronAge, B27, _xlpm.BioAge, MEDIAN(25, T4, 90), MAX(300, MIN(850, 600 + (10 * (_xlpm.ChronAge - _xlpm.BioAge)))))</f>
        <v>537.04998890620539</v>
      </c>
    </row>
  </sheetData>
  <mergeCells count="4">
    <mergeCell ref="A23:F23"/>
    <mergeCell ref="I26:J26"/>
    <mergeCell ref="I27:J32"/>
    <mergeCell ref="N31:AA3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6378-2950-4006-B835-3464C87E90DD}">
  <dimension ref="A1:AA47"/>
  <sheetViews>
    <sheetView zoomScale="81" zoomScaleNormal="81" workbookViewId="0">
      <selection activeCell="C19" sqref="C19"/>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 min="21" max="21" width="11.88671875" bestFit="1" customWidth="1"/>
  </cols>
  <sheetData>
    <row r="1" spans="1:15" ht="28.8" x14ac:dyDescent="0.3">
      <c r="A1" s="8" t="s">
        <v>91</v>
      </c>
      <c r="B1" s="8" t="s">
        <v>92</v>
      </c>
      <c r="D1" s="2" t="s">
        <v>14</v>
      </c>
      <c r="E1" s="2"/>
      <c r="F1" s="2" t="s">
        <v>38</v>
      </c>
      <c r="G1" s="2" t="s">
        <v>39</v>
      </c>
      <c r="H1" s="2" t="s">
        <v>40</v>
      </c>
      <c r="I1" s="2" t="s">
        <v>41</v>
      </c>
      <c r="J1" s="2"/>
      <c r="K1" s="2"/>
      <c r="L1" s="2"/>
      <c r="M1" s="2" t="s">
        <v>42</v>
      </c>
      <c r="N1" s="2"/>
      <c r="O1" s="2"/>
    </row>
    <row r="2" spans="1:15" ht="28.8" x14ac:dyDescent="0.3">
      <c r="A2" s="8" t="s">
        <v>12</v>
      </c>
      <c r="B2" s="8">
        <v>30</v>
      </c>
      <c r="D2" s="9" t="s">
        <v>15</v>
      </c>
      <c r="E2" s="9">
        <v>42</v>
      </c>
      <c r="F2" s="2">
        <f>E2+(E2/100*10)</f>
        <v>46.2</v>
      </c>
      <c r="G2" s="2">
        <f>F2+(F2/100*10)</f>
        <v>50.82</v>
      </c>
      <c r="H2" s="2">
        <f>G2+(G2/100*10)</f>
        <v>55.902000000000001</v>
      </c>
      <c r="I2" s="2">
        <f>H2+(H2/100*15)</f>
        <v>64.287300000000002</v>
      </c>
      <c r="J2" s="9"/>
      <c r="K2" s="2"/>
      <c r="L2" s="9" t="s">
        <v>0</v>
      </c>
      <c r="M2" s="28">
        <f>B27+ ((1 -((E2 / 43.4) * 0.7 )-((E3/ 100) * 0.3 )) * 100)</f>
        <v>32.858064516129041</v>
      </c>
      <c r="N2" s="2"/>
      <c r="O2" s="2"/>
    </row>
    <row r="3" spans="1:15" ht="100.8" x14ac:dyDescent="0.3">
      <c r="A3" s="8" t="s">
        <v>93</v>
      </c>
      <c r="B3" s="2" t="s">
        <v>94</v>
      </c>
      <c r="D3" s="9" t="s">
        <v>16</v>
      </c>
      <c r="E3" s="9">
        <v>98</v>
      </c>
      <c r="F3" s="2">
        <f>E3-(E3/100*10)</f>
        <v>88.2</v>
      </c>
      <c r="G3" s="2">
        <f>F3-(F3/100*10)</f>
        <v>79.38</v>
      </c>
      <c r="H3" s="2">
        <f>G3-(G3/100*15)</f>
        <v>67.472999999999999</v>
      </c>
      <c r="I3" s="2">
        <f>H3-(H3/100*15)</f>
        <v>57.352049999999998</v>
      </c>
      <c r="J3" s="9"/>
      <c r="K3" s="2"/>
      <c r="L3" s="10" t="s">
        <v>1</v>
      </c>
      <c r="M3" s="10">
        <f ca="1">((J4/100*50)+(J5/100*25)+(J6/100*25))</f>
        <v>37</v>
      </c>
      <c r="N3" s="2"/>
      <c r="O3" s="25" t="s">
        <v>8</v>
      </c>
    </row>
    <row r="4" spans="1:15" ht="18" customHeight="1" x14ac:dyDescent="0.3">
      <c r="D4" s="10" t="s">
        <v>18</v>
      </c>
      <c r="E4" s="10">
        <v>51</v>
      </c>
      <c r="F4" s="2">
        <f>E4-(E4/100*10)</f>
        <v>45.9</v>
      </c>
      <c r="G4" s="2">
        <f>F4-(F4/100*10)</f>
        <v>41.31</v>
      </c>
      <c r="H4" s="2">
        <f>G4-(G4/100*6)-(G4/100*6)</f>
        <v>36.352800000000002</v>
      </c>
      <c r="I4" s="2">
        <f>H4-((H4/100)*15)</f>
        <v>30.899880000000003</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30</v>
      </c>
      <c r="K4" s="2"/>
      <c r="L4" s="11" t="s">
        <v>2</v>
      </c>
      <c r="M4" s="11">
        <f>B27 - 9*M11</f>
        <v>27.457669172932331</v>
      </c>
      <c r="N4" s="2"/>
      <c r="O4" s="25" t="e">
        <f ca="1">A37</f>
        <v>#N/A</v>
      </c>
    </row>
    <row r="5" spans="1:15" ht="28.8" x14ac:dyDescent="0.3">
      <c r="D5" s="10" t="s">
        <v>19</v>
      </c>
      <c r="E5" s="10">
        <v>3.1</v>
      </c>
      <c r="F5" s="2">
        <f>E5-(E5/100*12)</f>
        <v>2.7280000000000002</v>
      </c>
      <c r="G5" s="2">
        <f>F5-(F5/100*12)</f>
        <v>2.4006400000000001</v>
      </c>
      <c r="H5" s="2">
        <f>G5-(G5/100*1.2) - (G5/100* 13.5)</f>
        <v>2.0477459200000001</v>
      </c>
      <c r="I5" s="2">
        <f>H5+(H5/100*15)</f>
        <v>2.3549078080000001</v>
      </c>
      <c r="J5" s="10">
        <f ca="1">FORECAST(E5, OFFSET(Strength_Normative_Data!$O$3, MATCH(E5, Strength_Normative_Data!$P$3:$P$17, -1)-1, 0, 2), OFFSET(Strength_Normative_Data!$P$3, MATCH(E5, Strength_Normative_Data!$P$3:$P$17, -1)-1, 0, 2))</f>
        <v>50</v>
      </c>
      <c r="K5" s="2"/>
      <c r="L5" s="12" t="s">
        <v>29</v>
      </c>
      <c r="M5" s="12" t="e">
        <f ca="1">((J14/100*30)+(J15/100*25)+(J16/100*30)+(J17/100*15))</f>
        <v>#N/A</v>
      </c>
      <c r="N5" s="2"/>
      <c r="O5" s="2"/>
    </row>
    <row r="6" spans="1:15" x14ac:dyDescent="0.3">
      <c r="D6" s="10" t="s">
        <v>20</v>
      </c>
      <c r="E6" s="10">
        <v>45</v>
      </c>
      <c r="F6" s="2">
        <f>E6-(E6/100*12)</f>
        <v>39.6</v>
      </c>
      <c r="G6" s="2">
        <f>F6+(F6/100*12)</f>
        <v>44.352000000000004</v>
      </c>
      <c r="H6" s="2">
        <f>G6+(G6/100*1.2) + (G6/100* 13.5)</f>
        <v>50.871744000000007</v>
      </c>
      <c r="I6" s="2">
        <f>H6+(H6/100*15)</f>
        <v>58.502505600000006</v>
      </c>
      <c r="J6" s="10">
        <f ca="1">FORECAST(E6, OFFSET(Strength_Normative_Data!$J$3, MATCH(E6, Strength_Normative_Data!$K$3:$K$16, -1)-1, 0, 2), OFFSET(Strength_Normative_Data!$K$3, MATCH(E6, Strength_Normative_Data!$K$3:$K$16, -1)-1, 0, 2))</f>
        <v>38</v>
      </c>
      <c r="K6" s="2"/>
      <c r="L6" s="13" t="s">
        <v>4</v>
      </c>
      <c r="M6" s="13">
        <f>((J18/100*60)+(J19/100*40))</f>
        <v>20</v>
      </c>
      <c r="N6" s="2"/>
      <c r="O6" s="2"/>
    </row>
    <row r="7" spans="1:15" x14ac:dyDescent="0.3">
      <c r="D7" s="11" t="s">
        <v>22</v>
      </c>
      <c r="E7" s="11">
        <v>22</v>
      </c>
      <c r="F7" s="2">
        <f>E7+(E7/100*6)</f>
        <v>23.32</v>
      </c>
      <c r="G7" s="2">
        <f t="shared" ref="G7:I7" si="0">F7+(F7/100*6)</f>
        <v>24.719200000000001</v>
      </c>
      <c r="H7" s="2">
        <f t="shared" si="0"/>
        <v>26.202352000000001</v>
      </c>
      <c r="I7" s="2">
        <f t="shared" si="0"/>
        <v>27.774493120000002</v>
      </c>
      <c r="J7" s="11"/>
      <c r="K7" s="2"/>
      <c r="L7" s="2"/>
      <c r="M7" s="2"/>
      <c r="N7" s="2"/>
      <c r="O7" s="2"/>
    </row>
    <row r="8" spans="1:15" ht="28.8" x14ac:dyDescent="0.3">
      <c r="D8" s="11" t="s">
        <v>23</v>
      </c>
      <c r="E8" s="11">
        <v>0.51</v>
      </c>
      <c r="F8" s="2">
        <f>E8+(E8/100*4)</f>
        <v>0.53039999999999998</v>
      </c>
      <c r="G8" s="2">
        <f t="shared" ref="G8:I8" si="1">F8+(F8/100*4)</f>
        <v>0.551616</v>
      </c>
      <c r="H8" s="2">
        <f t="shared" si="1"/>
        <v>0.57368063999999996</v>
      </c>
      <c r="I8" s="2">
        <f t="shared" si="1"/>
        <v>0.59662786559999992</v>
      </c>
      <c r="J8" s="11">
        <f xml:space="preserve">
IF(E8&lt;=0.4,0,
IF(E8&lt;=0.5,20*(E8-0.4)/0.1,
IF(E8&lt;=0.6,20+40*(E8-0.5)/0.1,
60+40*(MIN(E8,0.75)-0.6)/0.15)))</f>
        <v>24.000000000000004</v>
      </c>
      <c r="K8" s="2"/>
      <c r="L8" s="2"/>
      <c r="M8" s="2"/>
      <c r="N8" s="2"/>
      <c r="O8" s="2"/>
    </row>
    <row r="9" spans="1:15" ht="28.8" x14ac:dyDescent="0.3">
      <c r="D9" s="11" t="s">
        <v>24</v>
      </c>
      <c r="E9" s="11">
        <v>5.4</v>
      </c>
      <c r="F9" s="2"/>
      <c r="G9" s="2"/>
      <c r="H9" s="2"/>
      <c r="I9" s="2"/>
      <c r="J9" s="11"/>
      <c r="K9" s="2"/>
      <c r="L9" s="2"/>
      <c r="M9" s="2"/>
      <c r="N9" s="2"/>
      <c r="O9" s="2"/>
    </row>
    <row r="10" spans="1:15" ht="28.8" x14ac:dyDescent="0.3">
      <c r="D10" s="11" t="s">
        <v>25</v>
      </c>
      <c r="E10" s="11">
        <v>5.5</v>
      </c>
      <c r="F10" s="2">
        <f>E10+(E10/100*5)</f>
        <v>5.7750000000000004</v>
      </c>
      <c r="G10" s="2">
        <f t="shared" ref="G10:I10" si="2">F10+(F10/100*5)</f>
        <v>6.0637500000000006</v>
      </c>
      <c r="H10" s="2">
        <f t="shared" si="2"/>
        <v>6.3669375000000006</v>
      </c>
      <c r="I10" s="2">
        <f t="shared" si="2"/>
        <v>6.6852843750000002</v>
      </c>
      <c r="J10" s="11">
        <f xml:space="preserve">
IF(E10&lt;5.7,10*(E10/5.7),
IF(E10&lt;6.5,10+40*(E10-5.7)/0.8,
50+50*(MIN(E10,9)-6.5)/2.5))</f>
        <v>9.6491228070175445</v>
      </c>
      <c r="K10" s="2"/>
      <c r="L10" s="2" t="s">
        <v>89</v>
      </c>
      <c r="M10" s="2" t="s">
        <v>90</v>
      </c>
      <c r="N10" s="2"/>
      <c r="O10" s="2"/>
    </row>
    <row r="11" spans="1:15" x14ac:dyDescent="0.3">
      <c r="D11" s="11" t="s">
        <v>26</v>
      </c>
      <c r="E11" s="11">
        <v>1.8</v>
      </c>
      <c r="F11" s="2">
        <f>E11+(E11/100*14)</f>
        <v>2.052</v>
      </c>
      <c r="G11" s="2">
        <f t="shared" ref="G11:I11" si="3">F11+(F11/100*14)</f>
        <v>2.33928</v>
      </c>
      <c r="H11" s="2">
        <f t="shared" si="3"/>
        <v>2.6667792000000001</v>
      </c>
      <c r="I11" s="2">
        <f t="shared" si="3"/>
        <v>3.040128288</v>
      </c>
      <c r="J11" s="11">
        <f xml:space="preserve">
IF(E11&lt;1.6,10*(E11/1.6),
IF(E11&lt;3,10+40*(E11-1.6)/1.4,
50+50*(MIN(E11,7)-3)/4))</f>
        <v>15.714285714285714</v>
      </c>
      <c r="K11" s="2"/>
      <c r="L11" s="2">
        <f>(0.3*K12)+(0.2*J8)+(0.15*J10)+(0.25*J11)+(0.1*J13)</f>
        <v>20.875939849624061</v>
      </c>
      <c r="M11" s="2">
        <f xml:space="preserve">
IF(L11&lt;=10,1.5-0.1*L11,
IF(L11&lt;=60,0.5-0.02*(L11-10),
-0.5-0.03*(L11-60)))</f>
        <v>0.28248120300751878</v>
      </c>
      <c r="N11" s="2"/>
      <c r="O11" s="2"/>
    </row>
    <row r="12" spans="1:15" x14ac:dyDescent="0.3">
      <c r="D12" s="11" t="s">
        <v>27</v>
      </c>
      <c r="E12" s="11">
        <v>0.95</v>
      </c>
      <c r="F12" s="2">
        <f>E12+(E12/100*6)</f>
        <v>1.0069999999999999</v>
      </c>
      <c r="G12" s="2">
        <f t="shared" ref="G12:I12" si="4">F12+(F12/100*6)</f>
        <v>1.0674199999999998</v>
      </c>
      <c r="H12" s="2">
        <f t="shared" si="4"/>
        <v>1.1314651999999998</v>
      </c>
      <c r="I12" s="2">
        <f t="shared" si="4"/>
        <v>1.1993531119999998</v>
      </c>
      <c r="J12" s="11">
        <f>E12*100</f>
        <v>95</v>
      </c>
      <c r="K12" s="11">
        <f xml:space="preserve">
IF(J12&lt;80,5*(J12/80),
IF(J12&lt;100,10+20*(J12-80)/20,
IF(J12&lt;130,30+25*(J12-100)/30,
IF(J12&lt;160,55+25*(J12-130)/30,
IF(J12&lt;200,80+20*(J12-160)/40,100)))))</f>
        <v>25</v>
      </c>
      <c r="L12" s="2"/>
      <c r="M12" s="2"/>
      <c r="N12" s="2"/>
      <c r="O12" s="2"/>
    </row>
    <row r="13" spans="1:15" x14ac:dyDescent="0.3">
      <c r="D13" s="11" t="s">
        <v>28</v>
      </c>
      <c r="E13" s="11">
        <v>2.1</v>
      </c>
      <c r="F13" s="2">
        <f>E13+(E13/100*18)</f>
        <v>2.4780000000000002</v>
      </c>
      <c r="G13" s="2">
        <f t="shared" ref="G13:I13" si="5">F13+(F13/100*18)</f>
        <v>2.9240400000000002</v>
      </c>
      <c r="H13" s="2">
        <f t="shared" si="5"/>
        <v>3.4503672000000005</v>
      </c>
      <c r="I13" s="2">
        <f t="shared" si="5"/>
        <v>4.0714332960000004</v>
      </c>
      <c r="J13" s="11">
        <f xml:space="preserve">
IF(E13&lt;1,10*(E13/1),
IF(E13&lt;3,10+40*(E13-1)/2,
50+50*(MIN(E13,10)-3)/7))</f>
        <v>32</v>
      </c>
      <c r="K13" s="2"/>
      <c r="L13" s="2"/>
      <c r="M13" s="2"/>
      <c r="N13" s="2"/>
      <c r="O13" s="2"/>
    </row>
    <row r="14" spans="1:15" x14ac:dyDescent="0.3">
      <c r="D14" s="12" t="s">
        <v>30</v>
      </c>
      <c r="E14" s="12">
        <v>1.4</v>
      </c>
      <c r="F14" s="2">
        <f>E14-(E14/100*6)</f>
        <v>1.3159999999999998</v>
      </c>
      <c r="G14" s="2">
        <f>F14+(F14/100*6)</f>
        <v>1.3949599999999998</v>
      </c>
      <c r="H14" s="2">
        <f>G14+(G14/100*7)</f>
        <v>1.4926071999999997</v>
      </c>
      <c r="I14" s="2">
        <f>H14+(H14/100*7)</f>
        <v>1.5970897039999996</v>
      </c>
      <c r="J14" s="12" t="e">
        <f ca="1">IFERROR(FORECAST(E14, OFFSET(Mobility_Normative_Data!$A$3, MATCH(E14, Mobility_Normative_Data!$B$3:$B$17, -1)-1, 0, 2), OFFSET(Mobility_Normative_Data!$B$3, MATCH(E14, Mobility_Normative_Data!$B$3:$B$17, -1)-1, 0, 2)), INDEX(Mobility_Normative_Data!$A$3:$A$17, MATCH(E14, Mobility_Normative_Data!$B$3:$B$17, -1)))</f>
        <v>#N/A</v>
      </c>
      <c r="K14" s="2"/>
      <c r="L14" s="2"/>
      <c r="M14" s="2"/>
      <c r="N14" s="2"/>
      <c r="O14" s="2"/>
    </row>
    <row r="15" spans="1:15" ht="28.8" x14ac:dyDescent="0.3">
      <c r="D15" s="12" t="s">
        <v>31</v>
      </c>
      <c r="E15" s="12">
        <v>6.5</v>
      </c>
      <c r="F15" s="2">
        <f>E15+(E15/100*10)</f>
        <v>7.15</v>
      </c>
      <c r="G15" s="2">
        <f>F15+(F15/100*10)</f>
        <v>7.8650000000000002</v>
      </c>
      <c r="H15" s="2">
        <f>G15+(G15/100*10)</f>
        <v>8.6515000000000004</v>
      </c>
      <c r="I15" s="2">
        <f>H15+(H15/100*10)</f>
        <v>9.5166500000000003</v>
      </c>
      <c r="J15" s="12">
        <f ca="1">FORECAST(E15, OFFSET(Mobility_Normative_Data!$E$3, MATCH(E15, Mobility_Normative_Data!$F$3:$F$18, 1)-1, 0, 2), OFFSET(Mobility_Normative_Data!$F$3, MATCH(E15, Mobility_Normative_Data!$F$3:$F$18, 1)-1, 0, 2))</f>
        <v>45</v>
      </c>
      <c r="K15" s="2"/>
      <c r="L15" s="2"/>
      <c r="M15" s="2"/>
      <c r="N15" s="2"/>
      <c r="O15" s="2"/>
    </row>
    <row r="16" spans="1:15" ht="28.8" x14ac:dyDescent="0.3">
      <c r="D16" s="12" t="s">
        <v>32</v>
      </c>
      <c r="E16" s="12">
        <v>45</v>
      </c>
      <c r="F16" s="2">
        <f>E16-(E16/100*20)</f>
        <v>36</v>
      </c>
      <c r="G16" s="2">
        <f>F16+(F16/100*20)</f>
        <v>43.2</v>
      </c>
      <c r="H16" s="2">
        <f t="shared" ref="H16:I16" si="6">G16+(G16/100*20)</f>
        <v>51.84</v>
      </c>
      <c r="I16" s="2">
        <f t="shared" si="6"/>
        <v>62.208000000000006</v>
      </c>
      <c r="J16" s="12">
        <f ca="1">FORECAST(E16, OFFSET(Mobility_Normative_Data!$I$3, MATCH(E16, Mobility_Normative_Data!$J$3:$J$17, -1)-1, 0, 2), OFFSET(Mobility_Normative_Data!$J$3, MATCH(E16, Mobility_Normative_Data!$J$3:$J$17, -1)-1, 0, 2))</f>
        <v>20</v>
      </c>
      <c r="K16" s="2"/>
      <c r="L16" s="2"/>
      <c r="M16" s="2"/>
      <c r="N16" s="2"/>
      <c r="O16" s="2"/>
    </row>
    <row r="17" spans="1:27" x14ac:dyDescent="0.3">
      <c r="D17" s="12" t="s">
        <v>33</v>
      </c>
      <c r="E17" s="12">
        <v>36</v>
      </c>
      <c r="F17" s="2">
        <f>E17-(E17/100*10)</f>
        <v>32.4</v>
      </c>
      <c r="G17" s="2">
        <f>F17+(F17/100*10)</f>
        <v>35.64</v>
      </c>
      <c r="H17" s="2">
        <f>G17+(G17/100*10)</f>
        <v>39.204000000000001</v>
      </c>
      <c r="I17" s="2">
        <f>H17+(H17/100*10)</f>
        <v>43.124400000000001</v>
      </c>
      <c r="J17" s="12">
        <f ca="1">FORECAST(E17, OFFSET(Mobility_Normative_Data!$M$3, MATCH(E17, Mobility_Normative_Data!$N$3:$N$17, -1)-1, 0, 2), OFFSET(Mobility_Normative_Data!$N$3, MATCH(E17, Mobility_Normative_Data!$N$3:$N$17, -1)-1, 0, 2))</f>
        <v>35</v>
      </c>
      <c r="K17" s="2"/>
      <c r="L17" s="2"/>
      <c r="M17" s="2"/>
      <c r="N17" s="2"/>
      <c r="O17" s="2"/>
    </row>
    <row r="18" spans="1:27" ht="28.8" x14ac:dyDescent="0.3">
      <c r="D18" s="13" t="s">
        <v>35</v>
      </c>
      <c r="E18" s="13">
        <v>0.5</v>
      </c>
      <c r="F18" s="2">
        <f>E18 +(-0.2)</f>
        <v>0.3</v>
      </c>
      <c r="G18" s="2">
        <f>F18 +(-0.2)</f>
        <v>9.9999999999999978E-2</v>
      </c>
      <c r="H18" s="2">
        <f>G18 +(-0.3)</f>
        <v>-0.2</v>
      </c>
      <c r="I18" s="2">
        <f>H18 +(-0.3)</f>
        <v>-0.5</v>
      </c>
      <c r="J18" s="13">
        <f>MAX(18,B27-(E18*25))</f>
        <v>18</v>
      </c>
      <c r="K18" s="2"/>
      <c r="L18" s="2"/>
      <c r="M18" s="2"/>
      <c r="N18" s="2"/>
      <c r="O18" s="2"/>
    </row>
    <row r="19" spans="1:27" ht="28.8" x14ac:dyDescent="0.3">
      <c r="D19" s="13" t="s">
        <v>36</v>
      </c>
      <c r="E19" s="13">
        <v>0.2</v>
      </c>
      <c r="F19" s="2">
        <f>E19+(-0.2)</f>
        <v>0</v>
      </c>
      <c r="G19" s="2">
        <f>F19 +(-0.2)</f>
        <v>-0.2</v>
      </c>
      <c r="H19" s="2">
        <f>G19 +(-0.3)</f>
        <v>-0.5</v>
      </c>
      <c r="I19" s="2">
        <f>H19 +(-0.3)</f>
        <v>-0.8</v>
      </c>
      <c r="J19" s="13">
        <f>MAX(18,B27-(E19*35))</f>
        <v>23</v>
      </c>
      <c r="K19" s="2"/>
      <c r="L19" s="2"/>
      <c r="M19" s="2"/>
      <c r="N19" s="2"/>
      <c r="O19" s="2"/>
    </row>
    <row r="23" spans="1:27" x14ac:dyDescent="0.3">
      <c r="A23" s="43" t="s">
        <v>37</v>
      </c>
      <c r="B23" s="43"/>
      <c r="C23" s="43"/>
      <c r="D23" s="43"/>
      <c r="E23" s="43"/>
      <c r="F23" s="43"/>
    </row>
    <row r="25" spans="1:27" x14ac:dyDescent="0.3">
      <c r="B25" t="s">
        <v>5</v>
      </c>
      <c r="C25" t="s">
        <v>6</v>
      </c>
      <c r="D25" t="s">
        <v>9</v>
      </c>
      <c r="E25" t="s">
        <v>10</v>
      </c>
      <c r="F25" t="s">
        <v>11</v>
      </c>
      <c r="N25" s="46" t="s">
        <v>104</v>
      </c>
      <c r="O25" s="46"/>
      <c r="P25" s="46"/>
      <c r="Q25" s="46"/>
      <c r="R25" s="46"/>
      <c r="S25" s="46"/>
      <c r="T25" s="46"/>
      <c r="U25" s="46"/>
      <c r="V25" s="46"/>
      <c r="W25" s="46"/>
      <c r="X25" s="46"/>
      <c r="Y25" s="46"/>
      <c r="Z25" s="46"/>
      <c r="AA25" s="46"/>
    </row>
    <row r="26" spans="1:27" ht="28.8" x14ac:dyDescent="0.3">
      <c r="A26" t="s">
        <v>43</v>
      </c>
      <c r="B26" t="s">
        <v>44</v>
      </c>
      <c r="N26" s="2" t="s">
        <v>103</v>
      </c>
      <c r="O26" s="2" t="s">
        <v>106</v>
      </c>
      <c r="P26" s="2"/>
      <c r="Q26" s="2" t="s">
        <v>103</v>
      </c>
      <c r="R26" s="2" t="s">
        <v>105</v>
      </c>
      <c r="S26" s="2"/>
      <c r="T26" s="2" t="s">
        <v>103</v>
      </c>
      <c r="U26" s="2" t="s">
        <v>107</v>
      </c>
      <c r="V26" s="2"/>
      <c r="W26" s="2" t="s">
        <v>103</v>
      </c>
      <c r="X26" s="2" t="s">
        <v>108</v>
      </c>
      <c r="Y26" s="2"/>
      <c r="Z26" s="2" t="s">
        <v>103</v>
      </c>
      <c r="AA26" s="2" t="s">
        <v>109</v>
      </c>
    </row>
    <row r="27" spans="1:27" x14ac:dyDescent="0.3">
      <c r="A27" t="s">
        <v>7</v>
      </c>
      <c r="B27">
        <f>B2</f>
        <v>30</v>
      </c>
      <c r="C27">
        <f>B27+10</f>
        <v>40</v>
      </c>
      <c r="D27">
        <f>C27+10</f>
        <v>50</v>
      </c>
      <c r="E27">
        <f>D27+10</f>
        <v>60</v>
      </c>
      <c r="F27">
        <f>E27+10</f>
        <v>70</v>
      </c>
      <c r="N27" s="2">
        <f>B27</f>
        <v>30</v>
      </c>
      <c r="O27" s="27">
        <f>M2</f>
        <v>32.858064516129041</v>
      </c>
      <c r="P27" s="2"/>
      <c r="Q27" s="2">
        <f>N27</f>
        <v>30</v>
      </c>
      <c r="R27" s="2">
        <f ca="1">M3</f>
        <v>37</v>
      </c>
      <c r="S27" s="2"/>
      <c r="T27" s="2">
        <f>N27</f>
        <v>30</v>
      </c>
      <c r="U27" s="2">
        <f>M4</f>
        <v>27.457669172932331</v>
      </c>
      <c r="V27" s="2"/>
      <c r="W27" s="2">
        <f>N27</f>
        <v>30</v>
      </c>
      <c r="X27" s="2" t="e">
        <f ca="1">M5</f>
        <v>#N/A</v>
      </c>
      <c r="Y27" s="2"/>
      <c r="Z27" s="2">
        <f>N27</f>
        <v>30</v>
      </c>
      <c r="AA27">
        <f>M6</f>
        <v>20</v>
      </c>
    </row>
    <row r="28" spans="1:27" x14ac:dyDescent="0.3">
      <c r="A28" t="s">
        <v>0</v>
      </c>
      <c r="B28" s="24">
        <f>M2</f>
        <v>32.858064516129041</v>
      </c>
      <c r="C28">
        <f>B28+(B28/100*11.5)</f>
        <v>36.636741935483883</v>
      </c>
      <c r="D28">
        <f>C28+(C28/100*32.2)</f>
        <v>48.433772838709693</v>
      </c>
      <c r="E28">
        <f>D28+(D28/100*32.2)</f>
        <v>64.029447692774212</v>
      </c>
      <c r="F28">
        <f>E28+(E28/100*32.2)</f>
        <v>84.64692984984751</v>
      </c>
      <c r="N28" s="2">
        <f>N27+1</f>
        <v>31</v>
      </c>
      <c r="O28" s="2">
        <f>O27+(O27*0.0115)</f>
        <v>33.235932258064523</v>
      </c>
      <c r="P28" s="2"/>
      <c r="Q28" s="2">
        <f>Q27+1</f>
        <v>31</v>
      </c>
      <c r="R28" s="2">
        <f ca="1">R27+(R27*0.0123)</f>
        <v>37.455100000000002</v>
      </c>
      <c r="S28" s="2"/>
      <c r="T28" s="2">
        <f>T27+1</f>
        <v>31</v>
      </c>
      <c r="U28" s="2">
        <f>U27+(U27*0.011)</f>
        <v>27.759703533834585</v>
      </c>
      <c r="V28" s="2"/>
      <c r="W28" s="2">
        <f>W27+1</f>
        <v>31</v>
      </c>
      <c r="X28" s="2" t="e">
        <f ca="1">X27+(X27*0.0099)</f>
        <v>#N/A</v>
      </c>
      <c r="Y28" s="2"/>
      <c r="Z28" s="2">
        <f>Z27+1</f>
        <v>31</v>
      </c>
      <c r="AA28">
        <f>AA27+(AA27*0.02)</f>
        <v>20.399999999999999</v>
      </c>
    </row>
    <row r="29" spans="1:27" x14ac:dyDescent="0.3">
      <c r="A29" t="s">
        <v>1</v>
      </c>
      <c r="B29">
        <f ca="1">M3</f>
        <v>37</v>
      </c>
      <c r="C29">
        <f ca="1">B29+(B29/100*12.3)</f>
        <v>41.551000000000002</v>
      </c>
      <c r="D29">
        <f ca="1">C29+(C29/100*30.8)</f>
        <v>54.348708000000002</v>
      </c>
      <c r="E29">
        <f ca="1">D29+(D29/100*30.8)</f>
        <v>71.088110064000006</v>
      </c>
      <c r="F29">
        <f ca="1">E29+(E29/100*30.8)</f>
        <v>92.983247963712017</v>
      </c>
      <c r="N29" s="2">
        <f t="shared" ref="N29:N37" si="7">N28+1</f>
        <v>32</v>
      </c>
      <c r="O29" s="2">
        <f t="shared" ref="O29:O37" si="8">O28+(O28*0.0115)</f>
        <v>33.618145479032265</v>
      </c>
      <c r="P29" s="2"/>
      <c r="Q29" s="2">
        <f t="shared" ref="Q29:Q37" si="9">Q28+1</f>
        <v>32</v>
      </c>
      <c r="R29" s="2">
        <f t="shared" ref="R29:R37" ca="1" si="10">R28+(R28*0.0123)</f>
        <v>37.915797730000001</v>
      </c>
      <c r="S29" s="2"/>
      <c r="T29" s="2">
        <f t="shared" ref="T29:T37" si="11">T28+1</f>
        <v>32</v>
      </c>
      <c r="U29" s="2">
        <f t="shared" ref="U29:U37" si="12">U28+(U28*0.011)</f>
        <v>28.065060272706766</v>
      </c>
      <c r="V29" s="2"/>
      <c r="W29" s="2">
        <f t="shared" ref="W29:W37" si="13">W28+1</f>
        <v>32</v>
      </c>
      <c r="X29" s="2" t="e">
        <f t="shared" ref="X29:X37" ca="1" si="14">X28+(X28*0.0099)</f>
        <v>#N/A</v>
      </c>
      <c r="Y29" s="2"/>
      <c r="Z29" s="2">
        <f t="shared" ref="Z29:Z37" si="15">Z28+1</f>
        <v>32</v>
      </c>
      <c r="AA29">
        <f t="shared" ref="AA29:AA37" si="16">AA28+(AA28*0.02)</f>
        <v>20.808</v>
      </c>
    </row>
    <row r="30" spans="1:27" x14ac:dyDescent="0.3">
      <c r="A30" t="s">
        <v>2</v>
      </c>
      <c r="B30">
        <f>M4</f>
        <v>27.457669172932331</v>
      </c>
      <c r="C30">
        <f>B30+(B30/100*5.5)</f>
        <v>28.967840977443608</v>
      </c>
      <c r="D30">
        <f>C30+(C30/100*11)</f>
        <v>32.154303484962405</v>
      </c>
      <c r="E30">
        <f>D30+(D30/100*11)</f>
        <v>35.691276868308272</v>
      </c>
      <c r="F30">
        <f>E30+(E30/100*11)</f>
        <v>39.617317323822178</v>
      </c>
      <c r="N30" s="2">
        <f t="shared" si="7"/>
        <v>33</v>
      </c>
      <c r="O30" s="2">
        <f t="shared" si="8"/>
        <v>34.004754152041137</v>
      </c>
      <c r="P30" s="2"/>
      <c r="Q30" s="2">
        <f t="shared" si="9"/>
        <v>33</v>
      </c>
      <c r="R30" s="2">
        <f t="shared" ca="1" si="10"/>
        <v>38.382162042079003</v>
      </c>
      <c r="S30" s="2"/>
      <c r="T30" s="2">
        <f t="shared" si="11"/>
        <v>33</v>
      </c>
      <c r="U30" s="2">
        <f t="shared" si="12"/>
        <v>28.37377593570654</v>
      </c>
      <c r="V30" s="2"/>
      <c r="W30" s="2">
        <f t="shared" si="13"/>
        <v>33</v>
      </c>
      <c r="X30" s="2" t="e">
        <f t="shared" ca="1" si="14"/>
        <v>#N/A</v>
      </c>
      <c r="Y30" s="2"/>
      <c r="Z30" s="2">
        <f t="shared" si="15"/>
        <v>33</v>
      </c>
      <c r="AA30">
        <f t="shared" si="16"/>
        <v>21.224160000000001</v>
      </c>
    </row>
    <row r="31" spans="1:27" x14ac:dyDescent="0.3">
      <c r="A31" t="s">
        <v>3</v>
      </c>
      <c r="B31" t="e">
        <f ca="1">M5</f>
        <v>#N/A</v>
      </c>
      <c r="C31" t="e">
        <f ca="1">B31+(B31/100*9.9)</f>
        <v>#N/A</v>
      </c>
      <c r="D31" t="e">
        <f ca="1">C31+(C31/100*19.8)</f>
        <v>#N/A</v>
      </c>
      <c r="E31" t="e">
        <f ca="1">D31+(D31/100*19.8)</f>
        <v>#N/A</v>
      </c>
      <c r="F31" t="e">
        <f ca="1">E31+(E31/100*19.8)</f>
        <v>#N/A</v>
      </c>
      <c r="N31" s="2">
        <f t="shared" si="7"/>
        <v>34</v>
      </c>
      <c r="O31" s="2">
        <f t="shared" si="8"/>
        <v>34.395808824789611</v>
      </c>
      <c r="P31" s="2"/>
      <c r="Q31" s="2">
        <f t="shared" si="9"/>
        <v>34</v>
      </c>
      <c r="R31" s="2">
        <f t="shared" ca="1" si="10"/>
        <v>38.854262635196577</v>
      </c>
      <c r="S31" s="2"/>
      <c r="T31" s="2">
        <f t="shared" si="11"/>
        <v>34</v>
      </c>
      <c r="U31" s="2">
        <f t="shared" si="12"/>
        <v>28.685887470999312</v>
      </c>
      <c r="V31" s="2"/>
      <c r="W31" s="2">
        <f t="shared" si="13"/>
        <v>34</v>
      </c>
      <c r="X31" s="2" t="e">
        <f t="shared" ca="1" si="14"/>
        <v>#N/A</v>
      </c>
      <c r="Y31" s="2"/>
      <c r="Z31" s="2">
        <f t="shared" si="15"/>
        <v>34</v>
      </c>
      <c r="AA31">
        <f t="shared" si="16"/>
        <v>21.648643200000002</v>
      </c>
    </row>
    <row r="32" spans="1:27" x14ac:dyDescent="0.3">
      <c r="A32" t="s">
        <v>4</v>
      </c>
      <c r="B32">
        <f>M6</f>
        <v>20</v>
      </c>
      <c r="C32">
        <f>B32+(B32/100*20)</f>
        <v>24</v>
      </c>
      <c r="D32">
        <f>C32+(C32/100*60)</f>
        <v>38.4</v>
      </c>
      <c r="E32">
        <f>D32+(D32/100*60)</f>
        <v>61.44</v>
      </c>
      <c r="F32">
        <f>E32+(E32/100*60)</f>
        <v>98.304000000000002</v>
      </c>
      <c r="N32" s="2">
        <f t="shared" si="7"/>
        <v>35</v>
      </c>
      <c r="O32" s="2">
        <f t="shared" si="8"/>
        <v>34.791360626274695</v>
      </c>
      <c r="P32" s="2"/>
      <c r="Q32" s="2">
        <f t="shared" si="9"/>
        <v>35</v>
      </c>
      <c r="R32" s="2">
        <f t="shared" ca="1" si="10"/>
        <v>39.332170065609496</v>
      </c>
      <c r="S32" s="2"/>
      <c r="T32" s="2">
        <f t="shared" si="11"/>
        <v>35</v>
      </c>
      <c r="U32" s="2">
        <f t="shared" si="12"/>
        <v>29.001432233180303</v>
      </c>
      <c r="V32" s="2"/>
      <c r="W32" s="2">
        <f t="shared" si="13"/>
        <v>35</v>
      </c>
      <c r="X32" s="2" t="e">
        <f t="shared" ca="1" si="14"/>
        <v>#N/A</v>
      </c>
      <c r="Y32" s="2"/>
      <c r="Z32" s="2">
        <f t="shared" si="15"/>
        <v>35</v>
      </c>
      <c r="AA32">
        <f t="shared" si="16"/>
        <v>22.081616064000002</v>
      </c>
    </row>
    <row r="33" spans="1:27" x14ac:dyDescent="0.3">
      <c r="N33" s="2">
        <f t="shared" si="7"/>
        <v>36</v>
      </c>
      <c r="O33" s="2">
        <f t="shared" si="8"/>
        <v>35.191461273476854</v>
      </c>
      <c r="P33" s="2"/>
      <c r="Q33" s="2">
        <f t="shared" si="9"/>
        <v>36</v>
      </c>
      <c r="R33" s="2">
        <f t="shared" ca="1" si="10"/>
        <v>39.815955757416496</v>
      </c>
      <c r="S33" s="2"/>
      <c r="T33" s="2">
        <f t="shared" si="11"/>
        <v>36</v>
      </c>
      <c r="U33" s="2">
        <f t="shared" si="12"/>
        <v>29.320447987745286</v>
      </c>
      <c r="V33" s="2"/>
      <c r="W33" s="2">
        <f t="shared" si="13"/>
        <v>36</v>
      </c>
      <c r="X33" s="2" t="e">
        <f t="shared" ca="1" si="14"/>
        <v>#N/A</v>
      </c>
      <c r="Y33" s="2"/>
      <c r="Z33" s="2">
        <f t="shared" si="15"/>
        <v>36</v>
      </c>
      <c r="AA33">
        <f t="shared" si="16"/>
        <v>22.523248385280002</v>
      </c>
    </row>
    <row r="34" spans="1:27" x14ac:dyDescent="0.3">
      <c r="N34" s="2">
        <f t="shared" si="7"/>
        <v>37</v>
      </c>
      <c r="O34" s="2">
        <f t="shared" si="8"/>
        <v>35.59616307812184</v>
      </c>
      <c r="P34" s="2"/>
      <c r="Q34" s="2">
        <f t="shared" si="9"/>
        <v>37</v>
      </c>
      <c r="R34" s="2">
        <f t="shared" ca="1" si="10"/>
        <v>40.305692013232722</v>
      </c>
      <c r="S34" s="2"/>
      <c r="T34" s="2">
        <f t="shared" si="11"/>
        <v>37</v>
      </c>
      <c r="U34" s="2">
        <f t="shared" si="12"/>
        <v>29.642972915610486</v>
      </c>
      <c r="V34" s="2"/>
      <c r="W34" s="2">
        <f t="shared" si="13"/>
        <v>37</v>
      </c>
      <c r="X34" s="2" t="e">
        <f t="shared" ca="1" si="14"/>
        <v>#N/A</v>
      </c>
      <c r="Y34" s="2"/>
      <c r="Z34" s="2">
        <f t="shared" si="15"/>
        <v>37</v>
      </c>
      <c r="AA34">
        <f t="shared" si="16"/>
        <v>22.973713352985602</v>
      </c>
    </row>
    <row r="35" spans="1:27" x14ac:dyDescent="0.3">
      <c r="N35" s="2">
        <f t="shared" si="7"/>
        <v>38</v>
      </c>
      <c r="O35" s="2">
        <f t="shared" si="8"/>
        <v>36.005518953520244</v>
      </c>
      <c r="P35" s="2"/>
      <c r="Q35" s="2">
        <f t="shared" si="9"/>
        <v>38</v>
      </c>
      <c r="R35" s="2">
        <f t="shared" ca="1" si="10"/>
        <v>40.801452024995484</v>
      </c>
      <c r="S35" s="2"/>
      <c r="T35" s="2">
        <f t="shared" si="11"/>
        <v>38</v>
      </c>
      <c r="U35" s="2">
        <f t="shared" si="12"/>
        <v>29.969045617682202</v>
      </c>
      <c r="V35" s="2"/>
      <c r="W35" s="2">
        <f t="shared" si="13"/>
        <v>38</v>
      </c>
      <c r="X35" s="2" t="e">
        <f t="shared" ca="1" si="14"/>
        <v>#N/A</v>
      </c>
      <c r="Y35" s="2"/>
      <c r="Z35" s="2">
        <f t="shared" si="15"/>
        <v>38</v>
      </c>
      <c r="AA35">
        <f t="shared" si="16"/>
        <v>23.433187620045313</v>
      </c>
    </row>
    <row r="36" spans="1:27" x14ac:dyDescent="0.3">
      <c r="A36" t="s">
        <v>8</v>
      </c>
      <c r="N36" s="2">
        <f t="shared" si="7"/>
        <v>39</v>
      </c>
      <c r="O36" s="2">
        <f t="shared" si="8"/>
        <v>36.419582421485728</v>
      </c>
      <c r="P36" s="2"/>
      <c r="Q36" s="2">
        <f t="shared" si="9"/>
        <v>39</v>
      </c>
      <c r="R36" s="2">
        <f t="shared" ca="1" si="10"/>
        <v>41.30330988490293</v>
      </c>
      <c r="S36" s="2"/>
      <c r="T36" s="2">
        <f t="shared" si="11"/>
        <v>39</v>
      </c>
      <c r="U36" s="2">
        <f t="shared" si="12"/>
        <v>30.298705119476708</v>
      </c>
      <c r="V36" s="2"/>
      <c r="W36" s="2">
        <f t="shared" si="13"/>
        <v>39</v>
      </c>
      <c r="X36" s="2" t="e">
        <f t="shared" ca="1" si="14"/>
        <v>#N/A</v>
      </c>
      <c r="Y36" s="2"/>
      <c r="Z36" s="2">
        <f t="shared" si="15"/>
        <v>39</v>
      </c>
      <c r="AA36">
        <f t="shared" si="16"/>
        <v>23.90185137244622</v>
      </c>
    </row>
    <row r="37" spans="1:27" x14ac:dyDescent="0.3">
      <c r="A37" s="1" t="e">
        <f ca="1">(B28/100*20)+(B29/100*20)+(B30/100*25)+(B31/100*20)+(B32/100*15)</f>
        <v>#N/A</v>
      </c>
      <c r="N37" s="2">
        <f t="shared" si="7"/>
        <v>40</v>
      </c>
      <c r="O37" s="2">
        <f t="shared" si="8"/>
        <v>36.838407619332813</v>
      </c>
      <c r="P37" s="2"/>
      <c r="Q37" s="2">
        <f t="shared" si="9"/>
        <v>40</v>
      </c>
      <c r="R37" s="2">
        <f t="shared" ca="1" si="10"/>
        <v>41.811340596487234</v>
      </c>
      <c r="S37" s="2"/>
      <c r="T37" s="2">
        <f t="shared" si="11"/>
        <v>40</v>
      </c>
      <c r="U37" s="2">
        <f t="shared" si="12"/>
        <v>30.631990875790951</v>
      </c>
      <c r="V37" s="2"/>
      <c r="W37" s="2">
        <f t="shared" si="13"/>
        <v>40</v>
      </c>
      <c r="X37" s="2" t="e">
        <f t="shared" ca="1" si="14"/>
        <v>#N/A</v>
      </c>
      <c r="Y37" s="2"/>
      <c r="Z37" s="2">
        <f t="shared" si="15"/>
        <v>40</v>
      </c>
      <c r="AA37">
        <f t="shared" si="16"/>
        <v>24.379888399895144</v>
      </c>
    </row>
    <row r="42" spans="1:27" x14ac:dyDescent="0.3">
      <c r="B42" t="s">
        <v>12</v>
      </c>
      <c r="C42" t="s">
        <v>0</v>
      </c>
      <c r="D42" t="s">
        <v>12</v>
      </c>
      <c r="E42" t="s">
        <v>1</v>
      </c>
      <c r="F42" t="s">
        <v>12</v>
      </c>
      <c r="G42" t="s">
        <v>2</v>
      </c>
      <c r="H42" t="s">
        <v>12</v>
      </c>
      <c r="I42" t="s">
        <v>3</v>
      </c>
      <c r="J42" t="s">
        <v>12</v>
      </c>
      <c r="K42" t="s">
        <v>4</v>
      </c>
    </row>
    <row r="43" spans="1:27" x14ac:dyDescent="0.3">
      <c r="B43">
        <f>B27</f>
        <v>30</v>
      </c>
      <c r="C43">
        <f>B28</f>
        <v>32.858064516129041</v>
      </c>
      <c r="D43">
        <f>B43</f>
        <v>30</v>
      </c>
      <c r="E43">
        <f ca="1">B29</f>
        <v>37</v>
      </c>
      <c r="F43">
        <f>B27</f>
        <v>30</v>
      </c>
      <c r="G43">
        <f>B30</f>
        <v>27.457669172932331</v>
      </c>
      <c r="H43">
        <f>B27</f>
        <v>30</v>
      </c>
      <c r="I43" t="e">
        <f ca="1">B31</f>
        <v>#N/A</v>
      </c>
      <c r="J43">
        <f>B27</f>
        <v>30</v>
      </c>
      <c r="K43">
        <f>B32</f>
        <v>20</v>
      </c>
    </row>
    <row r="44" spans="1:27" x14ac:dyDescent="0.3">
      <c r="B44">
        <f>C27</f>
        <v>40</v>
      </c>
      <c r="C44">
        <f>C28</f>
        <v>36.636741935483883</v>
      </c>
      <c r="D44">
        <f>B44</f>
        <v>40</v>
      </c>
      <c r="E44">
        <f ca="1">C29</f>
        <v>41.551000000000002</v>
      </c>
      <c r="F44">
        <f>C27</f>
        <v>40</v>
      </c>
      <c r="G44">
        <f>C30</f>
        <v>28.967840977443608</v>
      </c>
      <c r="H44">
        <f>C27</f>
        <v>40</v>
      </c>
      <c r="I44" t="e">
        <f ca="1">C31</f>
        <v>#N/A</v>
      </c>
      <c r="J44">
        <f>C27</f>
        <v>40</v>
      </c>
      <c r="K44">
        <f>C32</f>
        <v>24</v>
      </c>
    </row>
    <row r="45" spans="1:27" x14ac:dyDescent="0.3">
      <c r="B45">
        <f>D27</f>
        <v>50</v>
      </c>
      <c r="C45">
        <f>D28</f>
        <v>48.433772838709693</v>
      </c>
      <c r="D45">
        <f>D27</f>
        <v>50</v>
      </c>
      <c r="E45">
        <f ca="1">D29</f>
        <v>54.348708000000002</v>
      </c>
      <c r="F45">
        <f>D27</f>
        <v>50</v>
      </c>
      <c r="G45">
        <f>D30</f>
        <v>32.154303484962405</v>
      </c>
      <c r="H45">
        <f>D27</f>
        <v>50</v>
      </c>
      <c r="I45" t="e">
        <f ca="1">D31</f>
        <v>#N/A</v>
      </c>
      <c r="J45">
        <f>D27</f>
        <v>50</v>
      </c>
      <c r="K45">
        <f>D32</f>
        <v>38.4</v>
      </c>
    </row>
    <row r="46" spans="1:27" x14ac:dyDescent="0.3">
      <c r="B46">
        <f>E27</f>
        <v>60</v>
      </c>
      <c r="C46">
        <f>E28</f>
        <v>64.029447692774212</v>
      </c>
      <c r="D46">
        <f>E27</f>
        <v>60</v>
      </c>
      <c r="E46">
        <f ca="1">E29</f>
        <v>71.088110064000006</v>
      </c>
      <c r="F46">
        <f>E27</f>
        <v>60</v>
      </c>
      <c r="G46">
        <f>E30</f>
        <v>35.691276868308272</v>
      </c>
      <c r="H46">
        <f>E27</f>
        <v>60</v>
      </c>
      <c r="I46" t="e">
        <f ca="1">E31</f>
        <v>#N/A</v>
      </c>
      <c r="J46">
        <f>E27</f>
        <v>60</v>
      </c>
      <c r="K46">
        <f>E32</f>
        <v>61.44</v>
      </c>
    </row>
    <row r="47" spans="1:27" x14ac:dyDescent="0.3">
      <c r="B47">
        <f>F27</f>
        <v>70</v>
      </c>
      <c r="C47">
        <f>F28</f>
        <v>84.64692984984751</v>
      </c>
      <c r="D47">
        <f>F27</f>
        <v>70</v>
      </c>
      <c r="E47">
        <f ca="1">F29</f>
        <v>92.983247963712017</v>
      </c>
      <c r="F47">
        <f>F27</f>
        <v>70</v>
      </c>
      <c r="G47" t="e">
        <f ca="1">F31</f>
        <v>#N/A</v>
      </c>
      <c r="H47">
        <f>F27</f>
        <v>70</v>
      </c>
      <c r="I47" t="e">
        <f ca="1">F31</f>
        <v>#N/A</v>
      </c>
      <c r="J47">
        <f>F27</f>
        <v>70</v>
      </c>
      <c r="K47">
        <f>F32</f>
        <v>98.304000000000002</v>
      </c>
    </row>
  </sheetData>
  <mergeCells count="2">
    <mergeCell ref="A23:F23"/>
    <mergeCell ref="N25:AA2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6A5C-16BF-4A77-888B-A1710C7D278A}">
  <dimension ref="A1:Z47"/>
  <sheetViews>
    <sheetView zoomScale="73" zoomScaleNormal="73" workbookViewId="0">
      <selection activeCell="G32" sqref="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95</v>
      </c>
      <c r="D1" s="2" t="s">
        <v>14</v>
      </c>
      <c r="E1" s="2"/>
      <c r="F1" s="2" t="s">
        <v>38</v>
      </c>
      <c r="G1" s="2" t="s">
        <v>39</v>
      </c>
      <c r="H1" s="2" t="s">
        <v>40</v>
      </c>
      <c r="I1" s="2" t="s">
        <v>41</v>
      </c>
      <c r="J1" s="2"/>
      <c r="K1" s="2"/>
      <c r="L1" s="2"/>
      <c r="M1" s="2" t="s">
        <v>42</v>
      </c>
      <c r="N1" s="2"/>
      <c r="O1" s="2"/>
    </row>
    <row r="2" spans="1:15" ht="28.8" x14ac:dyDescent="0.3">
      <c r="A2" s="8" t="s">
        <v>12</v>
      </c>
      <c r="B2" s="8">
        <v>50</v>
      </c>
      <c r="D2" s="9" t="s">
        <v>15</v>
      </c>
      <c r="E2" s="9">
        <v>48</v>
      </c>
      <c r="F2" s="2">
        <f>E2+(E2/100*10)</f>
        <v>52.8</v>
      </c>
      <c r="G2" s="2">
        <f>F2+(F2/100*10)</f>
        <v>58.08</v>
      </c>
      <c r="H2" s="2">
        <f>G2+(G2/100*10)</f>
        <v>63.887999999999998</v>
      </c>
      <c r="I2" s="2">
        <f>H2+(H2/100*15)</f>
        <v>73.471199999999996</v>
      </c>
      <c r="J2" s="9"/>
      <c r="K2" s="2"/>
      <c r="L2" s="9" t="s">
        <v>0</v>
      </c>
      <c r="M2" s="28">
        <f>B27+ ((1 -((E2 / 26.6) * 0.7 )-((E3/ 100) * 0.3 )) * 100)</f>
        <v>-6.0157894736841939</v>
      </c>
      <c r="N2" s="2"/>
      <c r="O2" s="2"/>
    </row>
    <row r="3" spans="1:15" ht="86.4" x14ac:dyDescent="0.3">
      <c r="A3" s="8" t="s">
        <v>93</v>
      </c>
      <c r="B3" s="2" t="s">
        <v>96</v>
      </c>
      <c r="D3" s="9" t="s">
        <v>16</v>
      </c>
      <c r="E3" s="9">
        <v>99</v>
      </c>
      <c r="F3" s="2">
        <f>E3-(E3/100*10)</f>
        <v>89.1</v>
      </c>
      <c r="G3" s="2">
        <f>F3-(F3/100*10)</f>
        <v>80.19</v>
      </c>
      <c r="H3" s="2">
        <f>G3-(G3/100*15)</f>
        <v>68.161500000000004</v>
      </c>
      <c r="I3" s="2">
        <f>H3-(H3/100*15)</f>
        <v>57.937275</v>
      </c>
      <c r="J3" s="9"/>
      <c r="K3" s="2"/>
      <c r="L3" s="10" t="s">
        <v>1</v>
      </c>
      <c r="M3" s="10">
        <f ca="1">((J4/100*50)+(J5/100*25)+(J6/100*25))</f>
        <v>53.666666666666671</v>
      </c>
      <c r="N3" s="2"/>
      <c r="O3" s="25" t="s">
        <v>8</v>
      </c>
    </row>
    <row r="4" spans="1:15" ht="18" customHeight="1" x14ac:dyDescent="0.3">
      <c r="D4" s="10" t="s">
        <v>18</v>
      </c>
      <c r="E4" s="10">
        <v>28</v>
      </c>
      <c r="F4" s="2">
        <f>E4+(E4/100*10)</f>
        <v>30.8</v>
      </c>
      <c r="G4" s="2">
        <f>F4+(F4/100*10)</f>
        <v>33.880000000000003</v>
      </c>
      <c r="H4" s="2">
        <f>G4+(G4/100*6)+(G4/100*6)</f>
        <v>37.945600000000006</v>
      </c>
      <c r="I4" s="2">
        <f>H4+((H4/100)*15)</f>
        <v>43.637440000000005</v>
      </c>
      <c r="J4" s="10">
        <f ca="1">IF(B27&lt;30, FORECAST(E4, OFFSET(Strength_Normative_Data!$A$3, MATCH(E4, Strength_Normative_Data!$C$3:$C$5, 1)-1, 0, 2), OFFSET(Strength_Normative_Data!$C$3, MATCH(E4, Strength_Normative_Data!$C$3:$C$5, 1)-1, 0, 2)), FORECAST(E4, OFFSET(Strength_Normative_Data!$A$5, MATCH(E4, Strength_Normative_Data!$C$5:$C$16, -1)-1, 0, 2), OFFSET(Strength_Normative_Data!$C$5, MATCH(E4, Strength_Normative_Data!$C$5:$C$16, -1)-1, 0, 2)))</f>
        <v>50</v>
      </c>
      <c r="K4" s="2"/>
      <c r="L4" s="11" t="s">
        <v>2</v>
      </c>
      <c r="M4" s="11">
        <f>B27 - 9*M11</f>
        <v>40.962401315789471</v>
      </c>
      <c r="N4" s="2"/>
      <c r="O4" s="25">
        <f ca="1">A37</f>
        <v>31.979347196115292</v>
      </c>
    </row>
    <row r="5" spans="1:15" ht="28.8" x14ac:dyDescent="0.3">
      <c r="D5" s="10" t="s">
        <v>19</v>
      </c>
      <c r="E5" s="10">
        <v>2.2000000000000002</v>
      </c>
      <c r="F5" s="2">
        <f>E5+(E5/100*12)</f>
        <v>2.4640000000000004</v>
      </c>
      <c r="G5" s="2">
        <f>F5+(F5/100*12)</f>
        <v>2.7596800000000004</v>
      </c>
      <c r="H5" s="2">
        <f>G5+(G5/100*1.2) + (G5/100* 13.5)</f>
        <v>3.1653529600000003</v>
      </c>
      <c r="I5" s="2">
        <f>H5+(H5/100*15)</f>
        <v>3.6401559040000002</v>
      </c>
      <c r="J5" s="10">
        <f ca="1">FORECAST(E5, OFFSET(Strength_Normative_Data!$O$3, MATCH(E5, Strength_Normative_Data!$Q$3:$Q$17, -1)-1, 0, 2), OFFSET(Strength_Normative_Data!$Q$3, MATCH(E5, Strength_Normative_Data!$Q$3:$Q$17, -1)-1, 0, 2))</f>
        <v>56.666666666666671</v>
      </c>
      <c r="K5" s="2"/>
      <c r="L5" s="12" t="s">
        <v>29</v>
      </c>
      <c r="M5" s="12">
        <f ca="1">((J14/100*30)+(J15/100*25)+(J16/100*30)+(J17/100*15))</f>
        <v>44.392857142857146</v>
      </c>
      <c r="N5" s="2"/>
      <c r="O5" s="2"/>
    </row>
    <row r="6" spans="1:15" x14ac:dyDescent="0.3">
      <c r="D6" s="10" t="s">
        <v>20</v>
      </c>
      <c r="E6" s="10">
        <v>20</v>
      </c>
      <c r="F6" s="2">
        <f>E6+(E6/100*12)</f>
        <v>22.4</v>
      </c>
      <c r="G6" s="2">
        <f>F6+(F6/100*12)</f>
        <v>25.087999999999997</v>
      </c>
      <c r="H6" s="2">
        <f>G6+(G6/100*1.2) + (G6/100* 13.5)</f>
        <v>28.775935999999994</v>
      </c>
      <c r="I6" s="2">
        <f>H6+(H6/100*15)</f>
        <v>33.09232639999999</v>
      </c>
      <c r="J6" s="10">
        <f ca="1">FORECAST(E6, OFFSET(Strength_Normative_Data!$J$3, MATCH(E6, Strength_Normative_Data!$L$3:$L$16, -1)-1, 0, 2), OFFSET(Strength_Normative_Data!$L$3, MATCH(E6, Strength_Normative_Data!$L$3:$L$16, -1)-1, 0, 2))</f>
        <v>58</v>
      </c>
      <c r="K6" s="2"/>
      <c r="L6" s="13" t="s">
        <v>4</v>
      </c>
      <c r="M6" s="13">
        <f>((J18/100*60)+(J19/100*40))</f>
        <v>22.2</v>
      </c>
      <c r="N6" s="2"/>
      <c r="O6" s="2"/>
    </row>
    <row r="7" spans="1:15" x14ac:dyDescent="0.3">
      <c r="D7" s="11" t="s">
        <v>22</v>
      </c>
      <c r="E7" s="11">
        <v>19</v>
      </c>
      <c r="F7" s="2">
        <f>E7+(E7/100*6)</f>
        <v>20.14</v>
      </c>
      <c r="G7" s="2">
        <f t="shared" ref="G7:I7" si="0">F7+(F7/100*6)</f>
        <v>21.348400000000002</v>
      </c>
      <c r="H7" s="2">
        <f t="shared" si="0"/>
        <v>22.629304000000001</v>
      </c>
      <c r="I7" s="2">
        <f t="shared" si="0"/>
        <v>23.98706224</v>
      </c>
      <c r="J7" s="11"/>
      <c r="K7" s="2"/>
      <c r="L7" s="2"/>
      <c r="M7" s="2"/>
      <c r="N7" s="2"/>
      <c r="O7" s="2"/>
    </row>
    <row r="8" spans="1:15" ht="28.8" x14ac:dyDescent="0.3">
      <c r="D8" s="11" t="s">
        <v>23</v>
      </c>
      <c r="E8" s="11">
        <v>0.42</v>
      </c>
      <c r="F8" s="2">
        <f>E8+(E8/100*4)</f>
        <v>0.43679999999999997</v>
      </c>
      <c r="G8" s="2">
        <f t="shared" ref="G8:I8" si="1">F8+(F8/100*4)</f>
        <v>0.45427199999999995</v>
      </c>
      <c r="H8" s="2">
        <f t="shared" si="1"/>
        <v>0.47244287999999995</v>
      </c>
      <c r="I8" s="2">
        <f t="shared" si="1"/>
        <v>0.49134059519999995</v>
      </c>
      <c r="J8" s="11">
        <f xml:space="preserve">
IF(E8&lt;=0.4,0,
IF(E8&lt;=0.5,20*(E8-0.4)/0.1,
IF(E8&lt;=0.6,20+40*(E8-0.5)/0.1,
60+40*(MIN(E8,0.75)-0.6)/0.15)))</f>
        <v>3.999999999999992</v>
      </c>
      <c r="K8" s="2"/>
      <c r="L8" s="2"/>
      <c r="M8" s="2"/>
      <c r="N8" s="2"/>
      <c r="O8" s="2"/>
    </row>
    <row r="9" spans="1:15" ht="28.8" x14ac:dyDescent="0.3">
      <c r="D9" s="11" t="s">
        <v>24</v>
      </c>
      <c r="E9" s="11">
        <v>4.5999999999999996</v>
      </c>
      <c r="F9" s="2"/>
      <c r="G9" s="2"/>
      <c r="H9" s="2"/>
      <c r="I9" s="2"/>
      <c r="J9" s="11"/>
      <c r="K9" s="2"/>
      <c r="L9" s="2"/>
      <c r="M9" s="2"/>
      <c r="N9" s="2"/>
      <c r="O9" s="2"/>
    </row>
    <row r="10" spans="1:15" ht="28.8" x14ac:dyDescent="0.3">
      <c r="D10" s="11" t="s">
        <v>25</v>
      </c>
      <c r="E10" s="11">
        <v>4.9000000000000004</v>
      </c>
      <c r="F10" s="2">
        <f>E10+(E10/100*5)</f>
        <v>5.1450000000000005</v>
      </c>
      <c r="G10" s="2">
        <f t="shared" ref="G10:I10" si="2">F10+(F10/100*5)</f>
        <v>5.4022500000000004</v>
      </c>
      <c r="H10" s="2">
        <f t="shared" si="2"/>
        <v>5.6723625000000002</v>
      </c>
      <c r="I10" s="2">
        <f t="shared" si="2"/>
        <v>5.9559806250000005</v>
      </c>
      <c r="J10" s="11">
        <f xml:space="preserve">
IF(E10&lt;5.7,10*(E10/5.7),
IF(E10&lt;6.5,10+40*(E10-5.7)/0.8,
50+50*(MIN(E10,9)-6.5)/2.5))</f>
        <v>8.5964912280701746</v>
      </c>
      <c r="K10" s="2"/>
      <c r="L10" s="2" t="s">
        <v>89</v>
      </c>
      <c r="M10" s="2" t="s">
        <v>90</v>
      </c>
      <c r="N10" s="2"/>
      <c r="O10" s="2"/>
    </row>
    <row r="11" spans="1:15" x14ac:dyDescent="0.3">
      <c r="D11" s="11" t="s">
        <v>26</v>
      </c>
      <c r="E11" s="11">
        <v>0.8</v>
      </c>
      <c r="F11" s="2">
        <f>E11+(E11/100*14)</f>
        <v>0.91200000000000003</v>
      </c>
      <c r="G11" s="2">
        <f t="shared" ref="G11:I11" si="3">F11+(F11/100*14)</f>
        <v>1.0396799999999999</v>
      </c>
      <c r="H11" s="2">
        <f t="shared" si="3"/>
        <v>1.1852351999999999</v>
      </c>
      <c r="I11" s="2">
        <f t="shared" si="3"/>
        <v>1.3511681279999999</v>
      </c>
      <c r="J11" s="11">
        <f xml:space="preserve">
IF(E11&lt;1.6,10*(E11/1.6),
IF(E11&lt;3,10+40*(E11-1.6)/1.4,
50+50*(MIN(E11,7)-3)/4))</f>
        <v>5</v>
      </c>
      <c r="K11" s="2"/>
      <c r="L11" s="2">
        <f>(0.3*K12)+(0.2*J8)+(0.15*J10)+(0.25*J11)+(0.1*J13)</f>
        <v>4.958223684210525</v>
      </c>
      <c r="M11" s="2">
        <f xml:space="preserve">
IF(L11&lt;=10,1.5-0.1*L11,
IF(L11&lt;=60,0.5-0.02*(L11-10),
-0.5-0.03*(L11-60)))</f>
        <v>1.0041776315789475</v>
      </c>
      <c r="N11" s="2"/>
      <c r="O11" s="2"/>
    </row>
    <row r="12" spans="1:15" x14ac:dyDescent="0.3">
      <c r="D12" s="11" t="s">
        <v>27</v>
      </c>
      <c r="E12" s="11">
        <v>0.65</v>
      </c>
      <c r="F12" s="2">
        <f>E12+(E12/100*6)</f>
        <v>0.68900000000000006</v>
      </c>
      <c r="G12" s="2">
        <f t="shared" ref="G12:I12" si="4">F12+(F12/100*6)</f>
        <v>0.7303400000000001</v>
      </c>
      <c r="H12" s="2">
        <f t="shared" si="4"/>
        <v>0.77416040000000008</v>
      </c>
      <c r="I12" s="2">
        <f t="shared" si="4"/>
        <v>0.82061002400000005</v>
      </c>
      <c r="J12" s="11">
        <f>E12*100</f>
        <v>65</v>
      </c>
      <c r="K12" s="11">
        <f xml:space="preserve">
IF(J12&lt;80,5*(J12/80),
IF(J12&lt;100,10+20*(J12-80)/20,
IF(J12&lt;130,30+25*(J12-100)/30,
IF(J12&lt;160,55+25*(J12-130)/30,
IF(J12&lt;200,80+20*(J12-160)/40,100)))))</f>
        <v>4.0625</v>
      </c>
      <c r="L12" s="2"/>
      <c r="M12" s="2"/>
      <c r="N12" s="2"/>
      <c r="O12" s="2"/>
    </row>
    <row r="13" spans="1:15" x14ac:dyDescent="0.3">
      <c r="D13" s="11" t="s">
        <v>28</v>
      </c>
      <c r="E13" s="11">
        <v>0.4</v>
      </c>
      <c r="F13" s="2">
        <f>E13+(E13/100*18)</f>
        <v>0.47200000000000003</v>
      </c>
      <c r="G13" s="2">
        <f t="shared" ref="G13:I13" si="5">F13+(F13/100*18)</f>
        <v>0.55696000000000001</v>
      </c>
      <c r="H13" s="2">
        <f t="shared" si="5"/>
        <v>0.65721280000000004</v>
      </c>
      <c r="I13" s="2">
        <f t="shared" si="5"/>
        <v>0.77551110400000001</v>
      </c>
      <c r="J13" s="11">
        <f xml:space="preserve">
IF(E13&lt;1,10*(E13/1),
IF(E13&lt;3,10+40*(E13-1)/2,
50+50*(MIN(E13,10)-3)/7))</f>
        <v>4</v>
      </c>
      <c r="K13" s="2"/>
      <c r="L13" s="2"/>
      <c r="M13" s="2"/>
      <c r="N13" s="2"/>
      <c r="O13" s="2"/>
    </row>
    <row r="14" spans="1:15" x14ac:dyDescent="0.3">
      <c r="D14" s="12" t="s">
        <v>30</v>
      </c>
      <c r="E14" s="12">
        <v>1.3</v>
      </c>
      <c r="F14" s="2">
        <f>E14-(E14/100*6)</f>
        <v>1.222</v>
      </c>
      <c r="G14" s="2">
        <f>F14+(F14/100*6)</f>
        <v>1.29532</v>
      </c>
      <c r="H14" s="2">
        <f>G14+(G14/100*7)</f>
        <v>1.3859924000000001</v>
      </c>
      <c r="I14" s="2">
        <f>H14+(H14/100*7)</f>
        <v>1.4830118680000002</v>
      </c>
      <c r="J14" s="12">
        <f ca="1">IFERROR(FORECAST(E14, OFFSET(Mobility_Normative_Data!$A$3, MATCH(E14, Mobility_Normative_Data!$B$3:$B$17, -1)-1, 0, 2), OFFSET(Mobility_Normative_Data!$B$3, MATCH(E14, Mobility_Normative_Data!$B$3:$B$17, -1)-1, 0, 2)), INDEX(Mobility_Normative_Data!$A$3:$A$17, MATCH(E14, Mobility_Normative_Data!$B$3:$B$17, -1)))</f>
        <v>67.142857142857153</v>
      </c>
      <c r="K14" s="2"/>
      <c r="L14" s="2"/>
      <c r="M14" s="2"/>
      <c r="N14" s="2"/>
      <c r="O14" s="2"/>
    </row>
    <row r="15" spans="1:15" ht="28.8" x14ac:dyDescent="0.3">
      <c r="D15" s="12" t="s">
        <v>31</v>
      </c>
      <c r="E15" s="12">
        <v>7.8</v>
      </c>
      <c r="F15" s="2">
        <f>E15+(E15/100*10)</f>
        <v>8.58</v>
      </c>
      <c r="G15" s="2">
        <f>F15+(F15/100*10)</f>
        <v>9.4380000000000006</v>
      </c>
      <c r="H15" s="2">
        <f>G15+(G15/100*10)</f>
        <v>10.3818</v>
      </c>
      <c r="I15" s="2">
        <f>H15+(H15/100*10)</f>
        <v>11.419980000000001</v>
      </c>
      <c r="J15" s="12">
        <f ca="1">FORECAST(E15, OFFSET(Mobility_Normative_Data!$E$3, MATCH(E15, Mobility_Normative_Data!$F$3:$F$18, 1)-1, 0, 2), OFFSET(Mobility_Normative_Data!$F$3, MATCH(E15, Mobility_Normative_Data!$F$3:$F$18, 1)-1, 0, 2))</f>
        <v>58</v>
      </c>
      <c r="K15" s="2"/>
      <c r="L15" s="2"/>
      <c r="M15" s="2"/>
      <c r="N15" s="2"/>
      <c r="O15" s="2"/>
    </row>
    <row r="16" spans="1:15" ht="28.8" x14ac:dyDescent="0.3">
      <c r="D16" s="12" t="s">
        <v>32</v>
      </c>
      <c r="E16" s="12">
        <v>45</v>
      </c>
      <c r="F16" s="2">
        <f>E16-(E16/100*20)</f>
        <v>36</v>
      </c>
      <c r="G16" s="2">
        <f>F16+(F16/100*20)</f>
        <v>43.2</v>
      </c>
      <c r="H16" s="2">
        <f t="shared" ref="H16:I16" si="6">G16+(G16/100*20)</f>
        <v>51.84</v>
      </c>
      <c r="I16" s="2">
        <f t="shared" si="6"/>
        <v>62.208000000000006</v>
      </c>
      <c r="J16" s="12">
        <f ca="1">FORECAST(E16, OFFSET(Mobility_Normative_Data!$I$3, MATCH(E16, Mobility_Normative_Data!$J$3:$J$17, -1)-1, 0, 2), OFFSET(Mobility_Normative_Data!$J$3, MATCH(E16, Mobility_Normative_Data!$J$3:$J$17, -1)-1, 0, 2))</f>
        <v>20</v>
      </c>
      <c r="K16" s="2"/>
      <c r="L16" s="2"/>
      <c r="M16" s="2"/>
      <c r="N16" s="2"/>
      <c r="O16" s="2"/>
    </row>
    <row r="17" spans="1:15" x14ac:dyDescent="0.3">
      <c r="D17" s="12" t="s">
        <v>33</v>
      </c>
      <c r="E17" s="12">
        <v>38</v>
      </c>
      <c r="F17" s="2">
        <f>E17-(E17/100*10)</f>
        <v>34.200000000000003</v>
      </c>
      <c r="G17" s="2">
        <f>F17+(F17/100*10)</f>
        <v>37.620000000000005</v>
      </c>
      <c r="H17" s="2">
        <f>G17+(G17/100*10)</f>
        <v>41.382000000000005</v>
      </c>
      <c r="I17" s="2">
        <f>H17+(H17/100*10)</f>
        <v>45.520200000000003</v>
      </c>
      <c r="J17" s="12">
        <f ca="1">FORECAST(E17, OFFSET(Mobility_Normative_Data!$M$3, MATCH(E17, Mobility_Normative_Data!$N$3:$N$17, -1)-1, 0, 2), OFFSET(Mobility_Normative_Data!$N$3, MATCH(E17, Mobility_Normative_Data!$N$3:$N$17, -1)-1, 0, 2))</f>
        <v>25</v>
      </c>
      <c r="K17" s="2"/>
      <c r="L17" s="2"/>
      <c r="M17" s="2"/>
      <c r="N17" s="2"/>
      <c r="O17" s="2"/>
    </row>
    <row r="18" spans="1:15" ht="28.8" x14ac:dyDescent="0.3">
      <c r="D18" s="13" t="s">
        <v>35</v>
      </c>
      <c r="E18" s="13">
        <v>1</v>
      </c>
      <c r="F18" s="2">
        <f>E18 +(-0.2)</f>
        <v>0.8</v>
      </c>
      <c r="G18" s="2">
        <f>F18 +(-0.2)</f>
        <v>0.60000000000000009</v>
      </c>
      <c r="H18" s="2">
        <f>G18 +(-0.3)</f>
        <v>0.3000000000000001</v>
      </c>
      <c r="I18" s="2">
        <f>H18 +(-0.3)</f>
        <v>0</v>
      </c>
      <c r="J18" s="13">
        <f>MAX(18,B27-(E18*25))</f>
        <v>25</v>
      </c>
      <c r="K18" s="2"/>
      <c r="L18" s="2"/>
      <c r="M18" s="2"/>
      <c r="N18" s="2"/>
      <c r="O18" s="2"/>
    </row>
    <row r="19" spans="1:15" ht="28.8" x14ac:dyDescent="0.3">
      <c r="D19" s="13" t="s">
        <v>36</v>
      </c>
      <c r="E19" s="13">
        <v>1.2</v>
      </c>
      <c r="F19" s="2">
        <f>E19+(-0.2)</f>
        <v>1</v>
      </c>
      <c r="G19" s="2">
        <f>F19 +(-0.2)</f>
        <v>0.8</v>
      </c>
      <c r="H19" s="2">
        <f>G19 +(-0.3)</f>
        <v>0.5</v>
      </c>
      <c r="I19" s="2">
        <f>H19 +(-0.3)</f>
        <v>0.2</v>
      </c>
      <c r="J19" s="13">
        <f>MAX(18,B27-(E19*35))</f>
        <v>18</v>
      </c>
      <c r="K19" s="2"/>
      <c r="L19" s="2"/>
      <c r="M19" s="2"/>
      <c r="N19" s="2"/>
      <c r="O19" s="2"/>
    </row>
    <row r="23" spans="1:15" x14ac:dyDescent="0.3">
      <c r="A23" s="43" t="s">
        <v>37</v>
      </c>
      <c r="B23" s="43"/>
      <c r="C23" s="43"/>
      <c r="D23" s="43"/>
      <c r="E23" s="43"/>
      <c r="F23" s="43"/>
    </row>
    <row r="25" spans="1:15" x14ac:dyDescent="0.3">
      <c r="B25" t="s">
        <v>5</v>
      </c>
      <c r="C25" t="s">
        <v>6</v>
      </c>
      <c r="D25" t="s">
        <v>9</v>
      </c>
      <c r="E25" t="s">
        <v>10</v>
      </c>
      <c r="F25" t="s">
        <v>11</v>
      </c>
    </row>
    <row r="26" spans="1:15" x14ac:dyDescent="0.3">
      <c r="A26" t="s">
        <v>43</v>
      </c>
      <c r="B26" t="s">
        <v>44</v>
      </c>
    </row>
    <row r="27" spans="1:15" x14ac:dyDescent="0.3">
      <c r="A27" t="s">
        <v>7</v>
      </c>
      <c r="B27">
        <f>B2</f>
        <v>50</v>
      </c>
      <c r="C27">
        <f>B27+10</f>
        <v>60</v>
      </c>
      <c r="D27">
        <f>C27+10</f>
        <v>70</v>
      </c>
      <c r="E27">
        <f>D27+10</f>
        <v>80</v>
      </c>
      <c r="F27">
        <f>E27+10</f>
        <v>90</v>
      </c>
    </row>
    <row r="28" spans="1:15" x14ac:dyDescent="0.3">
      <c r="A28" t="s">
        <v>0</v>
      </c>
      <c r="B28" s="24">
        <f>M2</f>
        <v>-6.0157894736841939</v>
      </c>
      <c r="C28">
        <f>B28+(B28/100*11.5)</f>
        <v>-6.707605263157876</v>
      </c>
      <c r="D28">
        <f>C28+(C28/100*32.2)</f>
        <v>-8.8674541578947128</v>
      </c>
      <c r="E28">
        <f>D28+(D28/100*32.2)</f>
        <v>-11.72277439673681</v>
      </c>
      <c r="F28">
        <f>E28+(E28/100*32.2)</f>
        <v>-15.497507752486063</v>
      </c>
    </row>
    <row r="29" spans="1:15" x14ac:dyDescent="0.3">
      <c r="A29" t="s">
        <v>1</v>
      </c>
      <c r="B29">
        <f ca="1">M3</f>
        <v>53.666666666666671</v>
      </c>
      <c r="C29">
        <f ca="1">B29+(B29/100*12.3)</f>
        <v>60.26766666666667</v>
      </c>
      <c r="D29">
        <f ca="1">C29+(C29/100*30.8)</f>
        <v>78.83010800000001</v>
      </c>
      <c r="E29">
        <f ca="1">D29+(D29/100*30.8)</f>
        <v>103.10978126400002</v>
      </c>
      <c r="F29">
        <f ca="1">E29+(E29/100*30.8)</f>
        <v>134.86759389331203</v>
      </c>
    </row>
    <row r="30" spans="1:15" x14ac:dyDescent="0.3">
      <c r="A30" t="s">
        <v>2</v>
      </c>
      <c r="B30">
        <f>M4</f>
        <v>40.962401315789471</v>
      </c>
      <c r="C30">
        <f>B30+(B30/100*5.5)</f>
        <v>43.215333388157894</v>
      </c>
      <c r="D30">
        <f>C30+(C30/100*11)</f>
        <v>47.969020060855264</v>
      </c>
      <c r="E30">
        <f>D30+(D30/100*11)</f>
        <v>53.245612267549348</v>
      </c>
      <c r="F30">
        <f>E30+(E30/100*11)</f>
        <v>59.102629616979776</v>
      </c>
    </row>
    <row r="31" spans="1:15" x14ac:dyDescent="0.3">
      <c r="A31" t="s">
        <v>3</v>
      </c>
      <c r="B31">
        <f ca="1">M5</f>
        <v>44.392857142857146</v>
      </c>
      <c r="C31">
        <f ca="1">B31+(B31/100*9.9)</f>
        <v>48.787750000000003</v>
      </c>
      <c r="D31">
        <f ca="1">C31+(C31/100*19.8)</f>
        <v>58.447724500000007</v>
      </c>
      <c r="E31">
        <f ca="1">D31+(D31/100*19.8)</f>
        <v>70.02037395100001</v>
      </c>
      <c r="F31">
        <f ca="1">E31+(E31/100*19.8)</f>
        <v>83.884407993298012</v>
      </c>
    </row>
    <row r="32" spans="1:15" x14ac:dyDescent="0.3">
      <c r="A32" t="s">
        <v>4</v>
      </c>
      <c r="B32">
        <f>M6</f>
        <v>22.2</v>
      </c>
      <c r="C32">
        <f>B32+(B32/100*20)</f>
        <v>26.64</v>
      </c>
      <c r="D32">
        <f>C32+(C32/100*60)</f>
        <v>42.624000000000002</v>
      </c>
      <c r="E32">
        <f>D32+(D32/100*60)</f>
        <v>68.198400000000007</v>
      </c>
      <c r="F32">
        <f>E32+(E32/100*60)</f>
        <v>109.11744000000002</v>
      </c>
    </row>
    <row r="35" spans="1:26" ht="28.8" x14ac:dyDescent="0.3">
      <c r="M35" s="2" t="s">
        <v>103</v>
      </c>
      <c r="N35" s="2" t="s">
        <v>106</v>
      </c>
      <c r="O35" s="2"/>
      <c r="P35" s="2" t="s">
        <v>103</v>
      </c>
      <c r="Q35" s="2" t="s">
        <v>105</v>
      </c>
      <c r="R35" s="2"/>
      <c r="S35" s="2" t="s">
        <v>103</v>
      </c>
      <c r="T35" s="2" t="s">
        <v>107</v>
      </c>
      <c r="U35" s="2"/>
      <c r="V35" s="2" t="s">
        <v>103</v>
      </c>
      <c r="W35" s="2" t="s">
        <v>108</v>
      </c>
      <c r="X35" s="2"/>
      <c r="Y35" s="2" t="s">
        <v>103</v>
      </c>
      <c r="Z35" s="2" t="s">
        <v>109</v>
      </c>
    </row>
    <row r="36" spans="1:26" x14ac:dyDescent="0.3">
      <c r="A36" t="s">
        <v>8</v>
      </c>
      <c r="M36" s="2">
        <f>B27</f>
        <v>50</v>
      </c>
      <c r="N36" s="27">
        <f>M2</f>
        <v>-6.0157894736841939</v>
      </c>
      <c r="O36" s="2"/>
      <c r="P36" s="2">
        <f>M36</f>
        <v>50</v>
      </c>
      <c r="Q36" s="2">
        <f ca="1">M3</f>
        <v>53.666666666666671</v>
      </c>
      <c r="R36" s="2"/>
      <c r="S36" s="2">
        <f>M36</f>
        <v>50</v>
      </c>
      <c r="T36" s="2">
        <f>M4</f>
        <v>40.962401315789471</v>
      </c>
      <c r="U36" s="2"/>
      <c r="V36" s="2">
        <f>M36</f>
        <v>50</v>
      </c>
      <c r="W36" s="2">
        <f ca="1">M5</f>
        <v>44.392857142857146</v>
      </c>
      <c r="X36" s="2"/>
      <c r="Y36" s="2">
        <f>M36</f>
        <v>50</v>
      </c>
      <c r="Z36">
        <f>M6</f>
        <v>22.2</v>
      </c>
    </row>
    <row r="37" spans="1:26" x14ac:dyDescent="0.3">
      <c r="A37" s="1">
        <f ca="1">(B28/100*20)+(B29/100*20)+(B30/100*25)+(B31/100*20)+(B32/100*15)</f>
        <v>31.979347196115292</v>
      </c>
      <c r="M37" s="2">
        <f>M36+1</f>
        <v>51</v>
      </c>
      <c r="N37" s="2">
        <f t="shared" ref="N37:N46" si="7">N36-(N36*0.0115)</f>
        <v>-5.9466078947368253</v>
      </c>
      <c r="O37" s="2"/>
      <c r="P37" s="2">
        <f>P36+1</f>
        <v>51</v>
      </c>
      <c r="Q37" s="2">
        <f ca="1">Q36+(Q36*0.0123)</f>
        <v>54.326766666666671</v>
      </c>
      <c r="R37" s="2"/>
      <c r="S37" s="2">
        <f>S36+1</f>
        <v>51</v>
      </c>
      <c r="T37" s="2">
        <f>T36+(T36*0.011)</f>
        <v>41.412987730263154</v>
      </c>
      <c r="U37" s="2"/>
      <c r="V37" s="2">
        <f>V36+1</f>
        <v>51</v>
      </c>
      <c r="W37" s="2">
        <f ca="1">W36+(W36*0.0099)</f>
        <v>44.832346428571434</v>
      </c>
      <c r="X37" s="2"/>
      <c r="Y37" s="2">
        <f>Y36+1</f>
        <v>51</v>
      </c>
      <c r="Z37">
        <f>Z36+(Z36*0.02)</f>
        <v>22.643999999999998</v>
      </c>
    </row>
    <row r="38" spans="1:26" x14ac:dyDescent="0.3">
      <c r="M38" s="2">
        <f t="shared" ref="M38:M46" si="8">M37+1</f>
        <v>52</v>
      </c>
      <c r="N38" s="2">
        <f t="shared" si="7"/>
        <v>-5.8782219039473516</v>
      </c>
      <c r="O38" s="2"/>
      <c r="P38" s="2">
        <f t="shared" ref="P38:P46" si="9">P37+1</f>
        <v>52</v>
      </c>
      <c r="Q38" s="2">
        <f t="shared" ref="Q38:Q46" ca="1" si="10">Q37+(Q37*0.0123)</f>
        <v>54.99498589666667</v>
      </c>
      <c r="R38" s="2"/>
      <c r="S38" s="2">
        <f t="shared" ref="S38:S46" si="11">S37+1</f>
        <v>52</v>
      </c>
      <c r="T38" s="2">
        <f t="shared" ref="T38:T46" si="12">T37+(T37*0.011)</f>
        <v>41.86853059529605</v>
      </c>
      <c r="U38" s="2"/>
      <c r="V38" s="2">
        <f t="shared" ref="V38:V46" si="13">V37+1</f>
        <v>52</v>
      </c>
      <c r="W38" s="2">
        <f t="shared" ref="W38:W46" ca="1" si="14">W37+(W37*0.0099)</f>
        <v>45.276186658214293</v>
      </c>
      <c r="X38" s="2"/>
      <c r="Y38" s="2">
        <f t="shared" ref="Y38:Y46" si="15">Y37+1</f>
        <v>52</v>
      </c>
      <c r="Z38">
        <f t="shared" ref="Z38:Z46" si="16">Z37+(Z37*0.02)</f>
        <v>23.096879999999999</v>
      </c>
    </row>
    <row r="39" spans="1:26" x14ac:dyDescent="0.3">
      <c r="M39" s="2">
        <f t="shared" si="8"/>
        <v>53</v>
      </c>
      <c r="N39" s="2">
        <f t="shared" si="7"/>
        <v>-5.8106223520519569</v>
      </c>
      <c r="O39" s="2"/>
      <c r="P39" s="2">
        <f t="shared" si="9"/>
        <v>53</v>
      </c>
      <c r="Q39" s="2">
        <f t="shared" ca="1" si="10"/>
        <v>55.671424223195672</v>
      </c>
      <c r="R39" s="2"/>
      <c r="S39" s="2">
        <f t="shared" si="11"/>
        <v>53</v>
      </c>
      <c r="T39" s="2">
        <f t="shared" si="12"/>
        <v>42.329084431844308</v>
      </c>
      <c r="U39" s="2"/>
      <c r="V39" s="2">
        <f t="shared" si="13"/>
        <v>53</v>
      </c>
      <c r="W39" s="2">
        <f t="shared" ca="1" si="14"/>
        <v>45.724420906130618</v>
      </c>
      <c r="X39" s="2"/>
      <c r="Y39" s="2">
        <f t="shared" si="15"/>
        <v>53</v>
      </c>
      <c r="Z39">
        <f t="shared" si="16"/>
        <v>23.558817599999998</v>
      </c>
    </row>
    <row r="40" spans="1:26" x14ac:dyDescent="0.3">
      <c r="M40" s="2">
        <f t="shared" si="8"/>
        <v>54</v>
      </c>
      <c r="N40" s="2">
        <f t="shared" si="7"/>
        <v>-5.7438001950033595</v>
      </c>
      <c r="O40" s="2"/>
      <c r="P40" s="2">
        <f t="shared" si="9"/>
        <v>54</v>
      </c>
      <c r="Q40" s="2">
        <f t="shared" ca="1" si="10"/>
        <v>56.356182741140977</v>
      </c>
      <c r="R40" s="2"/>
      <c r="S40" s="2">
        <f t="shared" si="11"/>
        <v>54</v>
      </c>
      <c r="T40" s="2">
        <f t="shared" si="12"/>
        <v>42.794704360594594</v>
      </c>
      <c r="U40" s="2"/>
      <c r="V40" s="2">
        <f t="shared" si="13"/>
        <v>54</v>
      </c>
      <c r="W40" s="2">
        <f t="shared" ca="1" si="14"/>
        <v>46.177092673101313</v>
      </c>
      <c r="X40" s="2"/>
      <c r="Y40" s="2">
        <f t="shared" si="15"/>
        <v>54</v>
      </c>
      <c r="Z40">
        <f t="shared" si="16"/>
        <v>24.029993951999998</v>
      </c>
    </row>
    <row r="41" spans="1:26" x14ac:dyDescent="0.3">
      <c r="M41" s="2">
        <f t="shared" si="8"/>
        <v>55</v>
      </c>
      <c r="N41" s="2">
        <f t="shared" si="7"/>
        <v>-5.6777464927608206</v>
      </c>
      <c r="O41" s="2"/>
      <c r="P41" s="2">
        <f t="shared" si="9"/>
        <v>55</v>
      </c>
      <c r="Q41" s="2">
        <f t="shared" ca="1" si="10"/>
        <v>57.049363788857008</v>
      </c>
      <c r="R41" s="2"/>
      <c r="S41" s="2">
        <f t="shared" si="11"/>
        <v>55</v>
      </c>
      <c r="T41" s="2">
        <f t="shared" si="12"/>
        <v>43.265446108561136</v>
      </c>
      <c r="U41" s="2"/>
      <c r="V41" s="2">
        <f t="shared" si="13"/>
        <v>55</v>
      </c>
      <c r="W41" s="2">
        <f t="shared" ca="1" si="14"/>
        <v>46.634245890565019</v>
      </c>
      <c r="X41" s="2"/>
      <c r="Y41" s="2">
        <f t="shared" si="15"/>
        <v>55</v>
      </c>
      <c r="Z41">
        <f t="shared" si="16"/>
        <v>24.510593831039998</v>
      </c>
    </row>
    <row r="42" spans="1:26" x14ac:dyDescent="0.3">
      <c r="B42" t="s">
        <v>12</v>
      </c>
      <c r="C42" t="s">
        <v>0</v>
      </c>
      <c r="D42" t="s">
        <v>12</v>
      </c>
      <c r="E42" t="s">
        <v>1</v>
      </c>
      <c r="F42" t="s">
        <v>12</v>
      </c>
      <c r="G42" t="s">
        <v>2</v>
      </c>
      <c r="H42" t="s">
        <v>12</v>
      </c>
      <c r="I42" t="s">
        <v>3</v>
      </c>
      <c r="J42" t="s">
        <v>12</v>
      </c>
      <c r="K42" t="s">
        <v>4</v>
      </c>
      <c r="M42" s="2">
        <f t="shared" si="8"/>
        <v>56</v>
      </c>
      <c r="N42" s="2">
        <f t="shared" si="7"/>
        <v>-5.6124524080940708</v>
      </c>
      <c r="O42" s="2"/>
      <c r="P42" s="2">
        <f t="shared" si="9"/>
        <v>56</v>
      </c>
      <c r="Q42" s="2">
        <f t="shared" ca="1" si="10"/>
        <v>57.751070963459952</v>
      </c>
      <c r="R42" s="2"/>
      <c r="S42" s="2">
        <f t="shared" si="11"/>
        <v>56</v>
      </c>
      <c r="T42" s="2">
        <f t="shared" si="12"/>
        <v>43.741366015755311</v>
      </c>
      <c r="U42" s="2"/>
      <c r="V42" s="2">
        <f t="shared" si="13"/>
        <v>56</v>
      </c>
      <c r="W42" s="2">
        <f t="shared" ca="1" si="14"/>
        <v>47.095924924881615</v>
      </c>
      <c r="X42" s="2"/>
      <c r="Y42" s="2">
        <f t="shared" si="15"/>
        <v>56</v>
      </c>
      <c r="Z42">
        <f t="shared" si="16"/>
        <v>25.000805707660799</v>
      </c>
    </row>
    <row r="43" spans="1:26" x14ac:dyDescent="0.3">
      <c r="B43">
        <f>B27</f>
        <v>50</v>
      </c>
      <c r="C43">
        <f>B28</f>
        <v>-6.0157894736841939</v>
      </c>
      <c r="D43">
        <f>B43</f>
        <v>50</v>
      </c>
      <c r="E43">
        <f ca="1">B29</f>
        <v>53.666666666666671</v>
      </c>
      <c r="F43">
        <f>B27</f>
        <v>50</v>
      </c>
      <c r="G43">
        <f>B30</f>
        <v>40.962401315789471</v>
      </c>
      <c r="H43">
        <f>B27</f>
        <v>50</v>
      </c>
      <c r="I43">
        <f ca="1">B31</f>
        <v>44.392857142857146</v>
      </c>
      <c r="J43">
        <f>B27</f>
        <v>50</v>
      </c>
      <c r="K43">
        <f>B32</f>
        <v>22.2</v>
      </c>
      <c r="M43" s="2">
        <f t="shared" si="8"/>
        <v>57</v>
      </c>
      <c r="N43" s="2">
        <f t="shared" si="7"/>
        <v>-5.5479092054009893</v>
      </c>
      <c r="O43" s="2"/>
      <c r="P43" s="2">
        <f t="shared" si="9"/>
        <v>57</v>
      </c>
      <c r="Q43" s="2">
        <f t="shared" ca="1" si="10"/>
        <v>58.461409136310508</v>
      </c>
      <c r="R43" s="2"/>
      <c r="S43" s="2">
        <f t="shared" si="11"/>
        <v>57</v>
      </c>
      <c r="T43" s="2">
        <f t="shared" si="12"/>
        <v>44.222521041928623</v>
      </c>
      <c r="U43" s="2"/>
      <c r="V43" s="2">
        <f t="shared" si="13"/>
        <v>57</v>
      </c>
      <c r="W43" s="2">
        <f t="shared" ca="1" si="14"/>
        <v>47.56217458163794</v>
      </c>
      <c r="X43" s="2"/>
      <c r="Y43" s="2">
        <f t="shared" si="15"/>
        <v>57</v>
      </c>
      <c r="Z43">
        <f t="shared" si="16"/>
        <v>25.500821821814014</v>
      </c>
    </row>
    <row r="44" spans="1:26" x14ac:dyDescent="0.3">
      <c r="B44">
        <f>C27</f>
        <v>60</v>
      </c>
      <c r="C44">
        <f>C28</f>
        <v>-6.707605263157876</v>
      </c>
      <c r="D44">
        <f>B44</f>
        <v>60</v>
      </c>
      <c r="E44">
        <f ca="1">C29</f>
        <v>60.26766666666667</v>
      </c>
      <c r="F44">
        <f>C27</f>
        <v>60</v>
      </c>
      <c r="G44">
        <f>C30</f>
        <v>43.215333388157894</v>
      </c>
      <c r="H44">
        <f>C27</f>
        <v>60</v>
      </c>
      <c r="I44">
        <f ca="1">C31</f>
        <v>48.787750000000003</v>
      </c>
      <c r="J44">
        <f>C27</f>
        <v>60</v>
      </c>
      <c r="K44">
        <f>C32</f>
        <v>26.64</v>
      </c>
      <c r="M44" s="2">
        <f t="shared" si="8"/>
        <v>58</v>
      </c>
      <c r="N44" s="2">
        <f t="shared" si="7"/>
        <v>-5.4841082495388775</v>
      </c>
      <c r="O44" s="2"/>
      <c r="P44" s="2">
        <f t="shared" si="9"/>
        <v>58</v>
      </c>
      <c r="Q44" s="2">
        <f t="shared" ca="1" si="10"/>
        <v>59.180484468687126</v>
      </c>
      <c r="R44" s="2"/>
      <c r="S44" s="2">
        <f t="shared" si="11"/>
        <v>58</v>
      </c>
      <c r="T44" s="2">
        <f t="shared" si="12"/>
        <v>44.708968773389834</v>
      </c>
      <c r="U44" s="2"/>
      <c r="V44" s="2">
        <f t="shared" si="13"/>
        <v>58</v>
      </c>
      <c r="W44" s="2">
        <f t="shared" ca="1" si="14"/>
        <v>48.033040109996158</v>
      </c>
      <c r="X44" s="2"/>
      <c r="Y44" s="2">
        <f t="shared" si="15"/>
        <v>58</v>
      </c>
      <c r="Z44">
        <f t="shared" si="16"/>
        <v>26.010838258250295</v>
      </c>
    </row>
    <row r="45" spans="1:26" x14ac:dyDescent="0.3">
      <c r="B45">
        <f>D27</f>
        <v>70</v>
      </c>
      <c r="C45">
        <f>D28</f>
        <v>-8.8674541578947128</v>
      </c>
      <c r="D45">
        <f>D27</f>
        <v>70</v>
      </c>
      <c r="E45">
        <f ca="1">D29</f>
        <v>78.83010800000001</v>
      </c>
      <c r="F45">
        <f>D27</f>
        <v>70</v>
      </c>
      <c r="G45">
        <f>D30</f>
        <v>47.969020060855264</v>
      </c>
      <c r="H45">
        <f>D27</f>
        <v>70</v>
      </c>
      <c r="I45">
        <f ca="1">D31</f>
        <v>58.447724500000007</v>
      </c>
      <c r="J45">
        <f>D27</f>
        <v>70</v>
      </c>
      <c r="K45">
        <f>D32</f>
        <v>42.624000000000002</v>
      </c>
      <c r="M45" s="2">
        <f t="shared" si="8"/>
        <v>59</v>
      </c>
      <c r="N45" s="2">
        <f t="shared" si="7"/>
        <v>-5.4210410046691804</v>
      </c>
      <c r="O45" s="2"/>
      <c r="P45" s="2">
        <f t="shared" si="9"/>
        <v>59</v>
      </c>
      <c r="Q45" s="2">
        <f t="shared" ca="1" si="10"/>
        <v>59.90840442765198</v>
      </c>
      <c r="R45" s="2"/>
      <c r="S45" s="2">
        <f t="shared" si="11"/>
        <v>59</v>
      </c>
      <c r="T45" s="2">
        <f t="shared" si="12"/>
        <v>45.20076742989712</v>
      </c>
      <c r="U45" s="2"/>
      <c r="V45" s="2">
        <f t="shared" si="13"/>
        <v>59</v>
      </c>
      <c r="W45" s="2">
        <f t="shared" ca="1" si="14"/>
        <v>48.508567207085122</v>
      </c>
      <c r="X45" s="2"/>
      <c r="Y45" s="2">
        <f t="shared" si="15"/>
        <v>59</v>
      </c>
      <c r="Z45">
        <f t="shared" si="16"/>
        <v>26.531055023415302</v>
      </c>
    </row>
    <row r="46" spans="1:26" x14ac:dyDescent="0.3">
      <c r="B46">
        <f>E27</f>
        <v>80</v>
      </c>
      <c r="C46">
        <f>E28</f>
        <v>-11.72277439673681</v>
      </c>
      <c r="D46">
        <f>E27</f>
        <v>80</v>
      </c>
      <c r="E46">
        <f ca="1">E29</f>
        <v>103.10978126400002</v>
      </c>
      <c r="F46">
        <f>E27</f>
        <v>80</v>
      </c>
      <c r="G46">
        <f>E30</f>
        <v>53.245612267549348</v>
      </c>
      <c r="H46">
        <f>E27</f>
        <v>80</v>
      </c>
      <c r="I46">
        <f ca="1">E31</f>
        <v>70.02037395100001</v>
      </c>
      <c r="J46">
        <f>E27</f>
        <v>80</v>
      </c>
      <c r="K46">
        <f>E32</f>
        <v>68.198400000000007</v>
      </c>
      <c r="M46" s="2">
        <f t="shared" si="8"/>
        <v>60</v>
      </c>
      <c r="N46" s="2">
        <f t="shared" si="7"/>
        <v>-5.3586990331154851</v>
      </c>
      <c r="O46" s="2"/>
      <c r="P46" s="2">
        <f t="shared" si="9"/>
        <v>60</v>
      </c>
      <c r="Q46" s="2">
        <f t="shared" ca="1" si="10"/>
        <v>60.645277802112098</v>
      </c>
      <c r="R46" s="2"/>
      <c r="S46" s="2">
        <f t="shared" si="11"/>
        <v>60</v>
      </c>
      <c r="T46" s="2">
        <f t="shared" si="12"/>
        <v>45.697975871625985</v>
      </c>
      <c r="U46" s="2"/>
      <c r="V46" s="2">
        <f t="shared" si="13"/>
        <v>60</v>
      </c>
      <c r="W46" s="2">
        <f t="shared" ca="1" si="14"/>
        <v>48.988802022435266</v>
      </c>
      <c r="X46" s="2"/>
      <c r="Y46" s="2">
        <f t="shared" si="15"/>
        <v>60</v>
      </c>
      <c r="Z46">
        <f t="shared" si="16"/>
        <v>27.061676123883608</v>
      </c>
    </row>
    <row r="47" spans="1:26" x14ac:dyDescent="0.3">
      <c r="B47">
        <f>F27</f>
        <v>90</v>
      </c>
      <c r="C47">
        <f>F28</f>
        <v>-15.497507752486063</v>
      </c>
      <c r="D47">
        <f>F27</f>
        <v>90</v>
      </c>
      <c r="E47">
        <f ca="1">F29</f>
        <v>134.86759389331203</v>
      </c>
      <c r="F47">
        <f>F27</f>
        <v>90</v>
      </c>
      <c r="G47">
        <f ca="1">F31</f>
        <v>83.884407993298012</v>
      </c>
      <c r="H47">
        <f>F27</f>
        <v>90</v>
      </c>
      <c r="I47">
        <f ca="1">F31</f>
        <v>83.884407993298012</v>
      </c>
      <c r="J47">
        <f>F27</f>
        <v>90</v>
      </c>
      <c r="K47">
        <f>F32</f>
        <v>109.11744000000002</v>
      </c>
    </row>
  </sheetData>
  <mergeCells count="1">
    <mergeCell ref="A23:F2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2B57-8AAE-4769-BAD2-7AE3D8A62B4E}">
  <dimension ref="A1:AC61"/>
  <sheetViews>
    <sheetView zoomScale="72" zoomScaleNormal="72" workbookViewId="0">
      <selection activeCell="P49" sqref="P49:AC61"/>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 min="23" max="23" width="11.5546875" bestFit="1" customWidth="1"/>
    <col min="26" max="26" width="11.5546875" bestFit="1" customWidth="1"/>
  </cols>
  <sheetData>
    <row r="1" spans="1:20" ht="28.8" x14ac:dyDescent="0.3">
      <c r="A1" s="8" t="s">
        <v>91</v>
      </c>
      <c r="B1" s="8" t="s">
        <v>98</v>
      </c>
      <c r="D1" s="2" t="s">
        <v>14</v>
      </c>
      <c r="E1" s="2"/>
      <c r="F1" s="2" t="s">
        <v>38</v>
      </c>
      <c r="G1" s="2" t="s">
        <v>39</v>
      </c>
      <c r="H1" s="2" t="s">
        <v>40</v>
      </c>
      <c r="I1" s="2" t="s">
        <v>41</v>
      </c>
      <c r="J1" s="2"/>
      <c r="K1" s="2"/>
      <c r="L1" s="2"/>
      <c r="M1" s="2" t="s">
        <v>42</v>
      </c>
      <c r="N1" s="2"/>
      <c r="O1" s="2"/>
    </row>
    <row r="2" spans="1:20" ht="28.8" x14ac:dyDescent="0.3">
      <c r="A2" s="8" t="s">
        <v>12</v>
      </c>
      <c r="B2" s="8">
        <v>24</v>
      </c>
      <c r="D2" s="9" t="s">
        <v>15</v>
      </c>
      <c r="E2" s="9">
        <v>31</v>
      </c>
      <c r="F2" s="2">
        <f>E2+(E2/100*10)</f>
        <v>34.1</v>
      </c>
      <c r="G2" s="2">
        <f>F2+(F2/100*10)</f>
        <v>37.510000000000005</v>
      </c>
      <c r="H2" s="2">
        <f>G2+(G2/100*10)</f>
        <v>41.261000000000003</v>
      </c>
      <c r="I2" s="2">
        <f>H2+(H2/100*15)</f>
        <v>47.450150000000001</v>
      </c>
      <c r="J2" s="9"/>
      <c r="K2" s="2"/>
      <c r="L2" s="9" t="s">
        <v>0</v>
      </c>
      <c r="M2" s="28">
        <f>B27+ ((1 -((E2 / 48) * 0.7 )-((E3/ 100) * 0.3 )) *100)</f>
        <v>52.391666666666659</v>
      </c>
      <c r="N2" s="2"/>
      <c r="O2" s="2"/>
    </row>
    <row r="3" spans="1:20" ht="86.4" x14ac:dyDescent="0.3">
      <c r="A3" s="8" t="s">
        <v>93</v>
      </c>
      <c r="B3" s="2" t="s">
        <v>97</v>
      </c>
      <c r="D3" s="9" t="s">
        <v>16</v>
      </c>
      <c r="E3" s="9">
        <v>88</v>
      </c>
      <c r="F3" s="2">
        <f>E3-(E3/100*10)</f>
        <v>79.2</v>
      </c>
      <c r="G3" s="2">
        <f>F3-(F3/100*10)</f>
        <v>71.28</v>
      </c>
      <c r="H3" s="2">
        <f>G3-(G3/100*15)</f>
        <v>60.588000000000001</v>
      </c>
      <c r="I3" s="2">
        <f>H3-(H3/100*15)</f>
        <v>51.4998</v>
      </c>
      <c r="J3" s="9"/>
      <c r="K3" s="2"/>
      <c r="L3" s="10" t="s">
        <v>1</v>
      </c>
      <c r="M3" s="10">
        <f ca="1">((J4/100*50)+(J5/100*25)+(J6/100*25))</f>
        <v>78.928571428571431</v>
      </c>
      <c r="N3" s="2"/>
      <c r="O3" s="25" t="s">
        <v>8</v>
      </c>
    </row>
    <row r="4" spans="1:20" ht="18" customHeight="1" x14ac:dyDescent="0.3">
      <c r="D4" s="10" t="s">
        <v>18</v>
      </c>
      <c r="E4" s="10">
        <v>36</v>
      </c>
      <c r="F4" s="2">
        <f>E4+(E4/100*10)</f>
        <v>39.6</v>
      </c>
      <c r="G4" s="2">
        <f>F4+(F4/100*10)</f>
        <v>43.56</v>
      </c>
      <c r="H4" s="2">
        <f>G4+(G4/100*6)+(G4/100*6)</f>
        <v>48.787199999999999</v>
      </c>
      <c r="I4" s="2">
        <f>H4+((H4/100)*15)</f>
        <v>56.10528</v>
      </c>
      <c r="J4" s="10">
        <f ca="1">IFERROR(
  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
  ),
  IF(E4 &gt; MAX(Strength_Normative_Data!$B$3:$B$16), 20, 85)
)</f>
        <v>85</v>
      </c>
      <c r="K4" s="2"/>
      <c r="L4" s="11" t="s">
        <v>2</v>
      </c>
      <c r="M4" s="11">
        <f>B27 - 9*M11</f>
        <v>25.132714285714286</v>
      </c>
      <c r="N4" s="2"/>
      <c r="O4" s="25">
        <f ca="1">A37</f>
        <v>48.847226190476192</v>
      </c>
    </row>
    <row r="5" spans="1:20" ht="28.8" x14ac:dyDescent="0.3">
      <c r="D5" s="10" t="s">
        <v>19</v>
      </c>
      <c r="E5" s="10">
        <v>1.9</v>
      </c>
      <c r="F5" s="2">
        <f>E5+(E5/100*12)</f>
        <v>2.1280000000000001</v>
      </c>
      <c r="G5" s="2">
        <f>F5+(F5/100*12)</f>
        <v>2.3833600000000001</v>
      </c>
      <c r="H5" s="2">
        <f>G5+(G5/100*1.2) + (G5/100* 13.5)</f>
        <v>2.73371392</v>
      </c>
      <c r="I5" s="2">
        <f>H5+(H5/100*15)</f>
        <v>3.1437710079999999</v>
      </c>
      <c r="J5" s="10">
        <f ca="1">FORECAST(E5, OFFSET(Strength_Normative_Data!$O$3, MATCH(E5, Strength_Normative_Data!$P$3:$P$17, -1)-1, 0, 2), OFFSET(Strength_Normative_Data!$P$3, MATCH(E5, Strength_Normative_Data!$P$3:$P$17, -1)-1, 0, 2))</f>
        <v>79.999999999999986</v>
      </c>
      <c r="K5" s="2"/>
      <c r="L5" s="12" t="s">
        <v>29</v>
      </c>
      <c r="M5" s="12">
        <f ca="1">((J14/100*30)+(J15/100*25)+(J16/100*30)+(J17/100*15))</f>
        <v>68</v>
      </c>
      <c r="N5" s="2"/>
      <c r="O5" s="2"/>
      <c r="T5" t="s">
        <v>129</v>
      </c>
    </row>
    <row r="6" spans="1:20" x14ac:dyDescent="0.3">
      <c r="D6" s="10" t="s">
        <v>20</v>
      </c>
      <c r="E6" s="10">
        <v>28</v>
      </c>
      <c r="F6" s="2">
        <f>E6+(E6/100*12)</f>
        <v>31.36</v>
      </c>
      <c r="G6" s="2">
        <f>F6+(F6/100*12)</f>
        <v>35.123199999999997</v>
      </c>
      <c r="H6" s="2">
        <f>G6+(G6/100*1.2) + (G6/100* 13.5)</f>
        <v>40.286310399999998</v>
      </c>
      <c r="I6" s="2">
        <f>H6+(H6/100*15)</f>
        <v>46.329256959999995</v>
      </c>
      <c r="J6" s="10">
        <f ca="1">FORECAST(E6, OFFSET(Strength_Normative_Data!$J$3, MATCH(E6, Strength_Normative_Data!$K$3:$K$16, -1)-1, 0, 2), OFFSET(Strength_Normative_Data!$K$3, MATCH(E6, Strength_Normative_Data!$K$3:$K$16, -1)-1, 0, 2))</f>
        <v>65.714285714285722</v>
      </c>
      <c r="K6" s="2"/>
      <c r="L6" s="13" t="s">
        <v>4</v>
      </c>
      <c r="M6" s="13">
        <f>((J18/100*60)+(J19/100*40))</f>
        <v>18</v>
      </c>
      <c r="N6" s="2"/>
      <c r="O6" s="2"/>
    </row>
    <row r="7" spans="1:20" x14ac:dyDescent="0.3">
      <c r="D7" s="11" t="s">
        <v>22</v>
      </c>
      <c r="E7" s="11">
        <v>28</v>
      </c>
      <c r="F7" s="2">
        <f>E7+(E7/100*6)</f>
        <v>29.68</v>
      </c>
      <c r="G7" s="2">
        <f t="shared" ref="G7:I7" si="0">F7+(F7/100*6)</f>
        <v>31.460799999999999</v>
      </c>
      <c r="H7" s="2">
        <f t="shared" si="0"/>
        <v>33.348447999999998</v>
      </c>
      <c r="I7" s="2">
        <f t="shared" si="0"/>
        <v>35.34935488</v>
      </c>
      <c r="J7" s="11"/>
      <c r="K7" s="2"/>
      <c r="L7" s="2"/>
      <c r="M7" s="2"/>
      <c r="N7" s="2"/>
      <c r="O7" s="2"/>
    </row>
    <row r="8" spans="1:20" ht="28.8" x14ac:dyDescent="0.3">
      <c r="D8" s="11" t="s">
        <v>23</v>
      </c>
      <c r="E8" s="11">
        <v>0.57999999999999996</v>
      </c>
      <c r="F8" s="2">
        <f>E8+(E8/100*4)</f>
        <v>0.60319999999999996</v>
      </c>
      <c r="G8" s="2">
        <f t="shared" ref="G8:I8" si="1">F8+(F8/100*4)</f>
        <v>0.627328</v>
      </c>
      <c r="H8" s="2">
        <f t="shared" si="1"/>
        <v>0.65242111999999997</v>
      </c>
      <c r="I8" s="2">
        <f t="shared" si="1"/>
        <v>0.67851796479999993</v>
      </c>
      <c r="J8" s="11">
        <f xml:space="preserve">
IF(E8&lt;=0.4,0,
IF(E8&lt;=0.5,20*(E8-0.4)/0.1,
IF(E8&lt;=0.6,20+40*(E8-0.5)/0.1,
60+40*(MIN(E8,0.75)-0.6)/0.15)))</f>
        <v>51.999999999999986</v>
      </c>
      <c r="K8" s="2"/>
      <c r="L8" s="2"/>
      <c r="M8" s="2"/>
      <c r="N8" s="2"/>
      <c r="O8" s="2"/>
    </row>
    <row r="9" spans="1:20" ht="28.8" x14ac:dyDescent="0.3">
      <c r="D9" s="11" t="s">
        <v>24</v>
      </c>
      <c r="E9" s="11">
        <v>5.9</v>
      </c>
      <c r="F9" s="2"/>
      <c r="G9" s="2"/>
      <c r="H9" s="2"/>
      <c r="I9" s="2"/>
      <c r="J9" s="11"/>
      <c r="K9" s="2"/>
      <c r="L9" s="2"/>
      <c r="M9" s="2"/>
      <c r="N9" s="2"/>
      <c r="O9" s="2"/>
    </row>
    <row r="10" spans="1:20" ht="28.8" x14ac:dyDescent="0.3">
      <c r="D10" s="11" t="s">
        <v>25</v>
      </c>
      <c r="E10" s="11">
        <v>5.8</v>
      </c>
      <c r="F10" s="2">
        <f>E10+(E10/100*5)</f>
        <v>6.09</v>
      </c>
      <c r="G10" s="2">
        <f t="shared" ref="G10:I10" si="2">F10+(F10/100*5)</f>
        <v>6.3944999999999999</v>
      </c>
      <c r="H10" s="2">
        <f t="shared" si="2"/>
        <v>6.7142249999999999</v>
      </c>
      <c r="I10" s="2">
        <f t="shared" si="2"/>
        <v>7.04993625</v>
      </c>
      <c r="J10" s="11">
        <f xml:space="preserve">
IF(E10&lt;5.7,10*(E10/5.7),
IF(E10&lt;6.5,10+40*(E10-5.7)/0.8,
50+50*(MIN(E10,9)-6.5)/2.5))</f>
        <v>14.999999999999982</v>
      </c>
      <c r="K10" s="2"/>
      <c r="L10" s="2" t="s">
        <v>89</v>
      </c>
      <c r="M10" s="2" t="s">
        <v>90</v>
      </c>
      <c r="N10" s="2"/>
      <c r="O10" s="2"/>
    </row>
    <row r="11" spans="1:20" x14ac:dyDescent="0.3">
      <c r="D11" s="11" t="s">
        <v>26</v>
      </c>
      <c r="E11" s="11">
        <v>2.9</v>
      </c>
      <c r="F11" s="2">
        <f>E11+(E11/100*14)</f>
        <v>3.306</v>
      </c>
      <c r="G11" s="2">
        <f t="shared" ref="G11:I11" si="3">F11+(F11/100*14)</f>
        <v>3.76884</v>
      </c>
      <c r="H11" s="2">
        <f t="shared" si="3"/>
        <v>4.2964776000000002</v>
      </c>
      <c r="I11" s="2">
        <f t="shared" si="3"/>
        <v>4.8979844640000003</v>
      </c>
      <c r="J11" s="11">
        <f xml:space="preserve">
IF(E11&lt;1.6,10*(E11/1.6),
IF(E11&lt;3,10+40*(E11-1.6)/1.4,
50+50*(MIN(E11,7)-3)/4))</f>
        <v>47.142857142857139</v>
      </c>
      <c r="K11" s="2"/>
      <c r="L11" s="2">
        <f>(0.3*K12)+(0.2*J8)+(0.15*J10)+(0.25*J11)+(0.1*J13)</f>
        <v>41.292857142857144</v>
      </c>
      <c r="M11" s="2">
        <f xml:space="preserve">
IF(L11&lt;=10,1.5-0.1*L11,
IF(L11&lt;=60,0.5-0.02*(L11-10),
-0.5-0.03*(L11-60)))</f>
        <v>-0.12585714285714289</v>
      </c>
      <c r="N11" s="2"/>
      <c r="O11" s="2"/>
    </row>
    <row r="12" spans="1:20" x14ac:dyDescent="0.3">
      <c r="D12" s="11" t="s">
        <v>27</v>
      </c>
      <c r="E12" s="11">
        <v>1.1000000000000001</v>
      </c>
      <c r="F12" s="2">
        <f>E12+(E12/100*6)</f>
        <v>1.1660000000000001</v>
      </c>
      <c r="G12" s="2">
        <f t="shared" ref="G12:I12" si="4">F12+(F12/100*6)</f>
        <v>1.2359600000000002</v>
      </c>
      <c r="H12" s="2">
        <f t="shared" si="4"/>
        <v>1.3101176000000001</v>
      </c>
      <c r="I12" s="2">
        <f t="shared" si="4"/>
        <v>1.3887246560000002</v>
      </c>
      <c r="J12" s="11">
        <f>E12*100</f>
        <v>110.00000000000001</v>
      </c>
      <c r="K12" s="11">
        <f xml:space="preserve">
IF(J12&lt;80,5*(J12/80),
IF(J12&lt;100,10+20*(J12-80)/20,
IF(J12&lt;130,30+25*(J12-100)/30,
IF(J12&lt;160,55+25*(J12-130)/30,
IF(J12&lt;200,80+20*(J12-160)/40,100)))))</f>
        <v>38.333333333333343</v>
      </c>
      <c r="L12" s="2"/>
      <c r="M12" s="2"/>
      <c r="N12" s="2"/>
      <c r="O12" s="2"/>
    </row>
    <row r="13" spans="1:20" x14ac:dyDescent="0.3">
      <c r="D13" s="11" t="s">
        <v>28</v>
      </c>
      <c r="E13" s="11">
        <v>3.5</v>
      </c>
      <c r="F13" s="2">
        <f>E13+(E13/100*18)</f>
        <v>4.13</v>
      </c>
      <c r="G13" s="2">
        <f t="shared" ref="G13:I13" si="5">F13+(F13/100*18)</f>
        <v>4.8734000000000002</v>
      </c>
      <c r="H13" s="2">
        <f t="shared" si="5"/>
        <v>5.7506120000000003</v>
      </c>
      <c r="I13" s="2">
        <f t="shared" si="5"/>
        <v>6.7857221600000006</v>
      </c>
      <c r="J13" s="11">
        <f xml:space="preserve">
IF(E13&lt;1,10*(E13/1),
IF(E13&lt;3,10+40*(E13-1)/2,
50+50*(MIN(E13,10)-3)/7))</f>
        <v>53.571428571428569</v>
      </c>
      <c r="K13" s="2"/>
      <c r="L13" s="2"/>
      <c r="M13" s="2"/>
      <c r="N13" s="2"/>
      <c r="O13" s="2"/>
    </row>
    <row r="14" spans="1:20" x14ac:dyDescent="0.3">
      <c r="D14" s="12" t="s">
        <v>30</v>
      </c>
      <c r="E14" s="12">
        <v>1.1000000000000001</v>
      </c>
      <c r="F14" s="2">
        <f>E14-(E14/100*6)</f>
        <v>1.034</v>
      </c>
      <c r="G14" s="2">
        <f>F14+(F14/100*6)</f>
        <v>1.0960400000000001</v>
      </c>
      <c r="H14" s="2">
        <f>G14+(G14/100*7)</f>
        <v>1.1727628000000001</v>
      </c>
      <c r="I14" s="2">
        <f>H14+(H14/100*7)</f>
        <v>1.2548561960000002</v>
      </c>
      <c r="J14" s="12">
        <f ca="1">IFERROR(FORECAST(E14, OFFSET(Mobility_Normative_Data!$A$3, MATCH(E14, Mobility_Normative_Data!$B$3:$B$17, -1)-1, 0, 2), OFFSET(Mobility_Normative_Data!$B$3, MATCH(E14, Mobility_Normative_Data!$B$3:$B$17, -1)-1, 0, 2)), INDEX(Mobility_Normative_Data!$A$3:$A$17, MATCH(E14, Mobility_Normative_Data!$B$3:$B$17, -1)))</f>
        <v>80</v>
      </c>
      <c r="K14" s="2"/>
      <c r="L14" s="2"/>
      <c r="M14" s="2"/>
      <c r="N14" s="2"/>
      <c r="O14" s="2"/>
    </row>
    <row r="15" spans="1:20" ht="28.8" x14ac:dyDescent="0.3">
      <c r="D15" s="12" t="s">
        <v>31</v>
      </c>
      <c r="E15" s="12">
        <v>8.5</v>
      </c>
      <c r="F15" s="2">
        <f>E15+(E15/100*10)</f>
        <v>9.35</v>
      </c>
      <c r="G15" s="2">
        <f>F15+(F15/100*10)</f>
        <v>10.285</v>
      </c>
      <c r="H15" s="2">
        <f>G15+(G15/100*10)</f>
        <v>11.313499999999999</v>
      </c>
      <c r="I15" s="2">
        <f>H15+(H15/100*10)</f>
        <v>12.444849999999999</v>
      </c>
      <c r="J15" s="12">
        <f ca="1">FORECAST(E15, OFFSET(Mobility_Normative_Data!$E$3, MATCH(E15, Mobility_Normative_Data!$F$3:$F$18, 1)-1, 0, 2), OFFSET(Mobility_Normative_Data!$F$3, MATCH(E15, Mobility_Normative_Data!$F$3:$F$18, 1)-1, 0, 2))</f>
        <v>65</v>
      </c>
      <c r="K15" s="2"/>
      <c r="L15" s="2"/>
      <c r="M15" s="2"/>
      <c r="N15" s="2"/>
      <c r="O15" s="2"/>
    </row>
    <row r="16" spans="1:20" ht="28.8" x14ac:dyDescent="0.3">
      <c r="D16" s="12" t="s">
        <v>32</v>
      </c>
      <c r="E16" s="12">
        <v>15</v>
      </c>
      <c r="F16" s="2">
        <f>E16-(E16/100*20)</f>
        <v>12</v>
      </c>
      <c r="G16" s="2">
        <f>F16+(F16/100*20)</f>
        <v>14.4</v>
      </c>
      <c r="H16" s="2">
        <f t="shared" ref="H16:I16" si="6">G16+(G16/100*20)</f>
        <v>17.28</v>
      </c>
      <c r="I16" s="2">
        <f t="shared" si="6"/>
        <v>20.736000000000001</v>
      </c>
      <c r="J16" s="12">
        <f ca="1">FORECAST(E16, OFFSET(Mobility_Normative_Data!$I$3, MATCH(E16, Mobility_Normative_Data!$J$3:$J$17, -1)-1, 0, 2), OFFSET(Mobility_Normative_Data!$J$3, MATCH(E16, Mobility_Normative_Data!$J$3:$J$17, -1)-1, 0, 2))</f>
        <v>75</v>
      </c>
      <c r="K16" s="2"/>
      <c r="L16" s="2"/>
      <c r="M16" s="2"/>
      <c r="N16" s="2"/>
      <c r="O16" s="2"/>
    </row>
    <row r="17" spans="1:15" x14ac:dyDescent="0.3">
      <c r="D17" s="12" t="s">
        <v>33</v>
      </c>
      <c r="E17" s="12">
        <v>36</v>
      </c>
      <c r="F17" s="2">
        <f>E17-(E17/100*10)</f>
        <v>32.4</v>
      </c>
      <c r="G17" s="2">
        <f>F17+(F17/100*10)</f>
        <v>35.64</v>
      </c>
      <c r="H17" s="2">
        <f>G17+(G17/100*10)</f>
        <v>39.204000000000001</v>
      </c>
      <c r="I17" s="2">
        <f>H17+(H17/100*10)</f>
        <v>43.124400000000001</v>
      </c>
      <c r="J17" s="12">
        <f ca="1">FORECAST(E17, OFFSET(Mobility_Normative_Data!$M$3, MATCH(E17, Mobility_Normative_Data!$N$3:$N$17, -1)-1, 0, 2), OFFSET(Mobility_Normative_Data!$N$3, MATCH(E17, Mobility_Normative_Data!$N$3:$N$17, -1)-1, 0, 2))</f>
        <v>35</v>
      </c>
      <c r="K17" s="2"/>
      <c r="L17" s="2"/>
      <c r="M17" s="2"/>
      <c r="N17" s="2"/>
      <c r="O17" s="2"/>
    </row>
    <row r="18" spans="1:15" ht="28.8" x14ac:dyDescent="0.3">
      <c r="D18" s="13" t="s">
        <v>35</v>
      </c>
      <c r="E18" s="13">
        <v>2.5</v>
      </c>
      <c r="F18" s="2">
        <f>E18 +(-0.2)</f>
        <v>2.2999999999999998</v>
      </c>
      <c r="G18" s="2">
        <f>F18 +(-0.2)</f>
        <v>2.0999999999999996</v>
      </c>
      <c r="H18" s="2">
        <f>G18 +(-0.3)</f>
        <v>1.7999999999999996</v>
      </c>
      <c r="I18" s="2">
        <f>H18 +(-0.3)</f>
        <v>1.4999999999999996</v>
      </c>
      <c r="J18" s="13">
        <f>MAX(18,B27-(E18*25))</f>
        <v>18</v>
      </c>
      <c r="K18" s="2"/>
      <c r="L18" s="2"/>
      <c r="M18" s="2"/>
      <c r="N18" s="2"/>
      <c r="O18" s="2"/>
    </row>
    <row r="19" spans="1:15" ht="28.8" x14ac:dyDescent="0.3">
      <c r="D19" s="13" t="s">
        <v>36</v>
      </c>
      <c r="E19" s="13">
        <v>1.5</v>
      </c>
      <c r="F19" s="2">
        <f>E19+(-0.2)</f>
        <v>1.3</v>
      </c>
      <c r="G19" s="2">
        <f>F19 +(-0.2)</f>
        <v>1.1000000000000001</v>
      </c>
      <c r="H19" s="2">
        <f>G19 +(-0.3)</f>
        <v>0.8</v>
      </c>
      <c r="I19" s="2">
        <f>H19 +(-0.3)</f>
        <v>0.5</v>
      </c>
      <c r="J19" s="13">
        <f>MAX(18,B27-(E19*35))</f>
        <v>18</v>
      </c>
      <c r="K19" s="2"/>
      <c r="L19" s="2"/>
      <c r="M19" s="2"/>
      <c r="N19" s="2"/>
      <c r="O19" s="2"/>
    </row>
    <row r="23" spans="1:15" x14ac:dyDescent="0.3">
      <c r="A23" s="43" t="s">
        <v>37</v>
      </c>
      <c r="B23" s="43"/>
      <c r="C23" s="43"/>
      <c r="D23" s="43"/>
      <c r="E23" s="43"/>
      <c r="F23" s="43"/>
    </row>
    <row r="25" spans="1:15" x14ac:dyDescent="0.3">
      <c r="B25" t="s">
        <v>5</v>
      </c>
      <c r="C25" t="s">
        <v>6</v>
      </c>
      <c r="D25" t="s">
        <v>9</v>
      </c>
      <c r="E25" t="s">
        <v>10</v>
      </c>
      <c r="F25" t="s">
        <v>11</v>
      </c>
    </row>
    <row r="26" spans="1:15" x14ac:dyDescent="0.3">
      <c r="A26" t="s">
        <v>43</v>
      </c>
      <c r="B26" t="s">
        <v>44</v>
      </c>
    </row>
    <row r="27" spans="1:15" x14ac:dyDescent="0.3">
      <c r="A27" t="s">
        <v>7</v>
      </c>
      <c r="B27">
        <f>B2</f>
        <v>24</v>
      </c>
      <c r="C27">
        <f>B27+10</f>
        <v>34</v>
      </c>
      <c r="D27">
        <f>C27+10</f>
        <v>44</v>
      </c>
      <c r="E27">
        <f>D27+10</f>
        <v>54</v>
      </c>
      <c r="F27">
        <f>E27+10</f>
        <v>64</v>
      </c>
    </row>
    <row r="28" spans="1:15" x14ac:dyDescent="0.3">
      <c r="A28" t="s">
        <v>0</v>
      </c>
      <c r="B28" s="24">
        <f>M2</f>
        <v>52.391666666666659</v>
      </c>
      <c r="C28">
        <f>B28+(B28/100*11.5)</f>
        <v>58.416708333333325</v>
      </c>
      <c r="D28">
        <f>C28+(C28/100*32.2)</f>
        <v>77.226888416666654</v>
      </c>
      <c r="E28">
        <f>D28+(D28/100*32.2)</f>
        <v>102.09394648683332</v>
      </c>
      <c r="F28">
        <f>E28+(E28/100*32.2)</f>
        <v>134.96819725559365</v>
      </c>
    </row>
    <row r="29" spans="1:15" x14ac:dyDescent="0.3">
      <c r="A29" t="s">
        <v>1</v>
      </c>
      <c r="B29">
        <f ca="1">M3</f>
        <v>78.928571428571431</v>
      </c>
      <c r="C29">
        <f ca="1">B29+(B29/100*12.3)</f>
        <v>88.636785714285722</v>
      </c>
      <c r="D29">
        <f ca="1">C29+(C29/100*30.8)</f>
        <v>115.93691571428573</v>
      </c>
      <c r="E29">
        <f ca="1">D29+(D29/100*30.8)</f>
        <v>151.64548575428574</v>
      </c>
      <c r="F29">
        <f ca="1">E29+(E29/100*30.8)</f>
        <v>198.35229536660574</v>
      </c>
    </row>
    <row r="30" spans="1:15" x14ac:dyDescent="0.3">
      <c r="A30" t="s">
        <v>2</v>
      </c>
      <c r="B30">
        <f>M4</f>
        <v>25.132714285714286</v>
      </c>
      <c r="C30">
        <f>B30+(B30/100*5.5)</f>
        <v>26.515013571428572</v>
      </c>
      <c r="D30">
        <f>C30+(C30/100*11)</f>
        <v>29.431665064285713</v>
      </c>
      <c r="E30">
        <f>D30+(D30/100*11)</f>
        <v>32.66914822135714</v>
      </c>
      <c r="F30">
        <f>E30+(E30/100*11)</f>
        <v>36.262754525706427</v>
      </c>
    </row>
    <row r="31" spans="1:15" x14ac:dyDescent="0.3">
      <c r="A31" t="s">
        <v>3</v>
      </c>
      <c r="B31">
        <f ca="1">M5</f>
        <v>68</v>
      </c>
      <c r="C31">
        <f ca="1">B31+(B31/100*9.9)</f>
        <v>74.731999999999999</v>
      </c>
      <c r="D31">
        <f ca="1">C31+(C31/100*19.8)</f>
        <v>89.528936000000002</v>
      </c>
      <c r="E31">
        <f ca="1">D31+(D31/100*19.8)</f>
        <v>107.25566532800001</v>
      </c>
      <c r="F31">
        <f ca="1">E31+(E31/100*19.8)</f>
        <v>128.492287062944</v>
      </c>
    </row>
    <row r="32" spans="1:15" x14ac:dyDescent="0.3">
      <c r="A32" t="s">
        <v>4</v>
      </c>
      <c r="B32">
        <f>M6</f>
        <v>18</v>
      </c>
      <c r="C32">
        <f>B32+(B32/100*20)</f>
        <v>21.6</v>
      </c>
      <c r="D32">
        <f>C32+(C32/100*60)</f>
        <v>34.56</v>
      </c>
      <c r="E32">
        <f>D32+(D32/100*60)</f>
        <v>55.296000000000006</v>
      </c>
      <c r="F32">
        <f>E32+(E32/100*60)</f>
        <v>88.473600000000005</v>
      </c>
    </row>
    <row r="36" spans="1:11" x14ac:dyDescent="0.3">
      <c r="A36" t="s">
        <v>8</v>
      </c>
    </row>
    <row r="37" spans="1:11" x14ac:dyDescent="0.3">
      <c r="A37" s="1">
        <f ca="1">(B28/100*20)+(B29/100*20)+(B30/100*25)+(B31/100*20)+(B32/100*15)</f>
        <v>48.847226190476192</v>
      </c>
    </row>
    <row r="42" spans="1:11" x14ac:dyDescent="0.3">
      <c r="B42" t="s">
        <v>12</v>
      </c>
      <c r="C42" t="s">
        <v>0</v>
      </c>
      <c r="D42" t="s">
        <v>12</v>
      </c>
      <c r="E42" t="s">
        <v>1</v>
      </c>
      <c r="F42" t="s">
        <v>12</v>
      </c>
      <c r="G42" t="s">
        <v>2</v>
      </c>
      <c r="H42" t="s">
        <v>12</v>
      </c>
      <c r="I42" t="s">
        <v>3</v>
      </c>
      <c r="J42" t="s">
        <v>12</v>
      </c>
      <c r="K42" t="s">
        <v>4</v>
      </c>
    </row>
    <row r="43" spans="1:11" x14ac:dyDescent="0.3">
      <c r="B43">
        <f>B27</f>
        <v>24</v>
      </c>
      <c r="C43">
        <f>B28</f>
        <v>52.391666666666659</v>
      </c>
      <c r="D43">
        <f>B43</f>
        <v>24</v>
      </c>
      <c r="E43">
        <f ca="1">B29</f>
        <v>78.928571428571431</v>
      </c>
      <c r="F43">
        <f>B27</f>
        <v>24</v>
      </c>
      <c r="G43">
        <f>B30</f>
        <v>25.132714285714286</v>
      </c>
      <c r="H43">
        <f>B27</f>
        <v>24</v>
      </c>
      <c r="I43">
        <f ca="1">B31</f>
        <v>68</v>
      </c>
      <c r="J43">
        <f>B27</f>
        <v>24</v>
      </c>
      <c r="K43">
        <f>B32</f>
        <v>18</v>
      </c>
    </row>
    <row r="44" spans="1:11" x14ac:dyDescent="0.3">
      <c r="B44">
        <f>C27</f>
        <v>34</v>
      </c>
      <c r="C44">
        <f>C28</f>
        <v>58.416708333333325</v>
      </c>
      <c r="D44">
        <f>B44</f>
        <v>34</v>
      </c>
      <c r="E44">
        <f ca="1">C29</f>
        <v>88.636785714285722</v>
      </c>
      <c r="F44">
        <f>C27</f>
        <v>34</v>
      </c>
      <c r="G44">
        <f>C30</f>
        <v>26.515013571428572</v>
      </c>
      <c r="H44">
        <f>C27</f>
        <v>34</v>
      </c>
      <c r="I44">
        <f ca="1">C31</f>
        <v>74.731999999999999</v>
      </c>
      <c r="J44">
        <f>C27</f>
        <v>34</v>
      </c>
      <c r="K44">
        <f>C32</f>
        <v>21.6</v>
      </c>
    </row>
    <row r="45" spans="1:11" x14ac:dyDescent="0.3">
      <c r="B45">
        <f>D27</f>
        <v>44</v>
      </c>
      <c r="C45">
        <f>D28</f>
        <v>77.226888416666654</v>
      </c>
      <c r="D45">
        <f>D27</f>
        <v>44</v>
      </c>
      <c r="E45">
        <f ca="1">D29</f>
        <v>115.93691571428573</v>
      </c>
      <c r="F45">
        <f>D27</f>
        <v>44</v>
      </c>
      <c r="G45">
        <f>D30</f>
        <v>29.431665064285713</v>
      </c>
      <c r="H45">
        <f>D27</f>
        <v>44</v>
      </c>
      <c r="I45">
        <f ca="1">D31</f>
        <v>89.528936000000002</v>
      </c>
      <c r="J45">
        <f>D27</f>
        <v>44</v>
      </c>
      <c r="K45">
        <f>D32</f>
        <v>34.56</v>
      </c>
    </row>
    <row r="46" spans="1:11" x14ac:dyDescent="0.3">
      <c r="B46">
        <f>E27</f>
        <v>54</v>
      </c>
      <c r="C46">
        <f>E28</f>
        <v>102.09394648683332</v>
      </c>
      <c r="D46">
        <f>E27</f>
        <v>54</v>
      </c>
      <c r="E46">
        <f ca="1">E29</f>
        <v>151.64548575428574</v>
      </c>
      <c r="F46">
        <f>E27</f>
        <v>54</v>
      </c>
      <c r="G46">
        <f>E30</f>
        <v>32.66914822135714</v>
      </c>
      <c r="H46">
        <f>E27</f>
        <v>54</v>
      </c>
      <c r="I46">
        <f ca="1">E31</f>
        <v>107.25566532800001</v>
      </c>
      <c r="J46">
        <f>E27</f>
        <v>54</v>
      </c>
      <c r="K46">
        <f>E32</f>
        <v>55.296000000000006</v>
      </c>
    </row>
    <row r="47" spans="1:11" x14ac:dyDescent="0.3">
      <c r="B47">
        <f>F27</f>
        <v>64</v>
      </c>
      <c r="C47">
        <f>F28</f>
        <v>134.96819725559365</v>
      </c>
      <c r="D47">
        <f>F27</f>
        <v>64</v>
      </c>
      <c r="E47">
        <f ca="1">F29</f>
        <v>198.35229536660574</v>
      </c>
      <c r="F47">
        <f>F27</f>
        <v>64</v>
      </c>
      <c r="G47">
        <f ca="1">F31</f>
        <v>128.492287062944</v>
      </c>
      <c r="H47">
        <f>F27</f>
        <v>64</v>
      </c>
      <c r="I47">
        <f ca="1">F31</f>
        <v>128.492287062944</v>
      </c>
      <c r="J47">
        <f>F27</f>
        <v>64</v>
      </c>
      <c r="K47">
        <f>F32</f>
        <v>88.473600000000005</v>
      </c>
    </row>
    <row r="49" spans="16:29" x14ac:dyDescent="0.3">
      <c r="P49" s="46" t="s">
        <v>104</v>
      </c>
      <c r="Q49" s="46"/>
      <c r="R49" s="46"/>
      <c r="S49" s="46"/>
      <c r="T49" s="46"/>
      <c r="U49" s="46"/>
      <c r="V49" s="46"/>
      <c r="W49" s="46"/>
      <c r="X49" s="46"/>
      <c r="Y49" s="46"/>
      <c r="Z49" s="46"/>
      <c r="AA49" s="46"/>
      <c r="AB49" s="46"/>
      <c r="AC49" s="46"/>
    </row>
    <row r="50" spans="16:29" ht="28.8" x14ac:dyDescent="0.3">
      <c r="P50" s="2" t="s">
        <v>103</v>
      </c>
      <c r="Q50" s="2" t="s">
        <v>106</v>
      </c>
      <c r="R50" s="2"/>
      <c r="S50" s="2" t="s">
        <v>103</v>
      </c>
      <c r="T50" s="2" t="s">
        <v>120</v>
      </c>
      <c r="U50" s="2"/>
      <c r="V50" s="2" t="s">
        <v>103</v>
      </c>
      <c r="W50" s="2" t="s">
        <v>121</v>
      </c>
      <c r="X50" s="2"/>
      <c r="Y50" s="2" t="s">
        <v>103</v>
      </c>
      <c r="Z50" s="2" t="s">
        <v>122</v>
      </c>
      <c r="AA50" s="2"/>
      <c r="AB50" s="2" t="s">
        <v>103</v>
      </c>
      <c r="AC50" s="2" t="s">
        <v>123</v>
      </c>
    </row>
    <row r="51" spans="16:29" x14ac:dyDescent="0.3">
      <c r="P51" s="2">
        <f>B27</f>
        <v>24</v>
      </c>
      <c r="Q51" s="27">
        <f>B28</f>
        <v>52.391666666666659</v>
      </c>
      <c r="R51" s="2"/>
      <c r="S51" s="2">
        <f>P51</f>
        <v>24</v>
      </c>
      <c r="T51" s="2">
        <f ca="1">B29</f>
        <v>78.928571428571431</v>
      </c>
      <c r="U51" s="2"/>
      <c r="V51" s="2">
        <f>P51</f>
        <v>24</v>
      </c>
      <c r="W51" s="2">
        <f>B30</f>
        <v>25.132714285714286</v>
      </c>
      <c r="X51" s="2"/>
      <c r="Y51" s="2">
        <f>P51</f>
        <v>24</v>
      </c>
      <c r="Z51" s="2">
        <f ca="1">B31</f>
        <v>68</v>
      </c>
      <c r="AA51" s="2"/>
      <c r="AB51" s="2">
        <f>P51</f>
        <v>24</v>
      </c>
      <c r="AC51">
        <f>B32</f>
        <v>18</v>
      </c>
    </row>
    <row r="52" spans="16:29" x14ac:dyDescent="0.3">
      <c r="P52" s="2">
        <f>P51+1</f>
        <v>25</v>
      </c>
      <c r="Q52" s="2">
        <f>Q51+(Q51*0.0115)</f>
        <v>52.994170833333328</v>
      </c>
      <c r="R52" s="2"/>
      <c r="S52" s="2">
        <f>S51+1</f>
        <v>25</v>
      </c>
      <c r="T52" s="2">
        <f ca="1">T51+(T51*0.0123)</f>
        <v>79.899392857142857</v>
      </c>
      <c r="U52" s="2"/>
      <c r="V52" s="2">
        <f>V51+1</f>
        <v>25</v>
      </c>
      <c r="W52" s="2">
        <f>W51+(W51*0.011)</f>
        <v>25.409174142857143</v>
      </c>
      <c r="X52" s="2"/>
      <c r="Y52" s="2">
        <f>Y51+1</f>
        <v>25</v>
      </c>
      <c r="Z52" s="2">
        <f ca="1">Z51+(Z51*0.0099)</f>
        <v>68.673199999999994</v>
      </c>
      <c r="AA52" s="2"/>
      <c r="AB52" s="2">
        <f>AB51+1</f>
        <v>25</v>
      </c>
      <c r="AC52">
        <f>AC51+(AC51*0.02)</f>
        <v>18.36</v>
      </c>
    </row>
    <row r="53" spans="16:29" x14ac:dyDescent="0.3">
      <c r="P53" s="2">
        <f t="shared" ref="P53:P61" si="7">P52+1</f>
        <v>26</v>
      </c>
      <c r="Q53" s="2">
        <f t="shared" ref="Q53:Q61" si="8">Q52+(Q52*0.0115)</f>
        <v>53.603603797916662</v>
      </c>
      <c r="R53" s="2"/>
      <c r="S53" s="2">
        <f t="shared" ref="S53:S61" si="9">S52+1</f>
        <v>26</v>
      </c>
      <c r="T53" s="2">
        <f t="shared" ref="T53:T61" ca="1" si="10">T52+(T52*0.0123)</f>
        <v>80.882155389285714</v>
      </c>
      <c r="U53" s="2"/>
      <c r="V53" s="2">
        <f t="shared" ref="V53:V61" si="11">V52+1</f>
        <v>26</v>
      </c>
      <c r="W53" s="2">
        <f t="shared" ref="W53:W61" si="12">W52+(W52*0.011)</f>
        <v>25.688675058428572</v>
      </c>
      <c r="X53" s="2"/>
      <c r="Y53" s="2">
        <f t="shared" ref="Y53:Y61" si="13">Y52+1</f>
        <v>26</v>
      </c>
      <c r="Z53" s="2">
        <f t="shared" ref="Z53:Z61" ca="1" si="14">Z52+(Z52*0.0099)</f>
        <v>69.353064679999989</v>
      </c>
      <c r="AA53" s="2"/>
      <c r="AB53" s="2">
        <f t="shared" ref="AB53:AB61" si="15">AB52+1</f>
        <v>26</v>
      </c>
      <c r="AC53">
        <f t="shared" ref="AC53:AC61" si="16">AC52+(AC52*0.02)</f>
        <v>18.7272</v>
      </c>
    </row>
    <row r="54" spans="16:29" x14ac:dyDescent="0.3">
      <c r="P54" s="2">
        <f t="shared" si="7"/>
        <v>27</v>
      </c>
      <c r="Q54" s="2">
        <f t="shared" si="8"/>
        <v>54.2200452415927</v>
      </c>
      <c r="R54" s="2"/>
      <c r="S54" s="2">
        <f t="shared" si="9"/>
        <v>27</v>
      </c>
      <c r="T54" s="2">
        <f t="shared" ca="1" si="10"/>
        <v>81.877005900573934</v>
      </c>
      <c r="U54" s="2"/>
      <c r="V54" s="2">
        <f t="shared" si="11"/>
        <v>27</v>
      </c>
      <c r="W54" s="2">
        <f t="shared" si="12"/>
        <v>25.971250484071287</v>
      </c>
      <c r="X54" s="2"/>
      <c r="Y54" s="2">
        <f t="shared" si="13"/>
        <v>27</v>
      </c>
      <c r="Z54" s="2">
        <f t="shared" ca="1" si="14"/>
        <v>70.039660020331993</v>
      </c>
      <c r="AA54" s="2"/>
      <c r="AB54" s="2">
        <f t="shared" si="15"/>
        <v>27</v>
      </c>
      <c r="AC54">
        <f t="shared" si="16"/>
        <v>19.101744</v>
      </c>
    </row>
    <row r="55" spans="16:29" x14ac:dyDescent="0.3">
      <c r="P55" s="2">
        <f t="shared" si="7"/>
        <v>28</v>
      </c>
      <c r="Q55" s="2">
        <f t="shared" si="8"/>
        <v>54.843575761871016</v>
      </c>
      <c r="R55" s="2"/>
      <c r="S55" s="2">
        <f t="shared" si="9"/>
        <v>28</v>
      </c>
      <c r="T55" s="2">
        <f t="shared" ca="1" si="10"/>
        <v>82.884093073150993</v>
      </c>
      <c r="U55" s="2"/>
      <c r="V55" s="2">
        <f t="shared" si="11"/>
        <v>28</v>
      </c>
      <c r="W55" s="2">
        <f t="shared" si="12"/>
        <v>26.25693423939607</v>
      </c>
      <c r="X55" s="2"/>
      <c r="Y55" s="2">
        <f t="shared" si="13"/>
        <v>28</v>
      </c>
      <c r="Z55" s="2">
        <f t="shared" ca="1" si="14"/>
        <v>70.733052654533282</v>
      </c>
      <c r="AA55" s="2"/>
      <c r="AB55" s="2">
        <f t="shared" si="15"/>
        <v>28</v>
      </c>
      <c r="AC55">
        <f t="shared" si="16"/>
        <v>19.483778879999999</v>
      </c>
    </row>
    <row r="56" spans="16:29" x14ac:dyDescent="0.3">
      <c r="P56" s="2">
        <f t="shared" si="7"/>
        <v>29</v>
      </c>
      <c r="Q56" s="2">
        <f t="shared" si="8"/>
        <v>55.474276883132532</v>
      </c>
      <c r="R56" s="2"/>
      <c r="S56" s="2">
        <f t="shared" si="9"/>
        <v>29</v>
      </c>
      <c r="T56" s="2">
        <f t="shared" ca="1" si="10"/>
        <v>83.903567417950754</v>
      </c>
      <c r="U56" s="2"/>
      <c r="V56" s="2">
        <f t="shared" si="11"/>
        <v>29</v>
      </c>
      <c r="W56" s="2">
        <f t="shared" si="12"/>
        <v>26.545760516029429</v>
      </c>
      <c r="X56" s="2"/>
      <c r="Y56" s="2">
        <f t="shared" si="13"/>
        <v>29</v>
      </c>
      <c r="Z56" s="2">
        <f t="shared" ca="1" si="14"/>
        <v>71.433309875813165</v>
      </c>
      <c r="AA56" s="2"/>
      <c r="AB56" s="2">
        <f t="shared" si="15"/>
        <v>29</v>
      </c>
      <c r="AC56">
        <f t="shared" si="16"/>
        <v>19.873454457599998</v>
      </c>
    </row>
    <row r="57" spans="16:29" x14ac:dyDescent="0.3">
      <c r="P57" s="2">
        <f t="shared" si="7"/>
        <v>30</v>
      </c>
      <c r="Q57" s="2">
        <f t="shared" si="8"/>
        <v>56.112231067288555</v>
      </c>
      <c r="R57" s="2"/>
      <c r="S57" s="2">
        <f t="shared" si="9"/>
        <v>30</v>
      </c>
      <c r="T57" s="2">
        <f t="shared" ca="1" si="10"/>
        <v>84.935581297191547</v>
      </c>
      <c r="U57" s="2"/>
      <c r="V57" s="2">
        <f t="shared" si="11"/>
        <v>30</v>
      </c>
      <c r="W57" s="2">
        <f t="shared" si="12"/>
        <v>26.837763881705751</v>
      </c>
      <c r="X57" s="2"/>
      <c r="Y57" s="2">
        <f t="shared" si="13"/>
        <v>30</v>
      </c>
      <c r="Z57" s="2">
        <f t="shared" ca="1" si="14"/>
        <v>72.140499643583709</v>
      </c>
      <c r="AA57" s="2"/>
      <c r="AB57" s="2">
        <f t="shared" si="15"/>
        <v>30</v>
      </c>
      <c r="AC57">
        <f t="shared" si="16"/>
        <v>20.270923546751998</v>
      </c>
    </row>
    <row r="58" spans="16:29" x14ac:dyDescent="0.3">
      <c r="P58" s="2">
        <f t="shared" si="7"/>
        <v>31</v>
      </c>
      <c r="Q58" s="2">
        <f t="shared" si="8"/>
        <v>56.757521724562373</v>
      </c>
      <c r="R58" s="2"/>
      <c r="S58" s="2">
        <f t="shared" si="9"/>
        <v>31</v>
      </c>
      <c r="T58" s="2">
        <f t="shared" ca="1" si="10"/>
        <v>85.980288947147002</v>
      </c>
      <c r="U58" s="2"/>
      <c r="V58" s="2">
        <f t="shared" si="11"/>
        <v>31</v>
      </c>
      <c r="W58" s="2">
        <f t="shared" si="12"/>
        <v>27.132979284404513</v>
      </c>
      <c r="X58" s="2"/>
      <c r="Y58" s="2">
        <f t="shared" si="13"/>
        <v>31</v>
      </c>
      <c r="Z58" s="2">
        <f t="shared" ca="1" si="14"/>
        <v>72.854690590055185</v>
      </c>
      <c r="AA58" s="2"/>
      <c r="AB58" s="2">
        <f t="shared" si="15"/>
        <v>31</v>
      </c>
      <c r="AC58">
        <f t="shared" si="16"/>
        <v>20.676342017687038</v>
      </c>
    </row>
    <row r="59" spans="16:29" x14ac:dyDescent="0.3">
      <c r="P59" s="2">
        <f t="shared" si="7"/>
        <v>32</v>
      </c>
      <c r="Q59" s="2">
        <f t="shared" si="8"/>
        <v>57.410233224394844</v>
      </c>
      <c r="R59" s="2"/>
      <c r="S59" s="2">
        <f t="shared" si="9"/>
        <v>32</v>
      </c>
      <c r="T59" s="2">
        <f t="shared" ca="1" si="10"/>
        <v>87.03784650119691</v>
      </c>
      <c r="U59" s="2"/>
      <c r="V59" s="2">
        <f t="shared" si="11"/>
        <v>32</v>
      </c>
      <c r="W59" s="2">
        <f t="shared" si="12"/>
        <v>27.431442056532962</v>
      </c>
      <c r="X59" s="2"/>
      <c r="Y59" s="2">
        <f t="shared" si="13"/>
        <v>32</v>
      </c>
      <c r="Z59" s="2">
        <f t="shared" ca="1" si="14"/>
        <v>73.575952026896729</v>
      </c>
      <c r="AA59" s="2"/>
      <c r="AB59" s="2">
        <f t="shared" si="15"/>
        <v>32</v>
      </c>
      <c r="AC59">
        <f t="shared" si="16"/>
        <v>21.089868858040777</v>
      </c>
    </row>
    <row r="60" spans="16:29" x14ac:dyDescent="0.3">
      <c r="P60" s="2">
        <f t="shared" si="7"/>
        <v>33</v>
      </c>
      <c r="Q60" s="2">
        <f t="shared" si="8"/>
        <v>58.070450906475386</v>
      </c>
      <c r="R60" s="2"/>
      <c r="S60" s="2">
        <f t="shared" si="9"/>
        <v>33</v>
      </c>
      <c r="T60" s="2">
        <f t="shared" ca="1" si="10"/>
        <v>88.108412013161626</v>
      </c>
      <c r="U60" s="2"/>
      <c r="V60" s="2">
        <f t="shared" si="11"/>
        <v>33</v>
      </c>
      <c r="W60" s="2">
        <f t="shared" si="12"/>
        <v>27.733187919154826</v>
      </c>
      <c r="X60" s="2"/>
      <c r="Y60" s="2">
        <f t="shared" si="13"/>
        <v>33</v>
      </c>
      <c r="Z60" s="2">
        <f t="shared" ca="1" si="14"/>
        <v>74.304353951963009</v>
      </c>
      <c r="AA60" s="2"/>
      <c r="AB60" s="2">
        <f t="shared" si="15"/>
        <v>33</v>
      </c>
      <c r="AC60">
        <f t="shared" si="16"/>
        <v>21.511666235201591</v>
      </c>
    </row>
    <row r="61" spans="16:29" x14ac:dyDescent="0.3">
      <c r="P61" s="2">
        <f t="shared" si="7"/>
        <v>34</v>
      </c>
      <c r="Q61" s="2">
        <f t="shared" si="8"/>
        <v>58.738261091899851</v>
      </c>
      <c r="R61" s="2"/>
      <c r="S61" s="2">
        <f t="shared" si="9"/>
        <v>34</v>
      </c>
      <c r="T61" s="2">
        <f t="shared" ca="1" si="10"/>
        <v>89.192145480923514</v>
      </c>
      <c r="U61" s="2"/>
      <c r="V61" s="2">
        <f t="shared" si="11"/>
        <v>34</v>
      </c>
      <c r="W61" s="2">
        <f t="shared" si="12"/>
        <v>28.03825298626553</v>
      </c>
      <c r="X61" s="2"/>
      <c r="Y61" s="2">
        <f t="shared" si="13"/>
        <v>34</v>
      </c>
      <c r="Z61" s="2">
        <f t="shared" ca="1" si="14"/>
        <v>75.039967056087448</v>
      </c>
      <c r="AA61" s="2"/>
      <c r="AB61" s="2">
        <f t="shared" si="15"/>
        <v>34</v>
      </c>
      <c r="AC61">
        <f t="shared" si="16"/>
        <v>21.941899559905622</v>
      </c>
    </row>
  </sheetData>
  <mergeCells count="2">
    <mergeCell ref="A23:F23"/>
    <mergeCell ref="P49:AC49"/>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F3F2-19D1-402A-BF99-CE4614C1FAAF}">
  <dimension ref="A1:AB58"/>
  <sheetViews>
    <sheetView zoomScale="85" zoomScaleNormal="85" workbookViewId="0">
      <selection activeCell="L17" sqref="L17"/>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99</v>
      </c>
      <c r="D1" s="2" t="s">
        <v>14</v>
      </c>
      <c r="E1" s="2"/>
      <c r="F1" s="2" t="s">
        <v>38</v>
      </c>
      <c r="G1" s="2" t="s">
        <v>39</v>
      </c>
      <c r="H1" s="2" t="s">
        <v>40</v>
      </c>
      <c r="I1" s="2" t="s">
        <v>41</v>
      </c>
      <c r="J1" s="2"/>
      <c r="K1" s="2"/>
      <c r="L1" s="2"/>
      <c r="M1" s="2" t="s">
        <v>42</v>
      </c>
      <c r="N1" s="2"/>
      <c r="O1" s="2"/>
    </row>
    <row r="2" spans="1:15" ht="28.8" x14ac:dyDescent="0.3">
      <c r="A2" s="8" t="s">
        <v>12</v>
      </c>
      <c r="B2" s="8">
        <v>61</v>
      </c>
      <c r="D2" s="9" t="s">
        <v>15</v>
      </c>
      <c r="E2" s="9">
        <v>24</v>
      </c>
      <c r="F2" s="2">
        <f>E2+(E2/100*10)</f>
        <v>26.4</v>
      </c>
      <c r="G2" s="2">
        <f>F2+(F2/100*10)</f>
        <v>29.04</v>
      </c>
      <c r="H2" s="2">
        <f>G2+(G2/100*10)</f>
        <v>31.943999999999999</v>
      </c>
      <c r="I2" s="2">
        <f>H2+(H2/100*15)</f>
        <v>36.735599999999998</v>
      </c>
      <c r="J2" s="9"/>
      <c r="K2" s="2"/>
      <c r="L2" s="9" t="s">
        <v>0</v>
      </c>
      <c r="M2" s="28">
        <f>B27+ ((1 -((E2 / 30.2) * 0.7 )-((E3/ 100) * 0.3 )) *100)</f>
        <v>78.370860927152322</v>
      </c>
      <c r="N2" s="2"/>
      <c r="O2" s="2"/>
    </row>
    <row r="3" spans="1:15" ht="105" x14ac:dyDescent="0.3">
      <c r="A3" s="8" t="s">
        <v>93</v>
      </c>
      <c r="B3" s="26" t="s">
        <v>100</v>
      </c>
      <c r="D3" s="9" t="s">
        <v>16</v>
      </c>
      <c r="E3" s="9">
        <v>90</v>
      </c>
      <c r="F3" s="2">
        <f>E3-(E3/100*10)</f>
        <v>81</v>
      </c>
      <c r="G3" s="2">
        <f>F3-(F3/100*10)</f>
        <v>72.900000000000006</v>
      </c>
      <c r="H3" s="2">
        <f>G3-(G3/100*15)</f>
        <v>61.965000000000003</v>
      </c>
      <c r="I3" s="2">
        <f>H3-(H3/100*15)</f>
        <v>52.670250000000003</v>
      </c>
      <c r="J3" s="9"/>
      <c r="K3" s="2"/>
      <c r="L3" s="10" t="s">
        <v>1</v>
      </c>
      <c r="M3" s="10">
        <f ca="1">((J4/100*50)+(J5/100*25)+(J6/100*25))</f>
        <v>48.125</v>
      </c>
      <c r="N3" s="2"/>
      <c r="O3" s="25" t="s">
        <v>8</v>
      </c>
    </row>
    <row r="4" spans="1:15" ht="18" customHeight="1" x14ac:dyDescent="0.3">
      <c r="D4" s="10" t="s">
        <v>18</v>
      </c>
      <c r="E4" s="10">
        <v>51</v>
      </c>
      <c r="F4" s="2">
        <f>E4-(E4/100*10)</f>
        <v>45.9</v>
      </c>
      <c r="G4" s="2">
        <f>F4+(F4/100*10)</f>
        <v>50.489999999999995</v>
      </c>
      <c r="H4" s="2">
        <f>G4+(G4/100*6)+(G4/100*6)</f>
        <v>56.5488</v>
      </c>
      <c r="I4" s="2">
        <f>H4+((H4/100)*15)</f>
        <v>65.031120000000001</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30</v>
      </c>
      <c r="K4" s="2"/>
      <c r="L4" s="11" t="s">
        <v>2</v>
      </c>
      <c r="M4" s="11">
        <f>B27 - 9*M11</f>
        <v>63.302500000000002</v>
      </c>
      <c r="N4" s="2"/>
      <c r="O4" s="25">
        <f ca="1">A37</f>
        <v>67.869797185430457</v>
      </c>
    </row>
    <row r="5" spans="1:15" ht="28.8" x14ac:dyDescent="0.3">
      <c r="D5" s="10" t="s">
        <v>19</v>
      </c>
      <c r="E5" s="10">
        <v>2.8</v>
      </c>
      <c r="F5" s="2">
        <f>E5+(E5/100*12)</f>
        <v>3.1359999999999997</v>
      </c>
      <c r="G5" s="2">
        <f>F5+(F5/100*12)</f>
        <v>3.5123199999999999</v>
      </c>
      <c r="H5" s="2">
        <f>G5+(G5/100*1.2) + (G5/100* 13.5)</f>
        <v>4.0286310400000005</v>
      </c>
      <c r="I5" s="2">
        <f>H5+(H5/100*15)</f>
        <v>4.6329256960000009</v>
      </c>
      <c r="J5" s="10">
        <f ca="1">FORECAST(E5, OFFSET(Strength_Normative_Data!$O$3, MATCH(E5, Strength_Normative_Data!$P$3:$P$17, -1)-1, 0, 2), OFFSET(Strength_Normative_Data!$P$3, MATCH(E5, Strength_Normative_Data!$P$3:$P$17, -1)-1, 0, 2))</f>
        <v>57.5</v>
      </c>
      <c r="K5" s="2"/>
      <c r="L5" s="12" t="s">
        <v>29</v>
      </c>
      <c r="M5" s="12">
        <f ca="1">((J14/100*30)+(J15/100*25)+(J16/100*30)+(J17/100*15))</f>
        <v>80.25</v>
      </c>
      <c r="N5" s="2"/>
      <c r="O5" s="2"/>
    </row>
    <row r="6" spans="1:15" x14ac:dyDescent="0.3">
      <c r="D6" s="10" t="s">
        <v>20</v>
      </c>
      <c r="E6" s="10">
        <v>21.5</v>
      </c>
      <c r="F6" s="2">
        <f>E6+(E6/100*12)</f>
        <v>24.08</v>
      </c>
      <c r="G6" s="2">
        <f>F6+(F6/100*12)</f>
        <v>26.9696</v>
      </c>
      <c r="H6" s="2">
        <f>G6+(G6/100*1.2) + (G6/100* 13.5)</f>
        <v>30.934131199999996</v>
      </c>
      <c r="I6" s="2">
        <f>H6+(H6/100*15)</f>
        <v>35.574250879999994</v>
      </c>
      <c r="J6" s="10">
        <f ca="1">FORECAST(E6, OFFSET(Strength_Normative_Data!$J$3, MATCH(E6, Strength_Normative_Data!$K$3:$K$16, -1)-1, 0, 2), OFFSET(Strength_Normative_Data!$K$3, MATCH(E6, Strength_Normative_Data!$K$3:$K$16, -1)-1, 0, 2))</f>
        <v>75</v>
      </c>
      <c r="K6" s="2"/>
      <c r="L6" s="13" t="s">
        <v>4</v>
      </c>
      <c r="M6" s="13">
        <f>((J18/100*60)+(J19/100*40))</f>
        <v>71.300000000000011</v>
      </c>
      <c r="N6" s="2"/>
      <c r="O6" s="2"/>
    </row>
    <row r="7" spans="1:15" x14ac:dyDescent="0.3">
      <c r="D7" s="11" t="s">
        <v>22</v>
      </c>
      <c r="E7" s="11">
        <v>30</v>
      </c>
      <c r="F7" s="2">
        <f>E7+(E7/100*6)</f>
        <v>31.8</v>
      </c>
      <c r="G7" s="2">
        <f t="shared" ref="G7:I7" si="0">F7+(F7/100*6)</f>
        <v>33.707999999999998</v>
      </c>
      <c r="H7" s="2">
        <f t="shared" si="0"/>
        <v>35.73048</v>
      </c>
      <c r="I7" s="2">
        <f t="shared" si="0"/>
        <v>37.874308800000001</v>
      </c>
      <c r="J7" s="11"/>
      <c r="K7" s="2"/>
      <c r="L7" s="2"/>
      <c r="M7" s="2"/>
      <c r="N7" s="2"/>
      <c r="O7" s="2"/>
    </row>
    <row r="8" spans="1:15" ht="28.8" x14ac:dyDescent="0.3">
      <c r="D8" s="11" t="s">
        <v>23</v>
      </c>
      <c r="E8" s="11">
        <v>0.62</v>
      </c>
      <c r="F8" s="2">
        <f>E8+(E8/100*4)</f>
        <v>0.64480000000000004</v>
      </c>
      <c r="G8" s="2">
        <f t="shared" ref="G8:I8" si="1">F8+(F8/100*4)</f>
        <v>0.67059200000000008</v>
      </c>
      <c r="H8" s="2">
        <f t="shared" si="1"/>
        <v>0.69741568000000009</v>
      </c>
      <c r="I8" s="2">
        <f t="shared" si="1"/>
        <v>0.72531230720000006</v>
      </c>
      <c r="J8" s="11">
        <f xml:space="preserve">
IF(E8&lt;=0.4,0,
IF(E8&lt;=0.5,20*(E8-0.4)/0.1,
IF(E8&lt;=0.6,20+40*(E8-0.5)/0.1,
60+40*(MIN(E8,0.75)-0.6)/0.15)))</f>
        <v>65.333333333333343</v>
      </c>
      <c r="K8" s="2"/>
      <c r="L8" s="2"/>
      <c r="M8" s="2"/>
      <c r="N8" s="2"/>
      <c r="O8" s="2"/>
    </row>
    <row r="9" spans="1:15" ht="28.8" x14ac:dyDescent="0.3">
      <c r="D9" s="11" t="s">
        <v>24</v>
      </c>
      <c r="E9" s="11">
        <v>6.1</v>
      </c>
      <c r="F9" s="2"/>
      <c r="G9" s="2"/>
      <c r="H9" s="2"/>
      <c r="I9" s="2"/>
      <c r="J9" s="11"/>
      <c r="K9" s="2"/>
      <c r="L9" s="2"/>
      <c r="M9" s="2"/>
      <c r="N9" s="2"/>
      <c r="O9" s="2"/>
    </row>
    <row r="10" spans="1:15" ht="28.8" x14ac:dyDescent="0.3">
      <c r="D10" s="11" t="s">
        <v>25</v>
      </c>
      <c r="E10" s="11">
        <v>6</v>
      </c>
      <c r="F10" s="2">
        <f>E10+(E10/100*5)</f>
        <v>6.3</v>
      </c>
      <c r="G10" s="2">
        <f t="shared" ref="G10:I10" si="2">F10+(F10/100*5)</f>
        <v>6.6150000000000002</v>
      </c>
      <c r="H10" s="2">
        <f t="shared" si="2"/>
        <v>6.9457500000000003</v>
      </c>
      <c r="I10" s="2">
        <f t="shared" si="2"/>
        <v>7.2930375000000005</v>
      </c>
      <c r="J10" s="11">
        <f xml:space="preserve">
IF(E10&lt;5.7,10*(E10/5.7),
IF(E10&lt;6.5,10+40*(E10-5.7)/0.8,
50+50*(MIN(E10,9)-6.5)/2.5))</f>
        <v>24.999999999999993</v>
      </c>
      <c r="K10" s="2"/>
      <c r="L10" s="2" t="s">
        <v>89</v>
      </c>
      <c r="M10" s="2" t="s">
        <v>90</v>
      </c>
      <c r="N10" s="2"/>
      <c r="O10" s="2"/>
    </row>
    <row r="11" spans="1:15" x14ac:dyDescent="0.3">
      <c r="D11" s="11" t="s">
        <v>26</v>
      </c>
      <c r="E11" s="11">
        <v>3.2</v>
      </c>
      <c r="F11" s="2">
        <f>E11+(E11/100*14)</f>
        <v>3.6480000000000001</v>
      </c>
      <c r="G11" s="2">
        <f t="shared" ref="G11:I11" si="3">F11+(F11/100*14)</f>
        <v>4.1587199999999998</v>
      </c>
      <c r="H11" s="2">
        <f t="shared" si="3"/>
        <v>4.7409407999999997</v>
      </c>
      <c r="I11" s="2">
        <f t="shared" si="3"/>
        <v>5.4046725119999994</v>
      </c>
      <c r="J11" s="11">
        <f xml:space="preserve">
IF(E11&lt;1.6,10*(E11/1.6),
IF(E11&lt;3,10+40*(E11-1.6)/1.4,
50+50*(MIN(E11,7)-3)/4))</f>
        <v>52.5</v>
      </c>
      <c r="K11" s="2"/>
      <c r="L11" s="2">
        <f>(0.3*K12)+(0.2*J8)+(0.15*J10)+(0.25*J11)+(0.1*J13)</f>
        <v>47.791666666666671</v>
      </c>
      <c r="M11" s="2">
        <f xml:space="preserve">
IF(L11&lt;=10,1.5-0.1*L11,
IF(L11&lt;=60,0.5-0.02*(L11-10),
-0.5-0.03*(L11-60)))</f>
        <v>-0.25583333333333347</v>
      </c>
      <c r="N11" s="2"/>
      <c r="O11" s="2"/>
    </row>
    <row r="12" spans="1:15" x14ac:dyDescent="0.3">
      <c r="D12" s="11" t="s">
        <v>27</v>
      </c>
      <c r="E12" s="11">
        <v>1.25</v>
      </c>
      <c r="F12" s="2">
        <f>E12+(E12/100*6)</f>
        <v>1.325</v>
      </c>
      <c r="G12" s="2">
        <f t="shared" ref="G12:I12" si="4">F12+(F12/100*6)</f>
        <v>1.4044999999999999</v>
      </c>
      <c r="H12" s="2">
        <f t="shared" si="4"/>
        <v>1.4887699999999999</v>
      </c>
      <c r="I12" s="2">
        <f t="shared" si="4"/>
        <v>1.5780961999999998</v>
      </c>
      <c r="J12" s="11">
        <f>E12*100</f>
        <v>125</v>
      </c>
      <c r="K12" s="11">
        <f xml:space="preserve">
IF(J12&lt;80,5*(J12/80),
IF(J12&lt;100,10+20*(J12-80)/20,
IF(J12&lt;130,30+25*(J12-100)/30,
IF(J12&lt;160,55+25*(J12-130)/30,
IF(J12&lt;200,80+20*(J12-160)/40,100)))))</f>
        <v>50.833333333333329</v>
      </c>
      <c r="L12" s="2"/>
      <c r="M12" s="2"/>
      <c r="N12" s="2"/>
      <c r="O12" s="2"/>
    </row>
    <row r="13" spans="1:15" x14ac:dyDescent="0.3">
      <c r="D13" s="11" t="s">
        <v>28</v>
      </c>
      <c r="E13" s="11">
        <v>1.8</v>
      </c>
      <c r="F13" s="2">
        <f>E13+(E13/100*18)</f>
        <v>2.1240000000000001</v>
      </c>
      <c r="G13" s="2">
        <f t="shared" ref="G13:I13" si="5">F13+(F13/100*18)</f>
        <v>2.5063200000000001</v>
      </c>
      <c r="H13" s="2">
        <f t="shared" si="5"/>
        <v>2.9574576000000001</v>
      </c>
      <c r="I13" s="2">
        <f t="shared" si="5"/>
        <v>3.4897999680000003</v>
      </c>
      <c r="J13" s="11">
        <f xml:space="preserve">
IF(E13&lt;1,10*(E13/1),
IF(E13&lt;3,10+40*(E13-1)/2,
50+50*(MIN(E13,10)-3)/7))</f>
        <v>26</v>
      </c>
      <c r="K13" s="2"/>
      <c r="L13" s="2"/>
      <c r="M13" s="2"/>
      <c r="N13" s="2"/>
      <c r="O13" s="2"/>
    </row>
    <row r="14" spans="1:15" x14ac:dyDescent="0.3">
      <c r="D14" s="12" t="s">
        <v>30</v>
      </c>
      <c r="E14" s="12">
        <v>0.9</v>
      </c>
      <c r="F14" s="2">
        <f>E14-(E14/100*6)</f>
        <v>0.84599999999999997</v>
      </c>
      <c r="G14" s="2">
        <f>F14+(F14/100*6)</f>
        <v>0.89676</v>
      </c>
      <c r="H14" s="2">
        <f>G14+(G14/100*7)</f>
        <v>0.95953319999999998</v>
      </c>
      <c r="I14" s="2">
        <f>H14+(H14/100*7)</f>
        <v>1.026700524</v>
      </c>
      <c r="J14" s="12">
        <f ca="1">IFERROR(FORECAST(E14, OFFSET(Mobility_Normative_Data!$A$3, MATCH(E14, Mobility_Normative_Data!$B$3:$B$17, -1)-1, 0, 2), OFFSET(Mobility_Normative_Data!$B$3, MATCH(E14, Mobility_Normative_Data!$B$3:$B$17, -1)-1, 0, 2)), INDEX(Mobility_Normative_Data!$A$3:$A$17, MATCH(E14, Mobility_Normative_Data!$B$3:$B$17, -1)))</f>
        <v>80</v>
      </c>
      <c r="K14" s="2"/>
      <c r="L14" s="2"/>
      <c r="M14" s="2"/>
      <c r="N14" s="2"/>
      <c r="O14" s="2"/>
    </row>
    <row r="15" spans="1:15" ht="28.8" x14ac:dyDescent="0.3">
      <c r="D15" s="12" t="s">
        <v>31</v>
      </c>
      <c r="E15" s="12">
        <v>10.199999999999999</v>
      </c>
      <c r="F15" s="2">
        <f>E15+(E15/100*10)</f>
        <v>11.219999999999999</v>
      </c>
      <c r="G15" s="2">
        <f>F15+(F15/100*10)</f>
        <v>12.341999999999999</v>
      </c>
      <c r="H15" s="2">
        <f>G15+(G15/100*10)</f>
        <v>13.576199999999998</v>
      </c>
      <c r="I15" s="2">
        <f>H15+(H15/100*10)</f>
        <v>14.933819999999997</v>
      </c>
      <c r="J15" s="12">
        <f ca="1">FORECAST(E15, OFFSET(Mobility_Normative_Data!$E$3, MATCH(E15, Mobility_Normative_Data!$F$3:$F$18, 1)-1, 0, 2), OFFSET(Mobility_Normative_Data!$F$3, MATCH(E15, Mobility_Normative_Data!$F$3:$F$18, 1)-1, 0, 2))</f>
        <v>81</v>
      </c>
      <c r="K15" s="2"/>
      <c r="L15" s="2"/>
      <c r="M15" s="2"/>
      <c r="N15" s="2"/>
      <c r="O15" s="2"/>
    </row>
    <row r="16" spans="1:15" ht="28.8" x14ac:dyDescent="0.3">
      <c r="D16" s="12" t="s">
        <v>32</v>
      </c>
      <c r="E16" s="12">
        <v>8</v>
      </c>
      <c r="F16" s="2">
        <f>E16+(E16/100*20)</f>
        <v>9.6</v>
      </c>
      <c r="G16" s="2">
        <f>F16+(F16/100*20)</f>
        <v>11.52</v>
      </c>
      <c r="H16" s="2">
        <f t="shared" ref="H16:I16" si="6">G16+(G16/100*20)</f>
        <v>13.824</v>
      </c>
      <c r="I16" s="2">
        <f t="shared" si="6"/>
        <v>16.588799999999999</v>
      </c>
      <c r="J16" s="12">
        <f ca="1">FORECAST(E16, OFFSET(Mobility_Normative_Data!$I$3, MATCH(E16, Mobility_Normative_Data!$J$3:$J$17, -1)-1, 0, 2), OFFSET(Mobility_Normative_Data!$J$3, MATCH(E16, Mobility_Normative_Data!$J$3:$J$17, -1)-1, 0, 2))</f>
        <v>83.333333333333343</v>
      </c>
      <c r="K16" s="2"/>
      <c r="L16" s="2"/>
      <c r="M16" s="2"/>
      <c r="N16" s="2"/>
      <c r="O16" s="2"/>
    </row>
    <row r="17" spans="1:15" x14ac:dyDescent="0.3">
      <c r="D17" s="12" t="s">
        <v>33</v>
      </c>
      <c r="E17" s="12">
        <v>24</v>
      </c>
      <c r="F17" s="2">
        <f>E17+(E17/100*10)</f>
        <v>26.4</v>
      </c>
      <c r="G17" s="2">
        <f>F17+(F17/100*10)</f>
        <v>29.04</v>
      </c>
      <c r="H17" s="2">
        <f>G17+(G17/100*10)</f>
        <v>31.943999999999999</v>
      </c>
      <c r="I17" s="2">
        <f>H17+(H17/100*10)</f>
        <v>35.138399999999997</v>
      </c>
      <c r="J17" s="12">
        <f ca="1">FORECAST(E17, OFFSET(Mobility_Normative_Data!$M$3, MATCH(E17, Mobility_Normative_Data!$N$3:$N$17, -1)-1, 0, 2), OFFSET(Mobility_Normative_Data!$N$3, MATCH(E17, Mobility_Normative_Data!$N$3:$N$17, -1)-1, 0, 2))</f>
        <v>73.333333333333343</v>
      </c>
      <c r="K17" s="2"/>
      <c r="L17" s="2"/>
      <c r="M17" s="2"/>
      <c r="N17" s="2"/>
      <c r="O17" s="2"/>
    </row>
    <row r="18" spans="1:15" ht="28.8" x14ac:dyDescent="0.3">
      <c r="D18" s="13" t="s">
        <v>35</v>
      </c>
      <c r="E18" s="13">
        <v>-0.5</v>
      </c>
      <c r="F18" s="2">
        <f>E18 +(-0.2)</f>
        <v>-0.7</v>
      </c>
      <c r="G18" s="2">
        <f>F18 +(-0.2)</f>
        <v>-0.89999999999999991</v>
      </c>
      <c r="H18" s="2">
        <f>G18 +(-0.3)</f>
        <v>-1.2</v>
      </c>
      <c r="I18" s="2">
        <f>H18 +(-0.3)</f>
        <v>-1.5</v>
      </c>
      <c r="J18" s="13">
        <f>MAX(18,B27-(E18*25))</f>
        <v>73.5</v>
      </c>
      <c r="K18" s="2"/>
      <c r="L18" s="2"/>
      <c r="M18" s="2"/>
      <c r="N18" s="2"/>
      <c r="O18" s="2"/>
    </row>
    <row r="19" spans="1:15" ht="28.8" x14ac:dyDescent="0.3">
      <c r="D19" s="13" t="s">
        <v>36</v>
      </c>
      <c r="E19" s="13">
        <v>-0.2</v>
      </c>
      <c r="F19" s="2">
        <f>E19+(-0.2)</f>
        <v>-0.4</v>
      </c>
      <c r="G19" s="2">
        <f>F19 +(-0.2)</f>
        <v>-0.60000000000000009</v>
      </c>
      <c r="H19" s="2">
        <f>G19 +(-0.3)</f>
        <v>-0.90000000000000013</v>
      </c>
      <c r="I19" s="2">
        <f>H19 +(-0.3)</f>
        <v>-1.2000000000000002</v>
      </c>
      <c r="J19" s="13">
        <f>MAX(18,B27-(E19*35))</f>
        <v>68</v>
      </c>
      <c r="K19" s="2"/>
      <c r="L19" s="2"/>
      <c r="M19" s="2"/>
      <c r="N19" s="2"/>
      <c r="O19" s="2"/>
    </row>
    <row r="23" spans="1:15" x14ac:dyDescent="0.3">
      <c r="A23" s="43" t="s">
        <v>37</v>
      </c>
      <c r="B23" s="43"/>
      <c r="C23" s="43"/>
      <c r="D23" s="43"/>
      <c r="E23" s="43"/>
      <c r="F23" s="43"/>
    </row>
    <row r="25" spans="1:15" x14ac:dyDescent="0.3">
      <c r="B25" t="s">
        <v>5</v>
      </c>
      <c r="C25" t="s">
        <v>6</v>
      </c>
      <c r="D25" t="s">
        <v>9</v>
      </c>
      <c r="E25" t="s">
        <v>10</v>
      </c>
      <c r="F25" t="s">
        <v>11</v>
      </c>
    </row>
    <row r="26" spans="1:15" x14ac:dyDescent="0.3">
      <c r="A26" t="s">
        <v>43</v>
      </c>
      <c r="B26" t="s">
        <v>44</v>
      </c>
    </row>
    <row r="27" spans="1:15" x14ac:dyDescent="0.3">
      <c r="A27" t="s">
        <v>7</v>
      </c>
      <c r="B27">
        <f>B2</f>
        <v>61</v>
      </c>
      <c r="C27">
        <f>B27+10</f>
        <v>71</v>
      </c>
      <c r="D27">
        <f>C27+10</f>
        <v>81</v>
      </c>
      <c r="E27">
        <f>D27+10</f>
        <v>91</v>
      </c>
      <c r="F27">
        <f>E27+10</f>
        <v>101</v>
      </c>
    </row>
    <row r="28" spans="1:15" x14ac:dyDescent="0.3">
      <c r="A28" t="s">
        <v>0</v>
      </c>
      <c r="B28" s="24">
        <f>M2</f>
        <v>78.370860927152322</v>
      </c>
      <c r="C28">
        <f>B28+(B28/100*11.5)</f>
        <v>87.383509933774832</v>
      </c>
      <c r="D28">
        <f>C28+(C28/100*32.2)</f>
        <v>115.52100013245033</v>
      </c>
      <c r="E28">
        <f>D28+(D28/100*32.2)</f>
        <v>152.71876217509933</v>
      </c>
      <c r="F28">
        <f>E28+(E28/100*32.2)</f>
        <v>201.89420359548132</v>
      </c>
    </row>
    <row r="29" spans="1:15" x14ac:dyDescent="0.3">
      <c r="A29" t="s">
        <v>1</v>
      </c>
      <c r="B29">
        <f ca="1">M3</f>
        <v>48.125</v>
      </c>
      <c r="C29">
        <f ca="1">B29+(B29/100*12.3)</f>
        <v>54.044375000000002</v>
      </c>
      <c r="D29">
        <f ca="1">C29+(C29/100*30.8)</f>
        <v>70.690042500000004</v>
      </c>
      <c r="E29">
        <f ca="1">D29+(D29/100*30.8)</f>
        <v>92.46257559</v>
      </c>
      <c r="F29">
        <f ca="1">E29+(E29/100*30.8)</f>
        <v>120.94104887172</v>
      </c>
    </row>
    <row r="30" spans="1:15" x14ac:dyDescent="0.3">
      <c r="A30" t="s">
        <v>2</v>
      </c>
      <c r="B30">
        <f>M4</f>
        <v>63.302500000000002</v>
      </c>
      <c r="C30">
        <f>B30+(B30/100*5.5)</f>
        <v>66.7841375</v>
      </c>
      <c r="D30">
        <f>C30+(C30/100*11)</f>
        <v>74.130392624999999</v>
      </c>
      <c r="E30">
        <f>D30+(D30/100*11)</f>
        <v>82.284735813750004</v>
      </c>
      <c r="F30">
        <f>E30+(E30/100*11)</f>
        <v>91.336056753262511</v>
      </c>
    </row>
    <row r="31" spans="1:15" x14ac:dyDescent="0.3">
      <c r="A31" t="s">
        <v>3</v>
      </c>
      <c r="B31">
        <f ca="1">M5</f>
        <v>80.25</v>
      </c>
      <c r="C31">
        <f ca="1">B31+(B31/100*9.9)</f>
        <v>88.194749999999999</v>
      </c>
      <c r="D31">
        <f ca="1">C31+(C31/100*19.8)</f>
        <v>105.65731049999999</v>
      </c>
      <c r="E31">
        <f ca="1">D31+(D31/100*19.8)</f>
        <v>126.577457979</v>
      </c>
      <c r="F31">
        <f ca="1">E31+(E31/100*19.8)</f>
        <v>151.63979465884199</v>
      </c>
    </row>
    <row r="32" spans="1:15" x14ac:dyDescent="0.3">
      <c r="A32" t="s">
        <v>4</v>
      </c>
      <c r="B32">
        <f>M6</f>
        <v>71.300000000000011</v>
      </c>
      <c r="C32">
        <f>B32+(B32/100*20)</f>
        <v>85.560000000000016</v>
      </c>
      <c r="D32">
        <f>C32+(C32/100*60)</f>
        <v>136.89600000000002</v>
      </c>
      <c r="E32">
        <f>D32+(D32/100*60)</f>
        <v>219.03360000000004</v>
      </c>
      <c r="F32">
        <f>E32+(E32/100*60)</f>
        <v>350.45376000000005</v>
      </c>
    </row>
    <row r="36" spans="1:28" x14ac:dyDescent="0.3">
      <c r="A36" t="s">
        <v>8</v>
      </c>
    </row>
    <row r="37" spans="1:28" x14ac:dyDescent="0.3">
      <c r="A37" s="1">
        <f ca="1">(B28/100*20)+(B29/100*20)+(B30/100*25)+(B31/100*20)+(B32/100*15)</f>
        <v>67.869797185430457</v>
      </c>
    </row>
    <row r="42" spans="1:28" x14ac:dyDescent="0.3">
      <c r="B42" t="s">
        <v>12</v>
      </c>
      <c r="C42" t="s">
        <v>0</v>
      </c>
      <c r="D42" t="s">
        <v>12</v>
      </c>
      <c r="E42" t="s">
        <v>1</v>
      </c>
      <c r="F42" t="s">
        <v>12</v>
      </c>
      <c r="G42" t="s">
        <v>2</v>
      </c>
      <c r="H42" t="s">
        <v>12</v>
      </c>
      <c r="I42" t="s">
        <v>3</v>
      </c>
      <c r="J42" t="s">
        <v>12</v>
      </c>
      <c r="K42" t="s">
        <v>4</v>
      </c>
    </row>
    <row r="43" spans="1:28" x14ac:dyDescent="0.3">
      <c r="B43">
        <f>B27</f>
        <v>61</v>
      </c>
      <c r="C43">
        <f>B28</f>
        <v>78.370860927152322</v>
      </c>
      <c r="D43">
        <f>B43</f>
        <v>61</v>
      </c>
      <c r="E43">
        <f ca="1">B29</f>
        <v>48.125</v>
      </c>
      <c r="F43">
        <f>B27</f>
        <v>61</v>
      </c>
      <c r="G43">
        <f>B30</f>
        <v>63.302500000000002</v>
      </c>
      <c r="H43">
        <f>B27</f>
        <v>61</v>
      </c>
      <c r="I43">
        <f ca="1">B31</f>
        <v>80.25</v>
      </c>
      <c r="J43">
        <f>B27</f>
        <v>61</v>
      </c>
      <c r="K43">
        <f>B32</f>
        <v>71.300000000000011</v>
      </c>
    </row>
    <row r="44" spans="1:28" x14ac:dyDescent="0.3">
      <c r="B44">
        <f>C27</f>
        <v>71</v>
      </c>
      <c r="C44">
        <f>C28</f>
        <v>87.383509933774832</v>
      </c>
      <c r="D44">
        <f>B44</f>
        <v>71</v>
      </c>
      <c r="E44">
        <f ca="1">C29</f>
        <v>54.044375000000002</v>
      </c>
      <c r="F44">
        <f>C27</f>
        <v>71</v>
      </c>
      <c r="G44">
        <f>C30</f>
        <v>66.7841375</v>
      </c>
      <c r="H44">
        <f>C27</f>
        <v>71</v>
      </c>
      <c r="I44">
        <f ca="1">C31</f>
        <v>88.194749999999999</v>
      </c>
      <c r="J44">
        <f>C27</f>
        <v>71</v>
      </c>
      <c r="K44">
        <f>C32</f>
        <v>85.560000000000016</v>
      </c>
    </row>
    <row r="45" spans="1:28" x14ac:dyDescent="0.3">
      <c r="B45">
        <f>D27</f>
        <v>81</v>
      </c>
      <c r="C45">
        <f>D28</f>
        <v>115.52100013245033</v>
      </c>
      <c r="D45">
        <f>D27</f>
        <v>81</v>
      </c>
      <c r="E45">
        <f ca="1">D29</f>
        <v>70.690042500000004</v>
      </c>
      <c r="F45">
        <f>D27</f>
        <v>81</v>
      </c>
      <c r="G45">
        <f>D30</f>
        <v>74.130392624999999</v>
      </c>
      <c r="H45">
        <f>D27</f>
        <v>81</v>
      </c>
      <c r="I45">
        <f ca="1">D31</f>
        <v>105.65731049999999</v>
      </c>
      <c r="J45">
        <f>D27</f>
        <v>81</v>
      </c>
      <c r="K45">
        <f>D32</f>
        <v>136.89600000000002</v>
      </c>
    </row>
    <row r="46" spans="1:28" x14ac:dyDescent="0.3">
      <c r="B46">
        <f>E27</f>
        <v>91</v>
      </c>
      <c r="C46">
        <f>E28</f>
        <v>152.71876217509933</v>
      </c>
      <c r="D46">
        <f>E27</f>
        <v>91</v>
      </c>
      <c r="E46">
        <f ca="1">E29</f>
        <v>92.46257559</v>
      </c>
      <c r="F46">
        <f>E27</f>
        <v>91</v>
      </c>
      <c r="G46">
        <f>E30</f>
        <v>82.284735813750004</v>
      </c>
      <c r="H46">
        <f>E27</f>
        <v>91</v>
      </c>
      <c r="I46">
        <f ca="1">E31</f>
        <v>126.577457979</v>
      </c>
      <c r="J46">
        <f>E27</f>
        <v>91</v>
      </c>
      <c r="K46">
        <f>E32</f>
        <v>219.03360000000004</v>
      </c>
      <c r="O46" s="46" t="s">
        <v>104</v>
      </c>
      <c r="P46" s="46"/>
      <c r="Q46" s="46"/>
      <c r="R46" s="46"/>
      <c r="S46" s="46"/>
      <c r="T46" s="46"/>
      <c r="U46" s="46"/>
      <c r="V46" s="46"/>
      <c r="W46" s="46"/>
      <c r="X46" s="46"/>
      <c r="Y46" s="46"/>
      <c r="Z46" s="46"/>
      <c r="AA46" s="46"/>
      <c r="AB46" s="46"/>
    </row>
    <row r="47" spans="1:28" ht="28.8" x14ac:dyDescent="0.3">
      <c r="B47">
        <f>F27</f>
        <v>101</v>
      </c>
      <c r="C47">
        <f>F28</f>
        <v>201.89420359548132</v>
      </c>
      <c r="D47">
        <f>F27</f>
        <v>101</v>
      </c>
      <c r="E47">
        <f ca="1">F29</f>
        <v>120.94104887172</v>
      </c>
      <c r="F47">
        <f>F27</f>
        <v>101</v>
      </c>
      <c r="G47">
        <f ca="1">F31</f>
        <v>151.63979465884199</v>
      </c>
      <c r="H47">
        <f>F27</f>
        <v>101</v>
      </c>
      <c r="I47">
        <f ca="1">F31</f>
        <v>151.63979465884199</v>
      </c>
      <c r="J47">
        <f>F27</f>
        <v>101</v>
      </c>
      <c r="K47">
        <f>F32</f>
        <v>350.45376000000005</v>
      </c>
      <c r="O47" s="2" t="s">
        <v>103</v>
      </c>
      <c r="P47" s="2" t="s">
        <v>106</v>
      </c>
      <c r="Q47" s="2"/>
      <c r="R47" s="2" t="s">
        <v>103</v>
      </c>
      <c r="S47" s="2" t="s">
        <v>120</v>
      </c>
      <c r="T47" s="2"/>
      <c r="U47" s="2" t="s">
        <v>103</v>
      </c>
      <c r="V47" s="2" t="s">
        <v>121</v>
      </c>
      <c r="W47" s="2"/>
      <c r="X47" s="2" t="s">
        <v>103</v>
      </c>
      <c r="Y47" s="2" t="s">
        <v>122</v>
      </c>
      <c r="Z47" s="2"/>
      <c r="AA47" s="2" t="s">
        <v>103</v>
      </c>
      <c r="AB47" s="2" t="s">
        <v>123</v>
      </c>
    </row>
    <row r="48" spans="1:28" x14ac:dyDescent="0.3">
      <c r="O48" s="2">
        <f>B27</f>
        <v>61</v>
      </c>
      <c r="P48" s="27">
        <f>M2</f>
        <v>78.370860927152322</v>
      </c>
      <c r="Q48" s="2"/>
      <c r="R48" s="2">
        <f>O48</f>
        <v>61</v>
      </c>
      <c r="S48" s="2">
        <f ca="1">M3</f>
        <v>48.125</v>
      </c>
      <c r="T48" s="2"/>
      <c r="U48" s="2">
        <f>O48</f>
        <v>61</v>
      </c>
      <c r="V48" s="2">
        <f>M4</f>
        <v>63.302500000000002</v>
      </c>
      <c r="W48" s="2"/>
      <c r="X48" s="2">
        <f>O48</f>
        <v>61</v>
      </c>
      <c r="Y48" s="2">
        <f ca="1">M5</f>
        <v>80.25</v>
      </c>
      <c r="Z48" s="2"/>
      <c r="AA48" s="2">
        <f>O48</f>
        <v>61</v>
      </c>
      <c r="AB48">
        <f>M6</f>
        <v>71.300000000000011</v>
      </c>
    </row>
    <row r="49" spans="15:28" x14ac:dyDescent="0.3">
      <c r="O49" s="2">
        <f>O48+1</f>
        <v>62</v>
      </c>
      <c r="P49" s="2">
        <f>P48+(P48*0.0115)</f>
        <v>79.272125827814577</v>
      </c>
      <c r="Q49" s="2"/>
      <c r="R49" s="2">
        <f>R48+1</f>
        <v>62</v>
      </c>
      <c r="S49" s="2">
        <f ca="1">S48+(S48*0.0123)</f>
        <v>48.7169375</v>
      </c>
      <c r="T49" s="2"/>
      <c r="U49" s="2">
        <f>U48+1</f>
        <v>62</v>
      </c>
      <c r="V49" s="2">
        <f>V48+(V48*0.011)</f>
        <v>63.998827500000004</v>
      </c>
      <c r="W49" s="2"/>
      <c r="X49" s="2">
        <f>X48+1</f>
        <v>62</v>
      </c>
      <c r="Y49" s="2">
        <f ca="1">Y48+(Y48*0.0099)</f>
        <v>81.044475000000006</v>
      </c>
      <c r="Z49" s="2"/>
      <c r="AA49" s="2">
        <f>AA48+1</f>
        <v>62</v>
      </c>
      <c r="AB49">
        <f>AB48+(AB48*0.02)</f>
        <v>72.726000000000013</v>
      </c>
    </row>
    <row r="50" spans="15:28" x14ac:dyDescent="0.3">
      <c r="O50" s="2">
        <f t="shared" ref="O50:O58" si="7">O49+1</f>
        <v>63</v>
      </c>
      <c r="P50" s="2">
        <f t="shared" ref="P50:P58" si="8">P49+(P49*0.0115)</f>
        <v>80.183755274834439</v>
      </c>
      <c r="Q50" s="2"/>
      <c r="R50" s="2">
        <f t="shared" ref="R50:R58" si="9">R49+1</f>
        <v>63</v>
      </c>
      <c r="S50" s="2">
        <f t="shared" ref="S50:S58" ca="1" si="10">S49+(S49*0.0123)</f>
        <v>49.316155831250001</v>
      </c>
      <c r="T50" s="2"/>
      <c r="U50" s="2">
        <f t="shared" ref="U50:U58" si="11">U49+1</f>
        <v>63</v>
      </c>
      <c r="V50" s="2">
        <f t="shared" ref="V50:V58" si="12">V49+(V49*0.011)</f>
        <v>64.702814602499998</v>
      </c>
      <c r="W50" s="2"/>
      <c r="X50" s="2">
        <f t="shared" ref="X50:X58" si="13">X49+1</f>
        <v>63</v>
      </c>
      <c r="Y50" s="2">
        <f t="shared" ref="Y50:Y58" ca="1" si="14">Y49+(Y49*0.0099)</f>
        <v>81.846815302500005</v>
      </c>
      <c r="Z50" s="2"/>
      <c r="AA50" s="2">
        <f t="shared" ref="AA50:AA58" si="15">AA49+1</f>
        <v>63</v>
      </c>
      <c r="AB50">
        <f t="shared" ref="AB50:AB58" si="16">AB49+(AB49*0.02)</f>
        <v>74.180520000000016</v>
      </c>
    </row>
    <row r="51" spans="15:28" x14ac:dyDescent="0.3">
      <c r="O51" s="2">
        <f t="shared" si="7"/>
        <v>64</v>
      </c>
      <c r="P51" s="2">
        <f t="shared" si="8"/>
        <v>81.105868460495032</v>
      </c>
      <c r="Q51" s="2"/>
      <c r="R51" s="2">
        <f t="shared" si="9"/>
        <v>64</v>
      </c>
      <c r="S51" s="2">
        <f t="shared" ca="1" si="10"/>
        <v>49.922744547974375</v>
      </c>
      <c r="T51" s="2"/>
      <c r="U51" s="2">
        <f t="shared" si="11"/>
        <v>64</v>
      </c>
      <c r="V51" s="2">
        <f t="shared" si="12"/>
        <v>65.414545563127504</v>
      </c>
      <c r="W51" s="2"/>
      <c r="X51" s="2">
        <f t="shared" si="13"/>
        <v>64</v>
      </c>
      <c r="Y51" s="2">
        <f t="shared" ca="1" si="14"/>
        <v>82.657098773994761</v>
      </c>
      <c r="Z51" s="2"/>
      <c r="AA51" s="2">
        <f t="shared" si="15"/>
        <v>64</v>
      </c>
      <c r="AB51">
        <f t="shared" si="16"/>
        <v>75.664130400000019</v>
      </c>
    </row>
    <row r="52" spans="15:28" x14ac:dyDescent="0.3">
      <c r="O52" s="2">
        <f t="shared" si="7"/>
        <v>65</v>
      </c>
      <c r="P52" s="2">
        <f t="shared" si="8"/>
        <v>82.038585947790722</v>
      </c>
      <c r="Q52" s="2"/>
      <c r="R52" s="2">
        <f t="shared" si="9"/>
        <v>65</v>
      </c>
      <c r="S52" s="2">
        <f t="shared" ca="1" si="10"/>
        <v>50.536794305914462</v>
      </c>
      <c r="T52" s="2"/>
      <c r="U52" s="2">
        <f t="shared" si="11"/>
        <v>65</v>
      </c>
      <c r="V52" s="2">
        <f t="shared" si="12"/>
        <v>66.134105564321914</v>
      </c>
      <c r="W52" s="2"/>
      <c r="X52" s="2">
        <f t="shared" si="13"/>
        <v>65</v>
      </c>
      <c r="Y52" s="2">
        <f t="shared" ca="1" si="14"/>
        <v>83.475404051857311</v>
      </c>
      <c r="Z52" s="2"/>
      <c r="AA52" s="2">
        <f t="shared" si="15"/>
        <v>65</v>
      </c>
      <c r="AB52">
        <f t="shared" si="16"/>
        <v>77.177413008000016</v>
      </c>
    </row>
    <row r="53" spans="15:28" x14ac:dyDescent="0.3">
      <c r="O53" s="2">
        <f t="shared" si="7"/>
        <v>66</v>
      </c>
      <c r="P53" s="2">
        <f t="shared" si="8"/>
        <v>82.982029686190316</v>
      </c>
      <c r="Q53" s="2"/>
      <c r="R53" s="2">
        <f t="shared" si="9"/>
        <v>66</v>
      </c>
      <c r="S53" s="2">
        <f t="shared" ca="1" si="10"/>
        <v>51.158396875877209</v>
      </c>
      <c r="T53" s="2"/>
      <c r="U53" s="2">
        <f t="shared" si="11"/>
        <v>66</v>
      </c>
      <c r="V53" s="2">
        <f t="shared" si="12"/>
        <v>66.86158072552945</v>
      </c>
      <c r="W53" s="2"/>
      <c r="X53" s="2">
        <f t="shared" si="13"/>
        <v>66</v>
      </c>
      <c r="Y53" s="2">
        <f t="shared" ca="1" si="14"/>
        <v>84.301810551970704</v>
      </c>
      <c r="Z53" s="2"/>
      <c r="AA53" s="2">
        <f t="shared" si="15"/>
        <v>66</v>
      </c>
      <c r="AB53">
        <f t="shared" si="16"/>
        <v>78.720961268160011</v>
      </c>
    </row>
    <row r="54" spans="15:28" x14ac:dyDescent="0.3">
      <c r="O54" s="2">
        <f t="shared" si="7"/>
        <v>67</v>
      </c>
      <c r="P54" s="2">
        <f t="shared" si="8"/>
        <v>83.936323027581508</v>
      </c>
      <c r="Q54" s="2"/>
      <c r="R54" s="2">
        <f t="shared" si="9"/>
        <v>67</v>
      </c>
      <c r="S54" s="2">
        <f t="shared" ca="1" si="10"/>
        <v>51.787645157450498</v>
      </c>
      <c r="T54" s="2"/>
      <c r="U54" s="2">
        <f t="shared" si="11"/>
        <v>67</v>
      </c>
      <c r="V54" s="2">
        <f t="shared" si="12"/>
        <v>67.597058113510272</v>
      </c>
      <c r="W54" s="2"/>
      <c r="X54" s="2">
        <f t="shared" si="13"/>
        <v>67</v>
      </c>
      <c r="Y54" s="2">
        <f t="shared" ca="1" si="14"/>
        <v>85.136398476435218</v>
      </c>
      <c r="Z54" s="2"/>
      <c r="AA54" s="2">
        <f t="shared" si="15"/>
        <v>67</v>
      </c>
      <c r="AB54">
        <f t="shared" si="16"/>
        <v>80.295380493523211</v>
      </c>
    </row>
    <row r="55" spans="15:28" x14ac:dyDescent="0.3">
      <c r="O55" s="2">
        <f t="shared" si="7"/>
        <v>68</v>
      </c>
      <c r="P55" s="2">
        <f t="shared" si="8"/>
        <v>84.901590742398696</v>
      </c>
      <c r="Q55" s="2"/>
      <c r="R55" s="2">
        <f t="shared" si="9"/>
        <v>68</v>
      </c>
      <c r="S55" s="2">
        <f t="shared" ca="1" si="10"/>
        <v>52.424633192887143</v>
      </c>
      <c r="T55" s="2"/>
      <c r="U55" s="2">
        <f t="shared" si="11"/>
        <v>68</v>
      </c>
      <c r="V55" s="2">
        <f t="shared" si="12"/>
        <v>68.340625752758882</v>
      </c>
      <c r="W55" s="2"/>
      <c r="X55" s="2">
        <f t="shared" si="13"/>
        <v>68</v>
      </c>
      <c r="Y55" s="2">
        <f t="shared" ca="1" si="14"/>
        <v>85.979248821351931</v>
      </c>
      <c r="Z55" s="2"/>
      <c r="AA55" s="2">
        <f t="shared" si="15"/>
        <v>68</v>
      </c>
      <c r="AB55">
        <f t="shared" si="16"/>
        <v>81.901288103393682</v>
      </c>
    </row>
    <row r="56" spans="15:28" x14ac:dyDescent="0.3">
      <c r="O56" s="2">
        <f t="shared" si="7"/>
        <v>69</v>
      </c>
      <c r="P56" s="2">
        <f t="shared" si="8"/>
        <v>85.877959035936286</v>
      </c>
      <c r="Q56" s="2"/>
      <c r="R56" s="2">
        <f t="shared" si="9"/>
        <v>69</v>
      </c>
      <c r="S56" s="2">
        <f t="shared" ca="1" si="10"/>
        <v>53.069456181159651</v>
      </c>
      <c r="T56" s="2"/>
      <c r="U56" s="2">
        <f t="shared" si="11"/>
        <v>69</v>
      </c>
      <c r="V56" s="2">
        <f t="shared" si="12"/>
        <v>69.092372636039229</v>
      </c>
      <c r="W56" s="2"/>
      <c r="X56" s="2">
        <f t="shared" si="13"/>
        <v>69</v>
      </c>
      <c r="Y56" s="2">
        <f t="shared" ca="1" si="14"/>
        <v>86.830443384683321</v>
      </c>
      <c r="Z56" s="2"/>
      <c r="AA56" s="2">
        <f t="shared" si="15"/>
        <v>69</v>
      </c>
      <c r="AB56">
        <f t="shared" si="16"/>
        <v>83.539313865461551</v>
      </c>
    </row>
    <row r="57" spans="15:28" x14ac:dyDescent="0.3">
      <c r="O57" s="2">
        <f t="shared" si="7"/>
        <v>70</v>
      </c>
      <c r="P57" s="2">
        <f t="shared" si="8"/>
        <v>86.865555564849558</v>
      </c>
      <c r="Q57" s="2"/>
      <c r="R57" s="2">
        <f t="shared" si="9"/>
        <v>70</v>
      </c>
      <c r="S57" s="2">
        <f t="shared" ca="1" si="10"/>
        <v>53.722210492187912</v>
      </c>
      <c r="T57" s="2"/>
      <c r="U57" s="2">
        <f t="shared" si="11"/>
        <v>70</v>
      </c>
      <c r="V57" s="2">
        <f t="shared" si="12"/>
        <v>69.85238873503566</v>
      </c>
      <c r="W57" s="2"/>
      <c r="X57" s="2">
        <f t="shared" si="13"/>
        <v>70</v>
      </c>
      <c r="Y57" s="2">
        <f t="shared" ca="1" si="14"/>
        <v>87.690064774191683</v>
      </c>
      <c r="Z57" s="2"/>
      <c r="AA57" s="2">
        <f t="shared" si="15"/>
        <v>70</v>
      </c>
      <c r="AB57">
        <f t="shared" si="16"/>
        <v>85.210100142770784</v>
      </c>
    </row>
    <row r="58" spans="15:28" x14ac:dyDescent="0.3">
      <c r="O58" s="2">
        <f t="shared" si="7"/>
        <v>71</v>
      </c>
      <c r="P58" s="2">
        <f t="shared" si="8"/>
        <v>87.864509453845329</v>
      </c>
      <c r="Q58" s="2"/>
      <c r="R58" s="2">
        <f t="shared" si="9"/>
        <v>71</v>
      </c>
      <c r="S58" s="2">
        <f t="shared" ca="1" si="10"/>
        <v>54.382993681241821</v>
      </c>
      <c r="T58" s="2"/>
      <c r="U58" s="2">
        <f t="shared" si="11"/>
        <v>71</v>
      </c>
      <c r="V58" s="2">
        <f t="shared" si="12"/>
        <v>70.620765011121051</v>
      </c>
      <c r="W58" s="2"/>
      <c r="X58" s="2">
        <f t="shared" si="13"/>
        <v>71</v>
      </c>
      <c r="Y58" s="2">
        <f t="shared" ca="1" si="14"/>
        <v>88.55819641545618</v>
      </c>
      <c r="Z58" s="2"/>
      <c r="AA58" s="2">
        <f t="shared" si="15"/>
        <v>71</v>
      </c>
      <c r="AB58">
        <f t="shared" si="16"/>
        <v>86.914302145626195</v>
      </c>
    </row>
  </sheetData>
  <mergeCells count="2">
    <mergeCell ref="A23:F23"/>
    <mergeCell ref="O46:AB4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D13E-1BE4-427C-8371-DCFF735ECBB9}">
  <dimension ref="A1:O47"/>
  <sheetViews>
    <sheetView zoomScale="92" zoomScaleNormal="92" workbookViewId="0">
      <selection activeCell="M3" sqref="M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101</v>
      </c>
      <c r="D1" s="2" t="s">
        <v>14</v>
      </c>
      <c r="E1" s="2"/>
      <c r="F1" s="2" t="s">
        <v>38</v>
      </c>
      <c r="G1" s="2" t="s">
        <v>39</v>
      </c>
      <c r="H1" s="2" t="s">
        <v>40</v>
      </c>
      <c r="I1" s="2" t="s">
        <v>41</v>
      </c>
      <c r="J1" s="2"/>
      <c r="K1" s="2"/>
      <c r="L1" s="2"/>
      <c r="M1" s="2" t="s">
        <v>42</v>
      </c>
      <c r="N1" s="2"/>
      <c r="O1" s="2"/>
    </row>
    <row r="2" spans="1:15" ht="28.8" x14ac:dyDescent="0.3">
      <c r="A2" s="8" t="s">
        <v>12</v>
      </c>
      <c r="B2" s="8">
        <v>41</v>
      </c>
      <c r="D2" s="9" t="s">
        <v>15</v>
      </c>
      <c r="E2" s="9">
        <v>45</v>
      </c>
      <c r="F2" s="2">
        <f>E2+(E2/100*10)</f>
        <v>49.5</v>
      </c>
      <c r="G2" s="2">
        <f>F2+(F2/100*10)</f>
        <v>54.45</v>
      </c>
      <c r="H2" s="2">
        <f>G2+(G2/100*10)</f>
        <v>59.895000000000003</v>
      </c>
      <c r="I2" s="2">
        <f>H2+(H2/100*15)</f>
        <v>68.879249999999999</v>
      </c>
      <c r="J2" s="9"/>
      <c r="K2" s="2"/>
      <c r="L2" s="9" t="s">
        <v>0</v>
      </c>
      <c r="M2" s="28">
        <f>B27+ ((1 -((E2 / 30.6) * 0.7 )-((E3/ 100) * 0.3 )) *100)</f>
        <v>8.3588235294117794</v>
      </c>
      <c r="N2" s="2"/>
      <c r="O2" s="2"/>
    </row>
    <row r="3" spans="1:15" ht="105" x14ac:dyDescent="0.3">
      <c r="A3" s="8" t="s">
        <v>93</v>
      </c>
      <c r="B3" s="26" t="s">
        <v>102</v>
      </c>
      <c r="D3" s="9" t="s">
        <v>16</v>
      </c>
      <c r="E3" s="9">
        <v>99</v>
      </c>
      <c r="F3" s="2">
        <f>E3-(E3/100*10)</f>
        <v>89.1</v>
      </c>
      <c r="G3" s="2">
        <f>F3-(F3/100*10)</f>
        <v>80.19</v>
      </c>
      <c r="H3" s="2">
        <f>G3-(G3/100*15)</f>
        <v>68.161500000000004</v>
      </c>
      <c r="I3" s="2">
        <f>H3-(H3/100*15)</f>
        <v>57.937275</v>
      </c>
      <c r="J3" s="9"/>
      <c r="K3" s="2"/>
      <c r="L3" s="10" t="s">
        <v>1</v>
      </c>
      <c r="M3" s="10">
        <f ca="1">((J4/100*50)+(J5/100*25)+(J6/100*25))</f>
        <v>56.19047619047619</v>
      </c>
      <c r="N3" s="2"/>
      <c r="O3" s="25" t="s">
        <v>8</v>
      </c>
    </row>
    <row r="4" spans="1:15" ht="18" customHeight="1" x14ac:dyDescent="0.3">
      <c r="D4" s="10" t="s">
        <v>18</v>
      </c>
      <c r="E4" s="10">
        <v>38</v>
      </c>
      <c r="F4" s="2">
        <f>E4+(E4/100*10)</f>
        <v>41.8</v>
      </c>
      <c r="G4" s="2">
        <f>F4+(F4/100*10)</f>
        <v>45.98</v>
      </c>
      <c r="H4" s="2">
        <f>G4+(G4/100*6)+(G4/100*6)</f>
        <v>51.497599999999998</v>
      </c>
      <c r="I4" s="2">
        <f>H4+((H4/100)*15)</f>
        <v>59.222239999999999</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66.666666666666657</v>
      </c>
      <c r="K4" s="2"/>
      <c r="L4" s="11" t="s">
        <v>2</v>
      </c>
      <c r="M4" s="11">
        <f>B27 - 9*M11</f>
        <v>31.981348684210527</v>
      </c>
      <c r="N4" s="2"/>
      <c r="O4" s="25" t="e">
        <f ca="1">A37</f>
        <v>#N/A</v>
      </c>
    </row>
    <row r="5" spans="1:15" ht="28.8" x14ac:dyDescent="0.3">
      <c r="D5" s="10" t="s">
        <v>19</v>
      </c>
      <c r="E5" s="10">
        <v>3.5</v>
      </c>
      <c r="F5" s="2">
        <f>E5+(E5/100*12)</f>
        <v>3.92</v>
      </c>
      <c r="G5" s="2">
        <f>F5+(F5/100*12)</f>
        <v>4.3903999999999996</v>
      </c>
      <c r="H5" s="2">
        <f>G5+(G5/100*1.2) + (G5/100* 13.5)</f>
        <v>5.0357887999999997</v>
      </c>
      <c r="I5" s="2">
        <f>H5+(H5/100*15)</f>
        <v>5.7911571199999994</v>
      </c>
      <c r="J5" s="10">
        <f ca="1">FORECAST(E5, OFFSET(Strength_Normative_Data!$O$3, MATCH(E5, Strength_Normative_Data!$P$3:$P$17, -1)-1, 0, 2), OFFSET(Strength_Normative_Data!$P$3, MATCH(E5, Strength_Normative_Data!$P$3:$P$17, -1)-1, 0, 2))</f>
        <v>40</v>
      </c>
      <c r="K5" s="2"/>
      <c r="L5" s="12" t="s">
        <v>29</v>
      </c>
      <c r="M5" s="12" t="e">
        <f ca="1">((J14/100*30)+(J15/100*25)+(J16/100*30)+(J17/100*15))</f>
        <v>#N/A</v>
      </c>
      <c r="N5" s="2"/>
      <c r="O5" s="2"/>
    </row>
    <row r="6" spans="1:15" x14ac:dyDescent="0.3">
      <c r="D6" s="10" t="s">
        <v>20</v>
      </c>
      <c r="E6" s="10">
        <v>38</v>
      </c>
      <c r="F6" s="2">
        <f>E6+(E6/100*12)</f>
        <v>42.56</v>
      </c>
      <c r="G6" s="2">
        <f>F6+(F6/100*12)</f>
        <v>47.667200000000001</v>
      </c>
      <c r="H6" s="2">
        <f>G6+(G6/100*1.2) + (G6/100* 13.5)</f>
        <v>54.674278399999999</v>
      </c>
      <c r="I6" s="2">
        <f>H6+(H6/100*15)</f>
        <v>62.875420159999997</v>
      </c>
      <c r="J6" s="10">
        <f ca="1">FORECAST(E6, OFFSET(Strength_Normative_Data!$J$3, MATCH(E6, Strength_Normative_Data!$K$3:$K$16, -1)-1, 0, 2), OFFSET(Strength_Normative_Data!$K$3, MATCH(E6, Strength_Normative_Data!$K$3:$K$16, -1)-1, 0, 2))</f>
        <v>51.428571428571438</v>
      </c>
      <c r="K6" s="2"/>
      <c r="L6" s="13" t="s">
        <v>4</v>
      </c>
      <c r="M6" s="13">
        <f>((J18/100*60)+(J19/100*40))</f>
        <v>18</v>
      </c>
      <c r="N6" s="2"/>
      <c r="O6" s="2"/>
    </row>
    <row r="7" spans="1:15" x14ac:dyDescent="0.3">
      <c r="D7" s="11" t="s">
        <v>22</v>
      </c>
      <c r="E7" s="11">
        <v>18</v>
      </c>
      <c r="F7" s="2">
        <f>E7+(E7/100*6)</f>
        <v>19.079999999999998</v>
      </c>
      <c r="G7" s="2">
        <f t="shared" ref="G7:I7" si="0">F7+(F7/100*6)</f>
        <v>20.224799999999998</v>
      </c>
      <c r="H7" s="2">
        <f t="shared" si="0"/>
        <v>21.438288</v>
      </c>
      <c r="I7" s="2">
        <f t="shared" si="0"/>
        <v>22.724585279999999</v>
      </c>
      <c r="J7" s="11"/>
      <c r="K7" s="2"/>
      <c r="L7" s="2"/>
      <c r="M7" s="2"/>
      <c r="N7" s="2"/>
      <c r="O7" s="2"/>
    </row>
    <row r="8" spans="1:15" ht="28.8" x14ac:dyDescent="0.3">
      <c r="D8" s="11" t="s">
        <v>23</v>
      </c>
      <c r="E8" s="11">
        <v>0.44</v>
      </c>
      <c r="F8" s="2">
        <f>E8+(E8/100*4)</f>
        <v>0.45760000000000001</v>
      </c>
      <c r="G8" s="2">
        <f t="shared" ref="G8:I8" si="1">F8+(F8/100*4)</f>
        <v>0.47590399999999999</v>
      </c>
      <c r="H8" s="2">
        <f t="shared" si="1"/>
        <v>0.49494016000000002</v>
      </c>
      <c r="I8" s="2">
        <f t="shared" si="1"/>
        <v>0.51473776640000002</v>
      </c>
      <c r="J8" s="11">
        <f xml:space="preserve">
IF(E8&lt;=0.4,0,
IF(E8&lt;=0.5,20*(E8-0.4)/0.1,
IF(E8&lt;=0.6,20+40*(E8-0.5)/0.1,
60+40*(MIN(E8,0.75)-0.6)/0.15)))</f>
        <v>7.9999999999999956</v>
      </c>
      <c r="K8" s="2"/>
      <c r="L8" s="2"/>
      <c r="M8" s="2"/>
      <c r="N8" s="2"/>
      <c r="O8" s="2"/>
    </row>
    <row r="9" spans="1:15" ht="28.8" x14ac:dyDescent="0.3">
      <c r="D9" s="11" t="s">
        <v>24</v>
      </c>
      <c r="E9" s="11">
        <v>4.4000000000000004</v>
      </c>
      <c r="F9" s="2"/>
      <c r="G9" s="2"/>
      <c r="H9" s="2"/>
      <c r="I9" s="2"/>
      <c r="J9" s="11"/>
      <c r="K9" s="2"/>
      <c r="L9" s="2"/>
      <c r="M9" s="2"/>
      <c r="N9" s="2"/>
      <c r="O9" s="2"/>
    </row>
    <row r="10" spans="1:15" ht="28.8" x14ac:dyDescent="0.3">
      <c r="D10" s="11" t="s">
        <v>25</v>
      </c>
      <c r="E10" s="11">
        <v>4.5999999999999996</v>
      </c>
      <c r="F10" s="2">
        <f>E10+(E10/100*5)</f>
        <v>4.83</v>
      </c>
      <c r="G10" s="2">
        <f t="shared" ref="G10:I10" si="2">F10+(F10/100*5)</f>
        <v>5.0715000000000003</v>
      </c>
      <c r="H10" s="2">
        <f t="shared" si="2"/>
        <v>5.325075</v>
      </c>
      <c r="I10" s="2">
        <f t="shared" si="2"/>
        <v>5.5913287499999997</v>
      </c>
      <c r="J10" s="11">
        <f xml:space="preserve">
IF(E10&lt;5.7,10*(E10/5.7),
IF(E10&lt;6.5,10+40*(E10-5.7)/0.8,
50+50*(MIN(E10,9)-6.5)/2.5))</f>
        <v>8.0701754385964914</v>
      </c>
      <c r="K10" s="2"/>
      <c r="L10" s="2" t="s">
        <v>89</v>
      </c>
      <c r="M10" s="2" t="s">
        <v>90</v>
      </c>
      <c r="N10" s="2"/>
      <c r="O10" s="2"/>
    </row>
    <row r="11" spans="1:15" x14ac:dyDescent="0.3">
      <c r="D11" s="11" t="s">
        <v>26</v>
      </c>
      <c r="E11" s="11">
        <v>0.6</v>
      </c>
      <c r="F11" s="2">
        <f>E11+(E11/100*14)</f>
        <v>0.68399999999999994</v>
      </c>
      <c r="G11" s="2">
        <f t="shared" ref="G11:I11" si="3">F11+(F11/100*14)</f>
        <v>0.7797599999999999</v>
      </c>
      <c r="H11" s="2">
        <f t="shared" si="3"/>
        <v>0.88892639999999989</v>
      </c>
      <c r="I11" s="2">
        <f t="shared" si="3"/>
        <v>1.0133760959999998</v>
      </c>
      <c r="J11" s="11">
        <f xml:space="preserve">
IF(E11&lt;1.6,10*(E11/1.6),
IF(E11&lt;3,10+40*(E11-1.6)/1.4,
50+50*(MIN(E11,7)-3)/4))</f>
        <v>3.7499999999999996</v>
      </c>
      <c r="K11" s="2"/>
      <c r="L11" s="2">
        <f>(0.3*K12)+(0.2*J8)+(0.15*J10)+(0.25*J11)+(0.1*J13)</f>
        <v>4.9792763157894733</v>
      </c>
      <c r="M11" s="2">
        <f xml:space="preserve">
IF(L11&lt;=10,1.5-0.1*L11,
IF(L11&lt;=60,0.5-0.02*(L11-10),
-0.5-0.03*(L11-60)))</f>
        <v>1.0020723684210526</v>
      </c>
      <c r="N11" s="2"/>
      <c r="O11" s="2"/>
    </row>
    <row r="12" spans="1:15" x14ac:dyDescent="0.3">
      <c r="D12" s="11" t="s">
        <v>27</v>
      </c>
      <c r="E12" s="11">
        <v>0.55000000000000004</v>
      </c>
      <c r="F12" s="2">
        <f>E12+(E12/100*6)</f>
        <v>0.58300000000000007</v>
      </c>
      <c r="G12" s="2">
        <f t="shared" ref="G12:I12" si="4">F12+(F12/100*6)</f>
        <v>0.61798000000000008</v>
      </c>
      <c r="H12" s="2">
        <f t="shared" si="4"/>
        <v>0.65505880000000005</v>
      </c>
      <c r="I12" s="2">
        <f t="shared" si="4"/>
        <v>0.69436232800000008</v>
      </c>
      <c r="J12" s="11">
        <f>E12*100</f>
        <v>55.000000000000007</v>
      </c>
      <c r="K12" s="11">
        <f xml:space="preserve">
IF(J12&lt;80,5*(J12/80),
IF(J12&lt;100,10+20*(J12-80)/20,
IF(J12&lt;130,30+25*(J12-100)/30,
IF(J12&lt;160,55+25*(J12-130)/30,
IF(J12&lt;200,80+20*(J12-160)/40,100)))))</f>
        <v>3.4375000000000004</v>
      </c>
      <c r="L12" s="2"/>
      <c r="M12" s="2"/>
      <c r="N12" s="2"/>
      <c r="O12" s="2"/>
    </row>
    <row r="13" spans="1:15" x14ac:dyDescent="0.3">
      <c r="D13" s="11" t="s">
        <v>28</v>
      </c>
      <c r="E13" s="11">
        <v>0.2</v>
      </c>
      <c r="F13" s="2">
        <f>E13+(E13/100*18)</f>
        <v>0.23600000000000002</v>
      </c>
      <c r="G13" s="2">
        <f t="shared" ref="G13:I13" si="5">F13+(F13/100*18)</f>
        <v>0.27848000000000001</v>
      </c>
      <c r="H13" s="2">
        <f t="shared" si="5"/>
        <v>0.32860640000000002</v>
      </c>
      <c r="I13" s="2">
        <f t="shared" si="5"/>
        <v>0.387755552</v>
      </c>
      <c r="J13" s="11">
        <f xml:space="preserve">
IF(E13&lt;1,10*(E13/1),
IF(E13&lt;3,10+40*(E13-1)/2,
50+50*(MIN(E13,10)-3)/7))</f>
        <v>2</v>
      </c>
      <c r="K13" s="2"/>
      <c r="L13" s="2"/>
      <c r="M13" s="2"/>
      <c r="N13" s="2"/>
      <c r="O13" s="2"/>
    </row>
    <row r="14" spans="1:15" x14ac:dyDescent="0.3">
      <c r="D14" s="12" t="s">
        <v>30</v>
      </c>
      <c r="E14" s="12">
        <v>1.45</v>
      </c>
      <c r="F14" s="2">
        <f>E14+(E14/100*6)</f>
        <v>1.5369999999999999</v>
      </c>
      <c r="G14" s="2">
        <f>F14+(F14/100*6)</f>
        <v>1.6292199999999999</v>
      </c>
      <c r="H14" s="2">
        <f>G14+(G14/100*7)</f>
        <v>1.7432653999999999</v>
      </c>
      <c r="I14" s="2">
        <f>H14+(H14/100*7)</f>
        <v>1.865293978</v>
      </c>
      <c r="J14" s="12" t="e">
        <f ca="1">IFERROR(FORECAST(E14, OFFSET(Mobility_Normative_Data!$A$3, MATCH(E14, Mobility_Normative_Data!$B$3:$B$17, -1)-1, 0, 2), OFFSET(Mobility_Normative_Data!$B$3, MATCH(E14, Mobility_Normative_Data!$B$3:$B$17, -1)-1, 0, 2)), INDEX(Mobility_Normative_Data!$A$3:$A$17, MATCH(E14, Mobility_Normative_Data!$B$3:$B$17, -1)))</f>
        <v>#N/A</v>
      </c>
      <c r="K14" s="2"/>
      <c r="L14" s="2"/>
      <c r="M14" s="2"/>
      <c r="N14" s="2"/>
      <c r="O14" s="2"/>
    </row>
    <row r="15" spans="1:15" ht="28.8" x14ac:dyDescent="0.3">
      <c r="D15" s="12" t="s">
        <v>31</v>
      </c>
      <c r="E15" s="12">
        <v>6</v>
      </c>
      <c r="F15" s="2">
        <f>E15+(E15/100*10)</f>
        <v>6.6</v>
      </c>
      <c r="G15" s="2">
        <f>F15+(F15/100*10)</f>
        <v>7.26</v>
      </c>
      <c r="H15" s="2">
        <f>G15+(G15/100*10)</f>
        <v>7.9859999999999998</v>
      </c>
      <c r="I15" s="2">
        <f>H15+(H15/100*10)</f>
        <v>8.7845999999999993</v>
      </c>
      <c r="J15" s="12">
        <f ca="1">FORECAST(E15, OFFSET(Mobility_Normative_Data!$E$3, MATCH(E15, Mobility_Normative_Data!$F$3:$F$18, 1)-1, 0, 2), OFFSET(Mobility_Normative_Data!$F$3, MATCH(E15, Mobility_Normative_Data!$F$3:$F$18, 1)-1, 0, 2))</f>
        <v>40</v>
      </c>
      <c r="K15" s="2"/>
      <c r="L15" s="2"/>
      <c r="M15" s="2"/>
      <c r="N15" s="2"/>
      <c r="O15" s="2"/>
    </row>
    <row r="16" spans="1:15" ht="28.8" x14ac:dyDescent="0.3">
      <c r="D16" s="12" t="s">
        <v>32</v>
      </c>
      <c r="E16" s="12">
        <v>45</v>
      </c>
      <c r="F16" s="2">
        <f>E16+(E16/100*20)</f>
        <v>54</v>
      </c>
      <c r="G16" s="2">
        <f>F16+(F16/100*20)</f>
        <v>64.8</v>
      </c>
      <c r="H16" s="2">
        <f t="shared" ref="H16:I16" si="6">G16+(G16/100*20)</f>
        <v>77.759999999999991</v>
      </c>
      <c r="I16" s="2">
        <f t="shared" si="6"/>
        <v>93.311999999999983</v>
      </c>
      <c r="J16" s="12">
        <f ca="1">FORECAST(E16, OFFSET(Mobility_Normative_Data!$I$3, MATCH(E16, Mobility_Normative_Data!$J$3:$J$17, -1)-1, 0, 2), OFFSET(Mobility_Normative_Data!$J$3, MATCH(E16, Mobility_Normative_Data!$J$3:$J$17, -1)-1, 0, 2))</f>
        <v>20</v>
      </c>
      <c r="K16" s="2"/>
      <c r="L16" s="2"/>
      <c r="M16" s="2"/>
      <c r="N16" s="2"/>
      <c r="O16" s="2"/>
    </row>
    <row r="17" spans="1:15" x14ac:dyDescent="0.3">
      <c r="D17" s="12" t="s">
        <v>33</v>
      </c>
      <c r="E17" s="12">
        <v>30</v>
      </c>
      <c r="F17" s="2">
        <f>E17+(E17/100*10)</f>
        <v>33</v>
      </c>
      <c r="G17" s="2">
        <f>F17+(F17/100*10)</f>
        <v>36.299999999999997</v>
      </c>
      <c r="H17" s="2">
        <f>G17+(G17/100*10)</f>
        <v>39.93</v>
      </c>
      <c r="I17" s="2">
        <f>H17+(H17/100*10)</f>
        <v>43.923000000000002</v>
      </c>
      <c r="J17" s="12">
        <f ca="1">FORECAST(E17, OFFSET(Mobility_Normative_Data!$M$3, MATCH(E17, Mobility_Normative_Data!$N$3:$N$17, -1)-1, 0, 2), OFFSET(Mobility_Normative_Data!$N$3, MATCH(E17, Mobility_Normative_Data!$N$3:$N$17, -1)-1, 0, 2))</f>
        <v>53.333333333333343</v>
      </c>
      <c r="K17" s="2"/>
      <c r="L17" s="2"/>
      <c r="M17" s="2"/>
      <c r="N17" s="2"/>
      <c r="O17" s="2"/>
    </row>
    <row r="18" spans="1:15" ht="28.8" x14ac:dyDescent="0.3">
      <c r="D18" s="13" t="s">
        <v>35</v>
      </c>
      <c r="E18" s="13">
        <v>1.5</v>
      </c>
      <c r="F18" s="2">
        <f>E18 +(-0.2)</f>
        <v>1.3</v>
      </c>
      <c r="G18" s="2">
        <f>F18 +(-0.2)</f>
        <v>1.1000000000000001</v>
      </c>
      <c r="H18" s="2">
        <f>G18 +(-0.3)</f>
        <v>0.8</v>
      </c>
      <c r="I18" s="2">
        <f>H18 +(-0.3)</f>
        <v>0.5</v>
      </c>
      <c r="J18" s="13">
        <f>MAX(18,B27-(E18*25))</f>
        <v>18</v>
      </c>
      <c r="K18" s="2"/>
      <c r="L18" s="2"/>
      <c r="M18" s="2"/>
      <c r="N18" s="2"/>
      <c r="O18" s="2"/>
    </row>
    <row r="19" spans="1:15" ht="28.8" x14ac:dyDescent="0.3">
      <c r="D19" s="13" t="s">
        <v>36</v>
      </c>
      <c r="E19" s="13">
        <v>1.8</v>
      </c>
      <c r="F19" s="2">
        <f>E19+(-0.2)</f>
        <v>1.6</v>
      </c>
      <c r="G19" s="2">
        <f>F19 +(-0.2)</f>
        <v>1.4000000000000001</v>
      </c>
      <c r="H19" s="2">
        <f>G19 +(-0.3)</f>
        <v>1.1000000000000001</v>
      </c>
      <c r="I19" s="2">
        <f>H19 +(-0.3)</f>
        <v>0.8</v>
      </c>
      <c r="J19" s="13">
        <f>MAX(18,B27-(E19*35))</f>
        <v>18</v>
      </c>
      <c r="K19" s="2"/>
      <c r="L19" s="2"/>
      <c r="M19" s="2"/>
      <c r="N19" s="2"/>
      <c r="O19" s="2"/>
    </row>
    <row r="23" spans="1:15" x14ac:dyDescent="0.3">
      <c r="A23" s="43" t="s">
        <v>37</v>
      </c>
      <c r="B23" s="43"/>
      <c r="C23" s="43"/>
      <c r="D23" s="43"/>
      <c r="E23" s="43"/>
      <c r="F23" s="43"/>
    </row>
    <row r="25" spans="1:15" x14ac:dyDescent="0.3">
      <c r="B25" t="s">
        <v>5</v>
      </c>
      <c r="C25" t="s">
        <v>6</v>
      </c>
      <c r="D25" t="s">
        <v>9</v>
      </c>
      <c r="E25" t="s">
        <v>10</v>
      </c>
      <c r="F25" t="s">
        <v>11</v>
      </c>
    </row>
    <row r="26" spans="1:15" x14ac:dyDescent="0.3">
      <c r="A26" t="s">
        <v>43</v>
      </c>
      <c r="B26" t="s">
        <v>44</v>
      </c>
    </row>
    <row r="27" spans="1:15" x14ac:dyDescent="0.3">
      <c r="A27" t="s">
        <v>7</v>
      </c>
      <c r="B27">
        <f>B2</f>
        <v>41</v>
      </c>
      <c r="C27">
        <f>B27+10</f>
        <v>51</v>
      </c>
      <c r="D27">
        <f>C27+10</f>
        <v>61</v>
      </c>
      <c r="E27">
        <f>D27+10</f>
        <v>71</v>
      </c>
      <c r="F27">
        <f>E27+10</f>
        <v>81</v>
      </c>
    </row>
    <row r="28" spans="1:15" x14ac:dyDescent="0.3">
      <c r="A28" t="s">
        <v>0</v>
      </c>
      <c r="B28" s="24">
        <f>M2</f>
        <v>8.3588235294117794</v>
      </c>
      <c r="C28">
        <f>B28+(B28/100*11.5)</f>
        <v>9.3200882352941345</v>
      </c>
      <c r="D28">
        <f>C28+(C28/100*32.2)</f>
        <v>12.321156647058846</v>
      </c>
      <c r="E28">
        <f>D28+(D28/100*32.2)</f>
        <v>16.288569087411794</v>
      </c>
      <c r="F28">
        <f>E28+(E28/100*32.2)</f>
        <v>21.533488333558392</v>
      </c>
    </row>
    <row r="29" spans="1:15" x14ac:dyDescent="0.3">
      <c r="A29" t="s">
        <v>1</v>
      </c>
      <c r="B29">
        <f ca="1">M3</f>
        <v>56.19047619047619</v>
      </c>
      <c r="C29">
        <f ca="1">B29+(B29/100*12.3)</f>
        <v>63.101904761904763</v>
      </c>
      <c r="D29">
        <f ca="1">C29+(C29/100*30.8)</f>
        <v>82.537291428571422</v>
      </c>
      <c r="E29">
        <f ca="1">D29+(D29/100*30.8)</f>
        <v>107.95877718857142</v>
      </c>
      <c r="F29">
        <f ca="1">E29+(E29/100*30.8)</f>
        <v>141.2100805626514</v>
      </c>
    </row>
    <row r="30" spans="1:15" x14ac:dyDescent="0.3">
      <c r="A30" t="s">
        <v>2</v>
      </c>
      <c r="B30">
        <f>M4</f>
        <v>31.981348684210527</v>
      </c>
      <c r="C30">
        <f>B30+(B30/100*5.5)</f>
        <v>33.740322861842102</v>
      </c>
      <c r="D30">
        <f>C30+(C30/100*11)</f>
        <v>37.451758376644733</v>
      </c>
      <c r="E30">
        <f>D30+(D30/100*11)</f>
        <v>41.571451798075657</v>
      </c>
      <c r="F30">
        <f>E30+(E30/100*11)</f>
        <v>46.144311495863981</v>
      </c>
    </row>
    <row r="31" spans="1:15" x14ac:dyDescent="0.3">
      <c r="A31" t="s">
        <v>3</v>
      </c>
      <c r="B31" t="e">
        <f ca="1">M5</f>
        <v>#N/A</v>
      </c>
      <c r="C31" t="e">
        <f ca="1">B31+(B31/100*9.9)</f>
        <v>#N/A</v>
      </c>
      <c r="D31" t="e">
        <f ca="1">C31+(C31/100*19.8)</f>
        <v>#N/A</v>
      </c>
      <c r="E31" t="e">
        <f ca="1">D31+(D31/100*19.8)</f>
        <v>#N/A</v>
      </c>
      <c r="F31" t="e">
        <f ca="1">E31+(E31/100*19.8)</f>
        <v>#N/A</v>
      </c>
    </row>
    <row r="32" spans="1:15" x14ac:dyDescent="0.3">
      <c r="A32" t="s">
        <v>4</v>
      </c>
      <c r="B32">
        <f>M6</f>
        <v>18</v>
      </c>
      <c r="C32">
        <f>B32+(B32/100*20)</f>
        <v>21.6</v>
      </c>
      <c r="D32">
        <f>C32+(C32/100*60)</f>
        <v>34.56</v>
      </c>
      <c r="E32">
        <f>D32+(D32/100*60)</f>
        <v>55.296000000000006</v>
      </c>
      <c r="F32">
        <f>E32+(E32/100*60)</f>
        <v>88.473600000000005</v>
      </c>
    </row>
    <row r="36" spans="1:11" x14ac:dyDescent="0.3">
      <c r="A36" t="s">
        <v>8</v>
      </c>
    </row>
    <row r="37" spans="1:11" x14ac:dyDescent="0.3">
      <c r="A37" s="1" t="e">
        <f ca="1">(B28/100*20)+(B29/100*20)+(B30/100*25)+(B31/100*20)+(B32/100*15)</f>
        <v>#N/A</v>
      </c>
    </row>
    <row r="42" spans="1:11" x14ac:dyDescent="0.3">
      <c r="B42" t="s">
        <v>12</v>
      </c>
      <c r="C42" t="s">
        <v>0</v>
      </c>
      <c r="D42" t="s">
        <v>12</v>
      </c>
      <c r="E42" t="s">
        <v>1</v>
      </c>
      <c r="F42" t="s">
        <v>12</v>
      </c>
      <c r="G42" t="s">
        <v>2</v>
      </c>
      <c r="H42" t="s">
        <v>12</v>
      </c>
      <c r="I42" t="s">
        <v>3</v>
      </c>
      <c r="J42" t="s">
        <v>12</v>
      </c>
      <c r="K42" t="s">
        <v>4</v>
      </c>
    </row>
    <row r="43" spans="1:11" x14ac:dyDescent="0.3">
      <c r="B43">
        <f>B27</f>
        <v>41</v>
      </c>
      <c r="C43">
        <f>B28</f>
        <v>8.3588235294117794</v>
      </c>
      <c r="D43">
        <f>B43</f>
        <v>41</v>
      </c>
      <c r="E43">
        <f ca="1">B29</f>
        <v>56.19047619047619</v>
      </c>
      <c r="F43">
        <f>B27</f>
        <v>41</v>
      </c>
      <c r="G43">
        <f>B30</f>
        <v>31.981348684210527</v>
      </c>
      <c r="H43">
        <f>B27</f>
        <v>41</v>
      </c>
      <c r="I43" t="e">
        <f ca="1">B31</f>
        <v>#N/A</v>
      </c>
      <c r="J43">
        <f>B27</f>
        <v>41</v>
      </c>
      <c r="K43">
        <f>B32</f>
        <v>18</v>
      </c>
    </row>
    <row r="44" spans="1:11" x14ac:dyDescent="0.3">
      <c r="B44">
        <f>C27</f>
        <v>51</v>
      </c>
      <c r="C44">
        <f>C28</f>
        <v>9.3200882352941345</v>
      </c>
      <c r="D44">
        <f>B44</f>
        <v>51</v>
      </c>
      <c r="E44">
        <f ca="1">C29</f>
        <v>63.101904761904763</v>
      </c>
      <c r="F44">
        <f>C27</f>
        <v>51</v>
      </c>
      <c r="G44">
        <f>C30</f>
        <v>33.740322861842102</v>
      </c>
      <c r="H44">
        <f>C27</f>
        <v>51</v>
      </c>
      <c r="I44" t="e">
        <f ca="1">C31</f>
        <v>#N/A</v>
      </c>
      <c r="J44">
        <f>C27</f>
        <v>51</v>
      </c>
      <c r="K44">
        <f>C32</f>
        <v>21.6</v>
      </c>
    </row>
    <row r="45" spans="1:11" x14ac:dyDescent="0.3">
      <c r="B45">
        <f>D27</f>
        <v>61</v>
      </c>
      <c r="C45">
        <f>D28</f>
        <v>12.321156647058846</v>
      </c>
      <c r="D45">
        <f>D27</f>
        <v>61</v>
      </c>
      <c r="E45">
        <f ca="1">D29</f>
        <v>82.537291428571422</v>
      </c>
      <c r="F45">
        <f>D27</f>
        <v>61</v>
      </c>
      <c r="G45">
        <f>D30</f>
        <v>37.451758376644733</v>
      </c>
      <c r="H45">
        <f>D27</f>
        <v>61</v>
      </c>
      <c r="I45" t="e">
        <f ca="1">D31</f>
        <v>#N/A</v>
      </c>
      <c r="J45">
        <f>D27</f>
        <v>61</v>
      </c>
      <c r="K45">
        <f>D32</f>
        <v>34.56</v>
      </c>
    </row>
    <row r="46" spans="1:11" x14ac:dyDescent="0.3">
      <c r="B46">
        <f>E27</f>
        <v>71</v>
      </c>
      <c r="C46">
        <f>E28</f>
        <v>16.288569087411794</v>
      </c>
      <c r="D46">
        <f>E27</f>
        <v>71</v>
      </c>
      <c r="E46">
        <f ca="1">E29</f>
        <v>107.95877718857142</v>
      </c>
      <c r="F46">
        <f>E27</f>
        <v>71</v>
      </c>
      <c r="G46">
        <f>E30</f>
        <v>41.571451798075657</v>
      </c>
      <c r="H46">
        <f>E27</f>
        <v>71</v>
      </c>
      <c r="I46" t="e">
        <f ca="1">E31</f>
        <v>#N/A</v>
      </c>
      <c r="J46">
        <f>E27</f>
        <v>71</v>
      </c>
      <c r="K46">
        <f>E32</f>
        <v>55.296000000000006</v>
      </c>
    </row>
    <row r="47" spans="1:11" x14ac:dyDescent="0.3">
      <c r="B47">
        <f>F27</f>
        <v>81</v>
      </c>
      <c r="C47">
        <f>F28</f>
        <v>21.533488333558392</v>
      </c>
      <c r="D47">
        <f>F27</f>
        <v>81</v>
      </c>
      <c r="E47">
        <f ca="1">F29</f>
        <v>141.2100805626514</v>
      </c>
      <c r="F47">
        <f>F27</f>
        <v>81</v>
      </c>
      <c r="G47" t="e">
        <f ca="1">F31</f>
        <v>#N/A</v>
      </c>
      <c r="H47">
        <f>F27</f>
        <v>81</v>
      </c>
      <c r="I47" t="e">
        <f ca="1">F31</f>
        <v>#N/A</v>
      </c>
      <c r="J47">
        <f>F27</f>
        <v>81</v>
      </c>
      <c r="K47">
        <f>F32</f>
        <v>88.473600000000005</v>
      </c>
    </row>
  </sheetData>
  <mergeCells count="1">
    <mergeCell ref="A23:F2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C145-3AE3-44FA-B638-4DEA3B2EFC9F}">
  <dimension ref="A1:Z47"/>
  <sheetViews>
    <sheetView topLeftCell="D2" zoomScale="73" zoomScaleNormal="73" workbookViewId="0">
      <selection activeCell="N21" sqref="N21"/>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135</v>
      </c>
      <c r="D1" s="2" t="s">
        <v>14</v>
      </c>
      <c r="E1" s="2"/>
      <c r="F1" s="2" t="s">
        <v>38</v>
      </c>
      <c r="G1" s="2" t="s">
        <v>39</v>
      </c>
      <c r="H1" s="2" t="s">
        <v>40</v>
      </c>
      <c r="I1" s="2" t="s">
        <v>41</v>
      </c>
      <c r="J1" s="2"/>
      <c r="K1" s="2"/>
      <c r="L1" s="2"/>
      <c r="M1" s="2" t="s">
        <v>42</v>
      </c>
      <c r="N1" s="2"/>
      <c r="O1" s="2"/>
    </row>
    <row r="2" spans="1:15" ht="28.8" x14ac:dyDescent="0.3">
      <c r="A2" s="8" t="s">
        <v>12</v>
      </c>
      <c r="B2" s="8">
        <v>50</v>
      </c>
      <c r="D2" s="9" t="s">
        <v>15</v>
      </c>
      <c r="E2" s="9">
        <v>36</v>
      </c>
      <c r="F2" s="2">
        <f>E2+(E2/100*10)</f>
        <v>39.6</v>
      </c>
      <c r="G2" s="2">
        <f>F2+(F2/100*10)</f>
        <v>43.56</v>
      </c>
      <c r="H2" s="2">
        <f>G2+(G2/100*10)</f>
        <v>47.916000000000004</v>
      </c>
      <c r="I2" s="2">
        <f>H2+(H2/100*15)</f>
        <v>55.103400000000008</v>
      </c>
      <c r="J2" s="9"/>
      <c r="K2" s="2"/>
      <c r="L2" s="9" t="s">
        <v>0</v>
      </c>
      <c r="M2" s="28">
        <f>B27+ ((1 -((E2 / 26.6) * 0.7 )-((E3/ 100) * 0.3 )) * 100)</f>
        <v>24.663157894736859</v>
      </c>
      <c r="N2" s="2"/>
      <c r="O2" s="2"/>
    </row>
    <row r="3" spans="1:15" ht="172.8" x14ac:dyDescent="0.3">
      <c r="A3" s="8" t="s">
        <v>93</v>
      </c>
      <c r="B3" s="2" t="s">
        <v>136</v>
      </c>
      <c r="D3" s="9" t="s">
        <v>16</v>
      </c>
      <c r="E3" s="9">
        <v>102</v>
      </c>
      <c r="F3" s="2">
        <f>E3-(E3/100*10)</f>
        <v>91.8</v>
      </c>
      <c r="G3" s="2">
        <f>F3-(F3/100*10)</f>
        <v>82.62</v>
      </c>
      <c r="H3" s="2">
        <f>G3-(G3/100*15)</f>
        <v>70.227000000000004</v>
      </c>
      <c r="I3" s="2">
        <f>H3-(H3/100*15)</f>
        <v>59.692950000000003</v>
      </c>
      <c r="J3" s="9"/>
      <c r="K3" s="2"/>
      <c r="L3" s="10" t="s">
        <v>1</v>
      </c>
      <c r="M3" s="10">
        <f ca="1">((J4/100*50)+(J5/100*25)+(J6/100*25))</f>
        <v>43.333333333333329</v>
      </c>
      <c r="N3" s="2"/>
      <c r="O3" s="25" t="s">
        <v>8</v>
      </c>
    </row>
    <row r="4" spans="1:15" ht="18" customHeight="1" x14ac:dyDescent="0.3">
      <c r="D4" s="10" t="s">
        <v>18</v>
      </c>
      <c r="E4" s="10">
        <v>30</v>
      </c>
      <c r="F4" s="2">
        <f>E4+(E4/100*10)</f>
        <v>33</v>
      </c>
      <c r="G4" s="2">
        <f>F4+(F4/100*10)</f>
        <v>36.299999999999997</v>
      </c>
      <c r="H4" s="2">
        <f>G4+(G4/100*6)+(G4/100*6)</f>
        <v>40.655999999999992</v>
      </c>
      <c r="I4" s="2">
        <f>H4+((H4/100)*15)</f>
        <v>46.75439999999999</v>
      </c>
      <c r="J4" s="10">
        <f ca="1">IF(B27&lt;30, FORECAST(E4, OFFSET(Strength_Normative_Data!$A$3, MATCH(E4, Strength_Normative_Data!$C$3:$C$5, 1)-1, 0, 2), OFFSET(Strength_Normative_Data!$C$3, MATCH(E4, Strength_Normative_Data!$C$3:$C$5, 1)-1, 0, 2)), FORECAST(E4, OFFSET(Strength_Normative_Data!$A$5, MATCH(E4, Strength_Normative_Data!$C$5:$C$16, -1)-1, 0, 2), OFFSET(Strength_Normative_Data!$C$5, MATCH(E4, Strength_Normative_Data!$C$5:$C$16, -1)-1, 0, 2)))</f>
        <v>40</v>
      </c>
      <c r="K4" s="2"/>
      <c r="L4" s="11" t="s">
        <v>2</v>
      </c>
      <c r="M4" s="11">
        <f>B27 - 9*M11</f>
        <v>47.176977443609019</v>
      </c>
      <c r="N4" s="2"/>
      <c r="O4" s="25" t="e">
        <f ca="1">A37</f>
        <v>#N/A</v>
      </c>
    </row>
    <row r="5" spans="1:15" ht="28.8" x14ac:dyDescent="0.3">
      <c r="D5" s="10" t="s">
        <v>19</v>
      </c>
      <c r="E5" s="10">
        <v>2.6</v>
      </c>
      <c r="F5" s="2">
        <f>E5+(E5/100*12)</f>
        <v>2.9119999999999999</v>
      </c>
      <c r="G5" s="2">
        <f>F5+(F5/100*12)</f>
        <v>3.2614399999999999</v>
      </c>
      <c r="H5" s="2">
        <f>G5+(G5/100*1.2) + (G5/100* 13.5)</f>
        <v>3.7408716799999997</v>
      </c>
      <c r="I5" s="2">
        <f>H5+(H5/100*15)</f>
        <v>4.3020024320000001</v>
      </c>
      <c r="J5" s="10">
        <f ca="1">FORECAST(E5, OFFSET(Strength_Normative_Data!$O$3, MATCH(E5, Strength_Normative_Data!$Q$3:$Q$17, -1)-1, 0, 2), OFFSET(Strength_Normative_Data!$Q$3, MATCH(E5, Strength_Normative_Data!$Q$3:$Q$17, -1)-1, 0, 2))</f>
        <v>43.333333333333329</v>
      </c>
      <c r="K5" s="2"/>
      <c r="L5" s="12" t="s">
        <v>29</v>
      </c>
      <c r="M5" s="12" t="e">
        <f ca="1">((J14/100*30)+(J15/100*25)+(J16/100*30)+(J17/100*15))</f>
        <v>#N/A</v>
      </c>
      <c r="N5" s="2"/>
      <c r="O5" s="2"/>
    </row>
    <row r="6" spans="1:15" x14ac:dyDescent="0.3">
      <c r="D6" s="10" t="s">
        <v>20</v>
      </c>
      <c r="E6" s="10">
        <v>24</v>
      </c>
      <c r="F6" s="2">
        <f>E6+(E6/100*12)</f>
        <v>26.88</v>
      </c>
      <c r="G6" s="2">
        <f>F6+(F6/100*12)</f>
        <v>30.105599999999999</v>
      </c>
      <c r="H6" s="2">
        <f>G6+(G6/100*1.2) + (G6/100* 13.5)</f>
        <v>34.531123199999996</v>
      </c>
      <c r="I6" s="2">
        <f>H6+(H6/100*15)</f>
        <v>39.710791679999993</v>
      </c>
      <c r="J6" s="10">
        <f ca="1">FORECAST(E6, OFFSET(Strength_Normative_Data!$J$3, MATCH(E6, Strength_Normative_Data!$L$3:$L$16, -1)-1, 0, 2), OFFSET(Strength_Normative_Data!$L$3, MATCH(E6, Strength_Normative_Data!$L$3:$L$16, -1)-1, 0, 2))</f>
        <v>50</v>
      </c>
      <c r="K6" s="2"/>
      <c r="L6" s="13" t="s">
        <v>4</v>
      </c>
      <c r="M6" s="13">
        <f>((J18/100*60)+(J19/100*40))</f>
        <v>18</v>
      </c>
      <c r="N6" s="2"/>
      <c r="O6" s="2"/>
    </row>
    <row r="7" spans="1:15" x14ac:dyDescent="0.3">
      <c r="D7" s="11" t="s">
        <v>22</v>
      </c>
      <c r="E7" s="11">
        <v>25</v>
      </c>
      <c r="F7" s="2">
        <f>E7+(E7/100*6)</f>
        <v>26.5</v>
      </c>
      <c r="G7" s="2">
        <f t="shared" ref="G7:I7" si="0">F7+(F7/100*6)</f>
        <v>28.09</v>
      </c>
      <c r="H7" s="2">
        <f t="shared" si="0"/>
        <v>29.775400000000001</v>
      </c>
      <c r="I7" s="2">
        <f t="shared" si="0"/>
        <v>31.561924000000001</v>
      </c>
      <c r="J7" s="11"/>
      <c r="K7" s="2"/>
      <c r="L7" s="2"/>
      <c r="M7" s="2"/>
      <c r="N7" s="2"/>
      <c r="O7" s="2"/>
    </row>
    <row r="8" spans="1:15" ht="28.8" x14ac:dyDescent="0.3">
      <c r="D8" s="11" t="s">
        <v>23</v>
      </c>
      <c r="E8" s="11">
        <v>0.48</v>
      </c>
      <c r="F8" s="2">
        <f>E8+(E8/100*4)</f>
        <v>0.49919999999999998</v>
      </c>
      <c r="G8" s="2">
        <f t="shared" ref="G8:I8" si="1">F8+(F8/100*4)</f>
        <v>0.51916799999999996</v>
      </c>
      <c r="H8" s="2">
        <f t="shared" si="1"/>
        <v>0.53993471999999998</v>
      </c>
      <c r="I8" s="2">
        <f t="shared" si="1"/>
        <v>0.56153210879999993</v>
      </c>
      <c r="J8" s="11">
        <f xml:space="preserve">
IF(E8&lt;=0.4,0,
IF(E8&lt;=0.5,20*(E8-0.4)/0.1,
IF(E8&lt;=0.6,20+40*(E8-0.5)/0.1,
60+40*(MIN(E8,0.75)-0.6)/0.15)))</f>
        <v>15.999999999999991</v>
      </c>
      <c r="K8" s="2"/>
      <c r="L8" s="2"/>
      <c r="M8" s="2"/>
      <c r="N8" s="2"/>
      <c r="O8" s="2"/>
    </row>
    <row r="9" spans="1:15" ht="28.8" x14ac:dyDescent="0.3">
      <c r="D9" s="11" t="s">
        <v>24</v>
      </c>
      <c r="E9" s="11">
        <v>5.5</v>
      </c>
      <c r="F9" s="2"/>
      <c r="G9" s="2"/>
      <c r="H9" s="2"/>
      <c r="I9" s="2"/>
      <c r="J9" s="11"/>
      <c r="K9" s="2"/>
      <c r="L9" s="2"/>
      <c r="M9" s="2"/>
      <c r="N9" s="2"/>
      <c r="O9" s="2"/>
    </row>
    <row r="10" spans="1:15" ht="28.8" x14ac:dyDescent="0.3">
      <c r="D10" s="11" t="s">
        <v>25</v>
      </c>
      <c r="E10" s="11">
        <v>5.6</v>
      </c>
      <c r="F10" s="2">
        <f>E10+(E10/100*5)</f>
        <v>5.88</v>
      </c>
      <c r="G10" s="2">
        <f t="shared" ref="G10:I10" si="2">F10+(F10/100*5)</f>
        <v>6.1739999999999995</v>
      </c>
      <c r="H10" s="2">
        <f t="shared" si="2"/>
        <v>6.4826999999999995</v>
      </c>
      <c r="I10" s="2">
        <f t="shared" si="2"/>
        <v>6.8068349999999995</v>
      </c>
      <c r="J10" s="11">
        <f xml:space="preserve">
IF(E10&lt;5.7,10*(E10/5.7),
IF(E10&lt;6.5,10+40*(E10-5.7)/0.8,
50+50*(MIN(E10,9)-6.5)/2.5))</f>
        <v>9.8245614035087705</v>
      </c>
      <c r="K10" s="2"/>
      <c r="L10" s="2" t="s">
        <v>89</v>
      </c>
      <c r="M10" s="2" t="s">
        <v>90</v>
      </c>
      <c r="N10" s="2"/>
      <c r="O10" s="2"/>
    </row>
    <row r="11" spans="1:15" x14ac:dyDescent="0.3">
      <c r="D11" s="11" t="s">
        <v>26</v>
      </c>
      <c r="E11" s="11">
        <v>1.9</v>
      </c>
      <c r="F11" s="2">
        <f>E11+(E11/100*14)</f>
        <v>2.1659999999999999</v>
      </c>
      <c r="G11" s="2">
        <f t="shared" ref="G11:I11" si="3">F11+(F11/100*14)</f>
        <v>2.4692400000000001</v>
      </c>
      <c r="H11" s="2">
        <f t="shared" si="3"/>
        <v>2.8149336000000003</v>
      </c>
      <c r="I11" s="2">
        <f t="shared" si="3"/>
        <v>3.2090243040000002</v>
      </c>
      <c r="J11" s="11">
        <f xml:space="preserve">
IF(E11&lt;1.6,10*(E11/1.6),
IF(E11&lt;3,10+40*(E11-1.6)/1.4,
50+50*(MIN(E11,7)-3)/4))</f>
        <v>18.571428571428569</v>
      </c>
      <c r="K11" s="2"/>
      <c r="L11" s="2">
        <f>(0.3*K12)+(0.2*J8)+(0.15*J10)+(0.25*J11)+(0.1*J13)</f>
        <v>19.316541353383457</v>
      </c>
      <c r="M11" s="2">
        <f xml:space="preserve">
IF(L11&lt;=10,1.5-0.1*L11,
IF(L11&lt;=60,0.5-0.02*(L11-10),
-0.5-0.03*(L11-60)))</f>
        <v>0.31366917293233088</v>
      </c>
      <c r="N11" s="2"/>
      <c r="O11" s="2"/>
    </row>
    <row r="12" spans="1:15" x14ac:dyDescent="0.3">
      <c r="D12" s="11" t="s">
        <v>27</v>
      </c>
      <c r="E12" s="11">
        <v>0.9</v>
      </c>
      <c r="F12" s="2">
        <f>E12+(E12/100*6)</f>
        <v>0.95400000000000007</v>
      </c>
      <c r="G12" s="2">
        <f t="shared" ref="G12:I12" si="4">F12+(F12/100*6)</f>
        <v>1.0112400000000001</v>
      </c>
      <c r="H12" s="2">
        <f t="shared" si="4"/>
        <v>1.0719144</v>
      </c>
      <c r="I12" s="2">
        <f t="shared" si="4"/>
        <v>1.136229264</v>
      </c>
      <c r="J12" s="11">
        <f>E12*100</f>
        <v>90</v>
      </c>
      <c r="K12" s="11">
        <f xml:space="preserve">
IF(J12&lt;80,5*(J12/80),
IF(J12&lt;100,10+20*(J12-80)/20,
IF(J12&lt;130,30+25*(J12-100)/30,
IF(J12&lt;160,55+25*(J12-130)/30,
IF(J12&lt;200,80+20*(J12-160)/40,100)))))</f>
        <v>20</v>
      </c>
      <c r="L12" s="2"/>
      <c r="M12" s="2"/>
      <c r="N12" s="2"/>
      <c r="O12" s="2"/>
    </row>
    <row r="13" spans="1:15" x14ac:dyDescent="0.3">
      <c r="D13" s="11" t="s">
        <v>28</v>
      </c>
      <c r="E13" s="11">
        <v>2.5</v>
      </c>
      <c r="F13" s="2">
        <f>E13+(E13/100*18)</f>
        <v>2.95</v>
      </c>
      <c r="G13" s="2">
        <f t="shared" ref="G13:I13" si="5">F13+(F13/100*18)</f>
        <v>3.4810000000000003</v>
      </c>
      <c r="H13" s="2">
        <f t="shared" si="5"/>
        <v>4.1075800000000005</v>
      </c>
      <c r="I13" s="2">
        <f t="shared" si="5"/>
        <v>4.8469444000000008</v>
      </c>
      <c r="J13" s="11">
        <f xml:space="preserve">
IF(E13&lt;1,10*(E13/1),
IF(E13&lt;3,10+40*(E13-1)/2,
50+50*(MIN(E13,10)-3)/7))</f>
        <v>40</v>
      </c>
      <c r="K13" s="2"/>
      <c r="L13" s="2"/>
      <c r="M13" s="2"/>
      <c r="N13" s="2"/>
      <c r="O13" s="2"/>
    </row>
    <row r="14" spans="1:15" x14ac:dyDescent="0.3">
      <c r="D14" s="12" t="s">
        <v>30</v>
      </c>
      <c r="E14" s="12">
        <v>1.4</v>
      </c>
      <c r="F14" s="2">
        <f>E14-(E14/100*6)</f>
        <v>1.3159999999999998</v>
      </c>
      <c r="G14" s="2">
        <f>F14+(F14/100*6)</f>
        <v>1.3949599999999998</v>
      </c>
      <c r="H14" s="2">
        <f>G14+(G14/100*7)</f>
        <v>1.4926071999999997</v>
      </c>
      <c r="I14" s="2">
        <f>H14+(H14/100*7)</f>
        <v>1.5970897039999996</v>
      </c>
      <c r="J14" s="12" t="e">
        <f ca="1">IFERROR(FORECAST(E14, OFFSET(Mobility_Normative_Data!$A$3, MATCH(E14, Mobility_Normative_Data!$C$3:$C$17, -1)-1, 0, 2), OFFSET(Mobility_Normative_Data!$C$3, MATCH(E14, Mobility_Normative_Data!$C$3:$C$17, -1)-1, 0, 2)), INDEX(Mobility_Normative_Data!$A$3:$A$17, MATCH(E14, Mobility_Normative_Data!$C$3:$C$17, -1)))</f>
        <v>#N/A</v>
      </c>
      <c r="K14" s="2"/>
      <c r="L14" s="2"/>
      <c r="M14" s="2"/>
      <c r="N14" s="2"/>
      <c r="O14" s="2"/>
    </row>
    <row r="15" spans="1:15" ht="28.8" x14ac:dyDescent="0.3">
      <c r="D15" s="12" t="s">
        <v>31</v>
      </c>
      <c r="E15" s="12">
        <v>6.2</v>
      </c>
      <c r="F15" s="2">
        <f>E15+(E15/100*10)</f>
        <v>6.82</v>
      </c>
      <c r="G15" s="2">
        <f>F15+(F15/100*10)</f>
        <v>7.5020000000000007</v>
      </c>
      <c r="H15" s="2">
        <f>G15+(G15/100*10)</f>
        <v>8.2522000000000002</v>
      </c>
      <c r="I15" s="2">
        <f>H15+(H15/100*10)</f>
        <v>9.07742</v>
      </c>
      <c r="J15" s="12">
        <f ca="1">FORECAST(E15, OFFSET(Mobility_Normative_Data!$E$3, MATCH(E15, Mobility_Normative_Data!$F$3:$F$18, 1)-1, 0, 2), OFFSET(Mobility_Normative_Data!$F$3, MATCH(E15, Mobility_Normative_Data!$F$3:$F$18, 1)-1, 0, 2))</f>
        <v>42</v>
      </c>
      <c r="K15" s="2"/>
      <c r="L15" s="2"/>
      <c r="M15" s="2"/>
      <c r="N15" s="2"/>
      <c r="O15" s="2"/>
    </row>
    <row r="16" spans="1:15" ht="28.8" x14ac:dyDescent="0.3">
      <c r="D16" s="12" t="s">
        <v>32</v>
      </c>
      <c r="E16" s="12">
        <v>30</v>
      </c>
      <c r="F16" s="2">
        <f>E16-(E16/100*20)</f>
        <v>24</v>
      </c>
      <c r="G16" s="2">
        <f>F16+(F16/100*20)</f>
        <v>28.8</v>
      </c>
      <c r="H16" s="2">
        <f t="shared" ref="H16:I16" si="6">G16+(G16/100*20)</f>
        <v>34.56</v>
      </c>
      <c r="I16" s="2">
        <f t="shared" si="6"/>
        <v>41.472000000000001</v>
      </c>
      <c r="J16" s="12">
        <f ca="1">FORECAST(E16, OFFSET(Mobility_Normative_Data!$I$3, MATCH(E16, Mobility_Normative_Data!$J$3:$J$17, -1)-1, 0, 2), OFFSET(Mobility_Normative_Data!$J$3, MATCH(E16, Mobility_Normative_Data!$J$3:$J$17, -1)-1, 0, 2))</f>
        <v>60</v>
      </c>
      <c r="K16" s="2"/>
      <c r="L16" s="2"/>
      <c r="M16" s="2"/>
      <c r="N16" s="2"/>
      <c r="O16" s="2"/>
    </row>
    <row r="17" spans="1:15" x14ac:dyDescent="0.3">
      <c r="D17" s="12" t="s">
        <v>33</v>
      </c>
      <c r="E17" s="12">
        <v>22</v>
      </c>
      <c r="F17" s="2">
        <f>E17-(E17/100*10)</f>
        <v>19.8</v>
      </c>
      <c r="G17" s="2">
        <f>F17+(F17/100*10)</f>
        <v>21.78</v>
      </c>
      <c r="H17" s="2">
        <f>G17+(G17/100*10)</f>
        <v>23.958000000000002</v>
      </c>
      <c r="I17" s="2">
        <f>H17+(H17/100*10)</f>
        <v>26.353800000000003</v>
      </c>
      <c r="J17" s="12">
        <f ca="1">FORECAST(E17, OFFSET(Mobility_Normative_Data!$M$3, MATCH(E17, Mobility_Normative_Data!$N$3:$N$17, -1)-1, 0, 2), OFFSET(Mobility_Normative_Data!$N$3, MATCH(E17, Mobility_Normative_Data!$N$3:$N$17, -1)-1, 0, 2))</f>
        <v>80</v>
      </c>
      <c r="K17" s="2"/>
      <c r="L17" s="2"/>
      <c r="M17" s="2"/>
      <c r="N17" s="2"/>
      <c r="O17" s="2"/>
    </row>
    <row r="18" spans="1:15" ht="28.8" x14ac:dyDescent="0.3">
      <c r="D18" s="13" t="s">
        <v>35</v>
      </c>
      <c r="E18" s="13">
        <v>2.2000000000000002</v>
      </c>
      <c r="F18" s="2">
        <f>E18 +(-0.2)</f>
        <v>2</v>
      </c>
      <c r="G18" s="2">
        <f>F18 +(-0.2)</f>
        <v>1.8</v>
      </c>
      <c r="H18" s="2">
        <f>G18 +(-0.3)</f>
        <v>1.5</v>
      </c>
      <c r="I18" s="2">
        <f>H18 +(-0.3)</f>
        <v>1.2</v>
      </c>
      <c r="J18" s="13">
        <f>MAX(18,B27-(E18*25))</f>
        <v>18</v>
      </c>
      <c r="K18" s="2"/>
      <c r="L18" s="2"/>
      <c r="M18" s="2"/>
      <c r="N18" s="2"/>
      <c r="O18" s="2"/>
    </row>
    <row r="19" spans="1:15" ht="28.8" x14ac:dyDescent="0.3">
      <c r="D19" s="13" t="s">
        <v>36</v>
      </c>
      <c r="E19" s="13">
        <v>2.5</v>
      </c>
      <c r="F19" s="2">
        <f>E19+(-0.2)</f>
        <v>2.2999999999999998</v>
      </c>
      <c r="G19" s="2">
        <f>F19 +(-0.2)</f>
        <v>2.0999999999999996</v>
      </c>
      <c r="H19" s="2">
        <f>G19 +(-0.3)</f>
        <v>1.7999999999999996</v>
      </c>
      <c r="I19" s="2">
        <f>H19 +(-0.3)</f>
        <v>1.4999999999999996</v>
      </c>
      <c r="J19" s="13">
        <f>MAX(18,B27-(E19*35))</f>
        <v>18</v>
      </c>
      <c r="K19" s="2"/>
      <c r="L19" s="2"/>
      <c r="M19" s="2"/>
      <c r="N19" s="2"/>
      <c r="O19" s="2"/>
    </row>
    <row r="23" spans="1:15" x14ac:dyDescent="0.3">
      <c r="A23" s="43" t="s">
        <v>37</v>
      </c>
      <c r="B23" s="43"/>
      <c r="C23" s="43"/>
      <c r="D23" s="43"/>
      <c r="E23" s="43"/>
      <c r="F23" s="43"/>
    </row>
    <row r="25" spans="1:15" x14ac:dyDescent="0.3">
      <c r="B25" t="s">
        <v>5</v>
      </c>
      <c r="C25" t="s">
        <v>6</v>
      </c>
      <c r="D25" t="s">
        <v>9</v>
      </c>
      <c r="E25" t="s">
        <v>10</v>
      </c>
      <c r="F25" t="s">
        <v>11</v>
      </c>
    </row>
    <row r="26" spans="1:15" x14ac:dyDescent="0.3">
      <c r="A26" t="s">
        <v>43</v>
      </c>
      <c r="B26" t="s">
        <v>44</v>
      </c>
    </row>
    <row r="27" spans="1:15" x14ac:dyDescent="0.3">
      <c r="A27" t="s">
        <v>7</v>
      </c>
      <c r="B27">
        <f>B2</f>
        <v>50</v>
      </c>
      <c r="C27">
        <f>B27+10</f>
        <v>60</v>
      </c>
      <c r="D27">
        <f>C27+10</f>
        <v>70</v>
      </c>
      <c r="E27">
        <f>D27+10</f>
        <v>80</v>
      </c>
      <c r="F27">
        <f>E27+10</f>
        <v>90</v>
      </c>
    </row>
    <row r="28" spans="1:15" x14ac:dyDescent="0.3">
      <c r="A28" t="s">
        <v>0</v>
      </c>
      <c r="B28" s="24">
        <f>M2</f>
        <v>24.663157894736859</v>
      </c>
      <c r="C28">
        <f>B28+(B28/100*11.5)</f>
        <v>27.499421052631597</v>
      </c>
      <c r="D28">
        <f>C28+(C28/100*32.2)</f>
        <v>36.354234631578969</v>
      </c>
      <c r="E28">
        <f>D28+(D28/100*32.2)</f>
        <v>48.060298182947399</v>
      </c>
      <c r="F28">
        <f>E28+(E28/100*32.2)</f>
        <v>63.535714197856464</v>
      </c>
    </row>
    <row r="29" spans="1:15" x14ac:dyDescent="0.3">
      <c r="A29" t="s">
        <v>1</v>
      </c>
      <c r="B29">
        <f ca="1">M3</f>
        <v>43.333333333333329</v>
      </c>
      <c r="C29">
        <f ca="1">B29+(B29/100*12.3)</f>
        <v>48.663333333333327</v>
      </c>
      <c r="D29">
        <f ca="1">C29+(C29/100*30.8)</f>
        <v>63.651639999999993</v>
      </c>
      <c r="E29">
        <f ca="1">D29+(D29/100*30.8)</f>
        <v>83.256345119999992</v>
      </c>
      <c r="F29">
        <f ca="1">E29+(E29/100*30.8)</f>
        <v>108.89929941695999</v>
      </c>
    </row>
    <row r="30" spans="1:15" x14ac:dyDescent="0.3">
      <c r="A30" t="s">
        <v>2</v>
      </c>
      <c r="B30">
        <f>M4</f>
        <v>47.176977443609019</v>
      </c>
      <c r="C30">
        <f>B30+(B30/100*5.5)</f>
        <v>49.771711203007513</v>
      </c>
      <c r="D30">
        <f>C30+(C30/100*11)</f>
        <v>55.246599435338339</v>
      </c>
      <c r="E30">
        <f>D30+(D30/100*11)</f>
        <v>61.323725373225557</v>
      </c>
      <c r="F30">
        <f>E30+(E30/100*11)</f>
        <v>68.069335164280375</v>
      </c>
    </row>
    <row r="31" spans="1:15" x14ac:dyDescent="0.3">
      <c r="A31" t="s">
        <v>3</v>
      </c>
      <c r="B31" t="e">
        <f ca="1">M5</f>
        <v>#N/A</v>
      </c>
      <c r="C31" t="e">
        <f ca="1">B31+(B31/100*9.9)</f>
        <v>#N/A</v>
      </c>
      <c r="D31" t="e">
        <f ca="1">C31+(C31/100*19.8)</f>
        <v>#N/A</v>
      </c>
      <c r="E31" t="e">
        <f ca="1">D31+(D31/100*19.8)</f>
        <v>#N/A</v>
      </c>
      <c r="F31" t="e">
        <f ca="1">E31+(E31/100*19.8)</f>
        <v>#N/A</v>
      </c>
    </row>
    <row r="32" spans="1:15" x14ac:dyDescent="0.3">
      <c r="A32" t="s">
        <v>4</v>
      </c>
      <c r="B32">
        <f>M6</f>
        <v>18</v>
      </c>
      <c r="C32">
        <f>B32+(B32/100*20)</f>
        <v>21.6</v>
      </c>
      <c r="D32">
        <f>C32+(C32/100*60)</f>
        <v>34.56</v>
      </c>
      <c r="E32">
        <f>D32+(D32/100*60)</f>
        <v>55.296000000000006</v>
      </c>
      <c r="F32">
        <f>E32+(E32/100*60)</f>
        <v>88.473600000000005</v>
      </c>
    </row>
    <row r="35" spans="1:26" ht="28.8" x14ac:dyDescent="0.3">
      <c r="M35" s="2" t="s">
        <v>103</v>
      </c>
      <c r="N35" s="2" t="s">
        <v>106</v>
      </c>
      <c r="O35" s="2"/>
      <c r="P35" s="2" t="s">
        <v>103</v>
      </c>
      <c r="Q35" s="2" t="s">
        <v>105</v>
      </c>
      <c r="R35" s="2"/>
      <c r="S35" s="2" t="s">
        <v>103</v>
      </c>
      <c r="T35" s="2" t="s">
        <v>107</v>
      </c>
      <c r="U35" s="2"/>
      <c r="V35" s="2" t="s">
        <v>103</v>
      </c>
      <c r="W35" s="2" t="s">
        <v>108</v>
      </c>
      <c r="X35" s="2"/>
      <c r="Y35" s="2" t="s">
        <v>103</v>
      </c>
      <c r="Z35" s="2" t="s">
        <v>109</v>
      </c>
    </row>
    <row r="36" spans="1:26" x14ac:dyDescent="0.3">
      <c r="A36" t="s">
        <v>8</v>
      </c>
      <c r="M36" s="2">
        <f>B27</f>
        <v>50</v>
      </c>
      <c r="N36" s="27">
        <f>M2</f>
        <v>24.663157894736859</v>
      </c>
      <c r="O36" s="2"/>
      <c r="P36" s="2">
        <f>M36</f>
        <v>50</v>
      </c>
      <c r="Q36" s="2">
        <f ca="1">M3</f>
        <v>43.333333333333329</v>
      </c>
      <c r="R36" s="2"/>
      <c r="S36" s="2">
        <f>M36</f>
        <v>50</v>
      </c>
      <c r="T36" s="2">
        <f>M4</f>
        <v>47.176977443609019</v>
      </c>
      <c r="U36" s="2"/>
      <c r="V36" s="2">
        <f>M36</f>
        <v>50</v>
      </c>
      <c r="W36" s="2" t="e">
        <f ca="1">M5</f>
        <v>#N/A</v>
      </c>
      <c r="X36" s="2"/>
      <c r="Y36" s="2">
        <f>M36</f>
        <v>50</v>
      </c>
      <c r="Z36">
        <f>M6</f>
        <v>18</v>
      </c>
    </row>
    <row r="37" spans="1:26" x14ac:dyDescent="0.3">
      <c r="A37" s="1" t="e">
        <f ca="1">(B28/100*20)+(B29/100*20)+(B30/100*25)+(B31/100*20)+(B32/100*15)</f>
        <v>#N/A</v>
      </c>
      <c r="M37" s="2">
        <f>M36+1</f>
        <v>51</v>
      </c>
      <c r="N37" s="2">
        <f t="shared" ref="N37:N46" si="7">N36-(N36*0.0115)</f>
        <v>24.379531578947386</v>
      </c>
      <c r="O37" s="2"/>
      <c r="P37" s="2">
        <f>P36+1</f>
        <v>51</v>
      </c>
      <c r="Q37" s="2">
        <f ca="1">Q36+(Q36*0.0123)</f>
        <v>43.86633333333333</v>
      </c>
      <c r="R37" s="2"/>
      <c r="S37" s="2">
        <f>S36+1</f>
        <v>51</v>
      </c>
      <c r="T37" s="2">
        <f>T36+(T36*0.011)</f>
        <v>47.695924195488715</v>
      </c>
      <c r="U37" s="2"/>
      <c r="V37" s="2">
        <f>V36+1</f>
        <v>51</v>
      </c>
      <c r="W37" s="2" t="e">
        <f ca="1">W36+(W36*0.0099)</f>
        <v>#N/A</v>
      </c>
      <c r="X37" s="2"/>
      <c r="Y37" s="2">
        <f>Y36+1</f>
        <v>51</v>
      </c>
      <c r="Z37">
        <f>Z36+(Z36*0.02)</f>
        <v>18.36</v>
      </c>
    </row>
    <row r="38" spans="1:26" x14ac:dyDescent="0.3">
      <c r="M38" s="2">
        <f t="shared" ref="M38:M46" si="8">M37+1</f>
        <v>52</v>
      </c>
      <c r="N38" s="2">
        <f t="shared" si="7"/>
        <v>24.09916696578949</v>
      </c>
      <c r="O38" s="2"/>
      <c r="P38" s="2">
        <f t="shared" ref="P38:P46" si="9">P37+1</f>
        <v>52</v>
      </c>
      <c r="Q38" s="2">
        <f t="shared" ref="Q38:Q46" ca="1" si="10">Q37+(Q37*0.0123)</f>
        <v>44.405889233333333</v>
      </c>
      <c r="R38" s="2"/>
      <c r="S38" s="2">
        <f t="shared" ref="S38:S46" si="11">S37+1</f>
        <v>52</v>
      </c>
      <c r="T38" s="2">
        <f t="shared" ref="T38:T46" si="12">T37+(T37*0.011)</f>
        <v>48.220579361639089</v>
      </c>
      <c r="U38" s="2"/>
      <c r="V38" s="2">
        <f t="shared" ref="V38:V46" si="13">V37+1</f>
        <v>52</v>
      </c>
      <c r="W38" s="2" t="e">
        <f t="shared" ref="W38:W46" ca="1" si="14">W37+(W37*0.0099)</f>
        <v>#N/A</v>
      </c>
      <c r="X38" s="2"/>
      <c r="Y38" s="2">
        <f t="shared" ref="Y38:Y46" si="15">Y37+1</f>
        <v>52</v>
      </c>
      <c r="Z38">
        <f t="shared" ref="Z38:Z46" si="16">Z37+(Z37*0.02)</f>
        <v>18.7272</v>
      </c>
    </row>
    <row r="39" spans="1:26" x14ac:dyDescent="0.3">
      <c r="M39" s="2">
        <f t="shared" si="8"/>
        <v>53</v>
      </c>
      <c r="N39" s="2">
        <f t="shared" si="7"/>
        <v>23.82202654568291</v>
      </c>
      <c r="O39" s="2"/>
      <c r="P39" s="2">
        <f t="shared" si="9"/>
        <v>53</v>
      </c>
      <c r="Q39" s="2">
        <f t="shared" ca="1" si="10"/>
        <v>44.952081670903333</v>
      </c>
      <c r="R39" s="2"/>
      <c r="S39" s="2">
        <f t="shared" si="11"/>
        <v>53</v>
      </c>
      <c r="T39" s="2">
        <f t="shared" si="12"/>
        <v>48.751005734617117</v>
      </c>
      <c r="U39" s="2"/>
      <c r="V39" s="2">
        <f t="shared" si="13"/>
        <v>53</v>
      </c>
      <c r="W39" s="2" t="e">
        <f t="shared" ca="1" si="14"/>
        <v>#N/A</v>
      </c>
      <c r="X39" s="2"/>
      <c r="Y39" s="2">
        <f t="shared" si="15"/>
        <v>53</v>
      </c>
      <c r="Z39">
        <f t="shared" si="16"/>
        <v>19.101744</v>
      </c>
    </row>
    <row r="40" spans="1:26" x14ac:dyDescent="0.3">
      <c r="M40" s="2">
        <f t="shared" si="8"/>
        <v>54</v>
      </c>
      <c r="N40" s="2">
        <f t="shared" si="7"/>
        <v>23.548073240407557</v>
      </c>
      <c r="O40" s="2"/>
      <c r="P40" s="2">
        <f t="shared" si="9"/>
        <v>54</v>
      </c>
      <c r="Q40" s="2">
        <f t="shared" ca="1" si="10"/>
        <v>45.504992275455443</v>
      </c>
      <c r="R40" s="2"/>
      <c r="S40" s="2">
        <f t="shared" si="11"/>
        <v>54</v>
      </c>
      <c r="T40" s="2">
        <f t="shared" si="12"/>
        <v>49.287266797697903</v>
      </c>
      <c r="U40" s="2"/>
      <c r="V40" s="2">
        <f t="shared" si="13"/>
        <v>54</v>
      </c>
      <c r="W40" s="2" t="e">
        <f t="shared" ca="1" si="14"/>
        <v>#N/A</v>
      </c>
      <c r="X40" s="2"/>
      <c r="Y40" s="2">
        <f t="shared" si="15"/>
        <v>54</v>
      </c>
      <c r="Z40">
        <f t="shared" si="16"/>
        <v>19.483778879999999</v>
      </c>
    </row>
    <row r="41" spans="1:26" x14ac:dyDescent="0.3">
      <c r="M41" s="2">
        <f t="shared" si="8"/>
        <v>55</v>
      </c>
      <c r="N41" s="2">
        <f t="shared" si="7"/>
        <v>23.277270398142871</v>
      </c>
      <c r="O41" s="2"/>
      <c r="P41" s="2">
        <f t="shared" si="9"/>
        <v>55</v>
      </c>
      <c r="Q41" s="2">
        <f t="shared" ca="1" si="10"/>
        <v>46.064703680443543</v>
      </c>
      <c r="R41" s="2"/>
      <c r="S41" s="2">
        <f t="shared" si="11"/>
        <v>55</v>
      </c>
      <c r="T41" s="2">
        <f t="shared" si="12"/>
        <v>49.829426732472577</v>
      </c>
      <c r="U41" s="2"/>
      <c r="V41" s="2">
        <f t="shared" si="13"/>
        <v>55</v>
      </c>
      <c r="W41" s="2" t="e">
        <f t="shared" ca="1" si="14"/>
        <v>#N/A</v>
      </c>
      <c r="X41" s="2"/>
      <c r="Y41" s="2">
        <f t="shared" si="15"/>
        <v>55</v>
      </c>
      <c r="Z41">
        <f t="shared" si="16"/>
        <v>19.873454457599998</v>
      </c>
    </row>
    <row r="42" spans="1:26" x14ac:dyDescent="0.3">
      <c r="B42" t="s">
        <v>12</v>
      </c>
      <c r="C42" t="s">
        <v>0</v>
      </c>
      <c r="D42" t="s">
        <v>12</v>
      </c>
      <c r="E42" t="s">
        <v>1</v>
      </c>
      <c r="F42" t="s">
        <v>12</v>
      </c>
      <c r="G42" t="s">
        <v>2</v>
      </c>
      <c r="H42" t="s">
        <v>12</v>
      </c>
      <c r="I42" t="s">
        <v>3</v>
      </c>
      <c r="J42" t="s">
        <v>12</v>
      </c>
      <c r="K42" t="s">
        <v>4</v>
      </c>
      <c r="M42" s="2">
        <f t="shared" si="8"/>
        <v>56</v>
      </c>
      <c r="N42" s="2">
        <f t="shared" si="7"/>
        <v>23.00958178856423</v>
      </c>
      <c r="O42" s="2"/>
      <c r="P42" s="2">
        <f t="shared" si="9"/>
        <v>56</v>
      </c>
      <c r="Q42" s="2">
        <f t="shared" ca="1" si="10"/>
        <v>46.631299535712998</v>
      </c>
      <c r="R42" s="2"/>
      <c r="S42" s="2">
        <f t="shared" si="11"/>
        <v>56</v>
      </c>
      <c r="T42" s="2">
        <f t="shared" si="12"/>
        <v>50.377550426529773</v>
      </c>
      <c r="U42" s="2"/>
      <c r="V42" s="2">
        <f t="shared" si="13"/>
        <v>56</v>
      </c>
      <c r="W42" s="2" t="e">
        <f t="shared" ca="1" si="14"/>
        <v>#N/A</v>
      </c>
      <c r="X42" s="2"/>
      <c r="Y42" s="2">
        <f t="shared" si="15"/>
        <v>56</v>
      </c>
      <c r="Z42">
        <f t="shared" si="16"/>
        <v>20.270923546751998</v>
      </c>
    </row>
    <row r="43" spans="1:26" x14ac:dyDescent="0.3">
      <c r="B43">
        <f>B27</f>
        <v>50</v>
      </c>
      <c r="C43">
        <f>B28</f>
        <v>24.663157894736859</v>
      </c>
      <c r="D43">
        <f>B43</f>
        <v>50</v>
      </c>
      <c r="E43">
        <f ca="1">B29</f>
        <v>43.333333333333329</v>
      </c>
      <c r="F43">
        <f>B27</f>
        <v>50</v>
      </c>
      <c r="G43">
        <f>B30</f>
        <v>47.176977443609019</v>
      </c>
      <c r="H43">
        <f>B27</f>
        <v>50</v>
      </c>
      <c r="I43" t="e">
        <f ca="1">B31</f>
        <v>#N/A</v>
      </c>
      <c r="J43">
        <f>B27</f>
        <v>50</v>
      </c>
      <c r="K43">
        <f>B32</f>
        <v>18</v>
      </c>
      <c r="M43" s="2">
        <f t="shared" si="8"/>
        <v>57</v>
      </c>
      <c r="N43" s="2">
        <f t="shared" si="7"/>
        <v>22.74497159799574</v>
      </c>
      <c r="O43" s="2"/>
      <c r="P43" s="2">
        <f t="shared" si="9"/>
        <v>57</v>
      </c>
      <c r="Q43" s="2">
        <f t="shared" ca="1" si="10"/>
        <v>47.204864520002268</v>
      </c>
      <c r="R43" s="2"/>
      <c r="S43" s="2">
        <f t="shared" si="11"/>
        <v>57</v>
      </c>
      <c r="T43" s="2">
        <f t="shared" si="12"/>
        <v>50.931703481221604</v>
      </c>
      <c r="U43" s="2"/>
      <c r="V43" s="2">
        <f t="shared" si="13"/>
        <v>57</v>
      </c>
      <c r="W43" s="2" t="e">
        <f t="shared" ca="1" si="14"/>
        <v>#N/A</v>
      </c>
      <c r="X43" s="2"/>
      <c r="Y43" s="2">
        <f t="shared" si="15"/>
        <v>57</v>
      </c>
      <c r="Z43">
        <f t="shared" si="16"/>
        <v>20.676342017687038</v>
      </c>
    </row>
    <row r="44" spans="1:26" x14ac:dyDescent="0.3">
      <c r="B44">
        <f>C27</f>
        <v>60</v>
      </c>
      <c r="C44">
        <f>C28</f>
        <v>27.499421052631597</v>
      </c>
      <c r="D44">
        <f>B44</f>
        <v>60</v>
      </c>
      <c r="E44">
        <f ca="1">C29</f>
        <v>48.663333333333327</v>
      </c>
      <c r="F44">
        <f>C27</f>
        <v>60</v>
      </c>
      <c r="G44">
        <f>C30</f>
        <v>49.771711203007513</v>
      </c>
      <c r="H44">
        <f>C27</f>
        <v>60</v>
      </c>
      <c r="I44" t="e">
        <f ca="1">C31</f>
        <v>#N/A</v>
      </c>
      <c r="J44">
        <f>C27</f>
        <v>60</v>
      </c>
      <c r="K44">
        <f>C32</f>
        <v>21.6</v>
      </c>
      <c r="M44" s="2">
        <f t="shared" si="8"/>
        <v>58</v>
      </c>
      <c r="N44" s="2">
        <f t="shared" si="7"/>
        <v>22.48340442461879</v>
      </c>
      <c r="O44" s="2"/>
      <c r="P44" s="2">
        <f t="shared" si="9"/>
        <v>58</v>
      </c>
      <c r="Q44" s="2">
        <f t="shared" ca="1" si="10"/>
        <v>47.785484353598292</v>
      </c>
      <c r="R44" s="2"/>
      <c r="S44" s="2">
        <f t="shared" si="11"/>
        <v>58</v>
      </c>
      <c r="T44" s="2">
        <f t="shared" si="12"/>
        <v>51.491952219515042</v>
      </c>
      <c r="U44" s="2"/>
      <c r="V44" s="2">
        <f t="shared" si="13"/>
        <v>58</v>
      </c>
      <c r="W44" s="2" t="e">
        <f t="shared" ca="1" si="14"/>
        <v>#N/A</v>
      </c>
      <c r="X44" s="2"/>
      <c r="Y44" s="2">
        <f t="shared" si="15"/>
        <v>58</v>
      </c>
      <c r="Z44">
        <f t="shared" si="16"/>
        <v>21.089868858040777</v>
      </c>
    </row>
    <row r="45" spans="1:26" x14ac:dyDescent="0.3">
      <c r="B45">
        <f>D27</f>
        <v>70</v>
      </c>
      <c r="C45">
        <f>D28</f>
        <v>36.354234631578969</v>
      </c>
      <c r="D45">
        <f>D27</f>
        <v>70</v>
      </c>
      <c r="E45">
        <f ca="1">D29</f>
        <v>63.651639999999993</v>
      </c>
      <c r="F45">
        <f>D27</f>
        <v>70</v>
      </c>
      <c r="G45">
        <f>D30</f>
        <v>55.246599435338339</v>
      </c>
      <c r="H45">
        <f>D27</f>
        <v>70</v>
      </c>
      <c r="I45" t="e">
        <f ca="1">D31</f>
        <v>#N/A</v>
      </c>
      <c r="J45">
        <f>D27</f>
        <v>70</v>
      </c>
      <c r="K45">
        <f>D32</f>
        <v>34.56</v>
      </c>
      <c r="M45" s="2">
        <f t="shared" si="8"/>
        <v>59</v>
      </c>
      <c r="N45" s="2">
        <f t="shared" si="7"/>
        <v>22.224845273735674</v>
      </c>
      <c r="O45" s="2"/>
      <c r="P45" s="2">
        <f t="shared" si="9"/>
        <v>59</v>
      </c>
      <c r="Q45" s="2">
        <f t="shared" ca="1" si="10"/>
        <v>48.373245811147548</v>
      </c>
      <c r="R45" s="2"/>
      <c r="S45" s="2">
        <f t="shared" si="11"/>
        <v>59</v>
      </c>
      <c r="T45" s="2">
        <f t="shared" si="12"/>
        <v>52.058363693929707</v>
      </c>
      <c r="U45" s="2"/>
      <c r="V45" s="2">
        <f t="shared" si="13"/>
        <v>59</v>
      </c>
      <c r="W45" s="2" t="e">
        <f t="shared" ca="1" si="14"/>
        <v>#N/A</v>
      </c>
      <c r="X45" s="2"/>
      <c r="Y45" s="2">
        <f t="shared" si="15"/>
        <v>59</v>
      </c>
      <c r="Z45">
        <f t="shared" si="16"/>
        <v>21.511666235201591</v>
      </c>
    </row>
    <row r="46" spans="1:26" x14ac:dyDescent="0.3">
      <c r="B46">
        <f>E27</f>
        <v>80</v>
      </c>
      <c r="C46">
        <f>E28</f>
        <v>48.060298182947399</v>
      </c>
      <c r="D46">
        <f>E27</f>
        <v>80</v>
      </c>
      <c r="E46">
        <f ca="1">E29</f>
        <v>83.256345119999992</v>
      </c>
      <c r="F46">
        <f>E27</f>
        <v>80</v>
      </c>
      <c r="G46">
        <f>E30</f>
        <v>61.323725373225557</v>
      </c>
      <c r="H46">
        <f>E27</f>
        <v>80</v>
      </c>
      <c r="I46" t="e">
        <f ca="1">E31</f>
        <v>#N/A</v>
      </c>
      <c r="J46">
        <f>E27</f>
        <v>80</v>
      </c>
      <c r="K46">
        <f>E32</f>
        <v>55.296000000000006</v>
      </c>
      <c r="M46" s="2">
        <f t="shared" si="8"/>
        <v>60</v>
      </c>
      <c r="N46" s="2">
        <f t="shared" si="7"/>
        <v>21.969259553087713</v>
      </c>
      <c r="O46" s="2"/>
      <c r="P46" s="2">
        <f t="shared" si="9"/>
        <v>60</v>
      </c>
      <c r="Q46" s="2">
        <f t="shared" ca="1" si="10"/>
        <v>48.968236734624661</v>
      </c>
      <c r="R46" s="2"/>
      <c r="S46" s="2">
        <f t="shared" si="11"/>
        <v>60</v>
      </c>
      <c r="T46" s="2">
        <f t="shared" si="12"/>
        <v>52.63100569456293</v>
      </c>
      <c r="U46" s="2"/>
      <c r="V46" s="2">
        <f t="shared" si="13"/>
        <v>60</v>
      </c>
      <c r="W46" s="2" t="e">
        <f t="shared" ca="1" si="14"/>
        <v>#N/A</v>
      </c>
      <c r="X46" s="2"/>
      <c r="Y46" s="2">
        <f t="shared" si="15"/>
        <v>60</v>
      </c>
      <c r="Z46">
        <f t="shared" si="16"/>
        <v>21.941899559905622</v>
      </c>
    </row>
    <row r="47" spans="1:26" x14ac:dyDescent="0.3">
      <c r="B47">
        <f>F27</f>
        <v>90</v>
      </c>
      <c r="C47">
        <f>F28</f>
        <v>63.535714197856464</v>
      </c>
      <c r="D47">
        <f>F27</f>
        <v>90</v>
      </c>
      <c r="E47">
        <f ca="1">F29</f>
        <v>108.89929941695999</v>
      </c>
      <c r="F47">
        <f>F27</f>
        <v>90</v>
      </c>
      <c r="G47" t="e">
        <f ca="1">F31</f>
        <v>#N/A</v>
      </c>
      <c r="H47">
        <f>F27</f>
        <v>90</v>
      </c>
      <c r="I47" t="e">
        <f ca="1">F31</f>
        <v>#N/A</v>
      </c>
      <c r="J47">
        <f>F27</f>
        <v>90</v>
      </c>
      <c r="K47">
        <f>F32</f>
        <v>88.473600000000005</v>
      </c>
    </row>
  </sheetData>
  <mergeCells count="1">
    <mergeCell ref="A23:F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e12c641-b7b5-4d71-9d9e-ee221c675a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4581525E9BCE4AAA4E1515EACD699F" ma:contentTypeVersion="16" ma:contentTypeDescription="Create a new document." ma:contentTypeScope="" ma:versionID="7e5f3c6e7d60ee5383277c9be6ea8a16">
  <xsd:schema xmlns:xsd="http://www.w3.org/2001/XMLSchema" xmlns:xs="http://www.w3.org/2001/XMLSchema" xmlns:p="http://schemas.microsoft.com/office/2006/metadata/properties" xmlns:ns3="ee12c641-b7b5-4d71-9d9e-ee221c675a3f" xmlns:ns4="cac8501e-e415-4520-9931-0c8bcaa2b42e" targetNamespace="http://schemas.microsoft.com/office/2006/metadata/properties" ma:root="true" ma:fieldsID="8bc38e4ac3376dcf803c31d3c037f1ae" ns3:_="" ns4:_="">
    <xsd:import namespace="ee12c641-b7b5-4d71-9d9e-ee221c675a3f"/>
    <xsd:import namespace="cac8501e-e415-4520-9931-0c8bcaa2b42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_activity"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12c641-b7b5-4d71-9d9e-ee221c675a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8501e-e415-4520-9931-0c8bcaa2b4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DC6343-628F-47D6-A70E-ACAB00C1F7C2}">
  <ds:schemaRefs>
    <ds:schemaRef ds:uri="http://schemas.microsoft.com/sharepoint/v3/contenttype/forms"/>
  </ds:schemaRefs>
</ds:datastoreItem>
</file>

<file path=customXml/itemProps2.xml><?xml version="1.0" encoding="utf-8"?>
<ds:datastoreItem xmlns:ds="http://schemas.openxmlformats.org/officeDocument/2006/customXml" ds:itemID="{A553BD52-C9EF-406F-A58C-53276F5095CC}">
  <ds:schemaRefs>
    <ds:schemaRef ds:uri="http://www.w3.org/XML/1998/namespace"/>
    <ds:schemaRef ds:uri="http://schemas.microsoft.com/office/2006/documentManagement/types"/>
    <ds:schemaRef ds:uri="http://purl.org/dc/dcmitype/"/>
    <ds:schemaRef ds:uri="http://schemas.openxmlformats.org/package/2006/metadata/core-properties"/>
    <ds:schemaRef ds:uri="http://purl.org/dc/terms/"/>
    <ds:schemaRef ds:uri="http://schemas.microsoft.com/office/infopath/2007/PartnerControls"/>
    <ds:schemaRef ds:uri="http://purl.org/dc/elements/1.1/"/>
    <ds:schemaRef ds:uri="cac8501e-e415-4520-9931-0c8bcaa2b42e"/>
    <ds:schemaRef ds:uri="ee12c641-b7b5-4d71-9d9e-ee221c675a3f"/>
    <ds:schemaRef ds:uri="http://schemas.microsoft.com/office/2006/metadata/properties"/>
  </ds:schemaRefs>
</ds:datastoreItem>
</file>

<file path=customXml/itemProps3.xml><?xml version="1.0" encoding="utf-8"?>
<ds:datastoreItem xmlns:ds="http://schemas.openxmlformats.org/officeDocument/2006/customXml" ds:itemID="{35CA7B15-B72D-4397-A3B2-52220CA1A2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12c641-b7b5-4d71-9d9e-ee221c675a3f"/>
    <ds:schemaRef ds:uri="cac8501e-e415-4520-9931-0c8bcaa2b4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084b924-3ab4-4116-9251-9939f695e54c}" enabled="0" method="" siteId="{0084b924-3ab4-4116-9251-9939f695e54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Vitality Normative Data</vt:lpstr>
      <vt:lpstr>Strength_Normative_Data</vt:lpstr>
      <vt:lpstr>Mobility_Normative_Data</vt:lpstr>
      <vt:lpstr>Average_20_Year_Old_Man_Pro</vt:lpstr>
      <vt:lpstr>Average_20_Year_Old_Woman_Pro</vt:lpstr>
      <vt:lpstr>Average_25_Year_old_Man_Pro </vt:lpstr>
      <vt:lpstr>Average_25_Year_Old_Woman_P </vt:lpstr>
      <vt:lpstr>Average_30_Year_Old_Man_Profile</vt:lpstr>
      <vt:lpstr>Average_30_Year_Old_Woman_Pro</vt:lpstr>
      <vt:lpstr>Average_35_Year_old_Man_Pro</vt:lpstr>
      <vt:lpstr>Average_35_Year_Old_Woman_Pro</vt:lpstr>
      <vt:lpstr>Average_40_Year_Old_Man_Pro</vt:lpstr>
      <vt:lpstr>Average_40_Year_Old_Woman_Pro</vt:lpstr>
      <vt:lpstr>Average_45_Year_Old_Man_Pro</vt:lpstr>
      <vt:lpstr>Average_45_Year_Old_Woman_P</vt:lpstr>
      <vt:lpstr>Average_50_Year_Old_Man_Pro</vt:lpstr>
      <vt:lpstr>Average_50_Year_Old_Woman_Pro</vt:lpstr>
      <vt:lpstr>Average_55_Year_Old_Man_Pro </vt:lpstr>
      <vt:lpstr>Average_55_Year_Old_Woman_P </vt:lpstr>
      <vt:lpstr>Average_60_Year_Old_Man_Pro </vt:lpstr>
      <vt:lpstr>Average_60_Year_Old_Woman_Pro</vt:lpstr>
      <vt:lpstr>Average_65_Year_Old_Man_Pro </vt:lpstr>
      <vt:lpstr>Average_65_Year_Old_Woman_P </vt:lpstr>
      <vt:lpstr>Average_70_Year_Old_Man_Pro</vt:lpstr>
      <vt:lpstr>Average_70_Year_Old_Woman_Pro</vt:lpstr>
      <vt:lpstr>Average_75_Year_Old_Man_Pro</vt:lpstr>
      <vt:lpstr>Average_75_Year_Old_Woman_P</vt:lpstr>
      <vt:lpstr>Arthur, 53</vt:lpstr>
      <vt:lpstr>Tyson</vt:lpstr>
      <vt:lpstr>Clara, 46</vt:lpstr>
      <vt:lpstr>Tyson,59</vt:lpstr>
      <vt:lpstr>Julian,42</vt:lpstr>
      <vt:lpstr>Beatrice 64</vt:lpstr>
      <vt:lpstr>Liam 50</vt:lpstr>
      <vt:lpstr>Renee, 61</vt:lpstr>
      <vt:lpstr>Kevin, 40</vt:lpstr>
      <vt:lpstr>Omar, 48</vt:lpstr>
      <vt:lpstr>Persona_1</vt:lpstr>
      <vt:lpstr>Persona_2</vt:lpstr>
      <vt:lpstr>Persona_3</vt:lpstr>
      <vt:lpstr>Persona_4</vt:lpstr>
      <vt:lpstr>Persona_5</vt:lpstr>
      <vt:lpstr>Persona_6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ULPG:WILSON.BEN</dc:creator>
  <cp:lastModifiedBy>ULPG:WILSON.BEN</cp:lastModifiedBy>
  <dcterms:created xsi:type="dcterms:W3CDTF">2025-12-15T10:01:23Z</dcterms:created>
  <dcterms:modified xsi:type="dcterms:W3CDTF">2026-02-12T16:52:23Z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0x010100AD4581525E9BCE4AAA4E1515EACD699F</vt:lpwstr>
  </property>
</Properties>
</file>