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.richard\Documents\GitHub\Stalker_GAMMA\G.A.M.M.A\modpack_addons\"/>
    </mc:Choice>
  </mc:AlternateContent>
  <bookViews>
    <workbookView xWindow="0" yWindow="0" windowWidth="22725" windowHeight="1128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G40" i="1" l="1"/>
  <c r="E39" i="1"/>
  <c r="H42" i="1"/>
  <c r="K39" i="1"/>
  <c r="J39" i="1"/>
  <c r="H39" i="1"/>
  <c r="G39" i="1"/>
  <c r="F39" i="1" s="1"/>
  <c r="D39" i="1"/>
  <c r="J3" i="1"/>
  <c r="K3" i="1" s="1"/>
  <c r="D3" i="1"/>
  <c r="E3" i="1" s="1"/>
  <c r="G42" i="1"/>
  <c r="J42" i="1"/>
  <c r="K42" i="1" s="1"/>
  <c r="D42" i="1"/>
  <c r="F42" i="1" s="1"/>
  <c r="F41" i="1"/>
  <c r="J41" i="1"/>
  <c r="K41" i="1" s="1"/>
  <c r="E41" i="1" s="1"/>
  <c r="D41" i="1"/>
  <c r="H40" i="1"/>
  <c r="J40" i="1"/>
  <c r="K40" i="1" s="1"/>
  <c r="D40" i="1"/>
  <c r="E40" i="1" l="1"/>
  <c r="F40" i="1"/>
  <c r="E42" i="1"/>
  <c r="F3" i="1"/>
  <c r="J38" i="1"/>
  <c r="K38" i="1" s="1"/>
  <c r="D38" i="1"/>
  <c r="F38" i="1" s="1"/>
  <c r="J37" i="1"/>
  <c r="K37" i="1" s="1"/>
  <c r="D37" i="1"/>
  <c r="F37" i="1" s="1"/>
  <c r="H33" i="1"/>
  <c r="F6" i="1"/>
  <c r="F15" i="1"/>
  <c r="F19" i="1"/>
  <c r="D36" i="1"/>
  <c r="F36" i="1" s="1"/>
  <c r="D35" i="1"/>
  <c r="F35" i="1" s="1"/>
  <c r="D34" i="1"/>
  <c r="F34" i="1" s="1"/>
  <c r="D33" i="1"/>
  <c r="F33" i="1" s="1"/>
  <c r="D30" i="1"/>
  <c r="F30" i="1" s="1"/>
  <c r="D25" i="1"/>
  <c r="F25" i="1" s="1"/>
  <c r="D26" i="1"/>
  <c r="F26" i="1" s="1"/>
  <c r="D27" i="1"/>
  <c r="F27" i="1" s="1"/>
  <c r="D28" i="1"/>
  <c r="F28" i="1" s="1"/>
  <c r="D29" i="1"/>
  <c r="F29" i="1" s="1"/>
  <c r="D31" i="1"/>
  <c r="F31" i="1" s="1"/>
  <c r="D32" i="1"/>
  <c r="D24" i="1"/>
  <c r="F24" i="1" s="1"/>
  <c r="D23" i="1"/>
  <c r="F23" i="1" s="1"/>
  <c r="D14" i="1"/>
  <c r="F14" i="1" s="1"/>
  <c r="D15" i="1"/>
  <c r="D16" i="1"/>
  <c r="F16" i="1" s="1"/>
  <c r="D17" i="1"/>
  <c r="F17" i="1" s="1"/>
  <c r="D18" i="1"/>
  <c r="F18" i="1" s="1"/>
  <c r="D19" i="1"/>
  <c r="D20" i="1"/>
  <c r="F20" i="1" s="1"/>
  <c r="D21" i="1"/>
  <c r="F21" i="1" s="1"/>
  <c r="D22" i="1"/>
  <c r="F22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D5" i="1"/>
  <c r="F5" i="1" s="1"/>
  <c r="D4" i="1"/>
  <c r="F4" i="1" s="1"/>
  <c r="D2" i="1"/>
  <c r="F2" i="1" s="1"/>
  <c r="J23" i="1"/>
  <c r="K23" i="1" s="1"/>
  <c r="E23" i="1" s="1"/>
  <c r="J33" i="1"/>
  <c r="K33" i="1" s="1"/>
  <c r="O36" i="1"/>
  <c r="P36" i="1" s="1"/>
  <c r="Q36" i="1" s="1"/>
  <c r="N36" i="1"/>
  <c r="J36" i="1"/>
  <c r="K36" i="1" s="1"/>
  <c r="O35" i="1"/>
  <c r="P35" i="1" s="1"/>
  <c r="N33" i="1"/>
  <c r="N34" i="1"/>
  <c r="N35" i="1"/>
  <c r="J35" i="1"/>
  <c r="K35" i="1" s="1"/>
  <c r="O33" i="1"/>
  <c r="P33" i="1" s="1"/>
  <c r="O34" i="1"/>
  <c r="P34" i="1" s="1"/>
  <c r="Q34" i="1" s="1"/>
  <c r="O5" i="1"/>
  <c r="P5" i="1" s="1"/>
  <c r="N5" i="1"/>
  <c r="J5" i="1"/>
  <c r="K5" i="1" s="1"/>
  <c r="J34" i="1"/>
  <c r="K34" i="1" s="1"/>
  <c r="J32" i="1"/>
  <c r="K32" i="1" s="1"/>
  <c r="N32" i="1"/>
  <c r="O32" i="1"/>
  <c r="P32" i="1" s="1"/>
  <c r="N31" i="1"/>
  <c r="O31" i="1"/>
  <c r="P31" i="1" s="1"/>
  <c r="J31" i="1"/>
  <c r="K31" i="1" s="1"/>
  <c r="N30" i="1"/>
  <c r="O30" i="1"/>
  <c r="P30" i="1" s="1"/>
  <c r="Q30" i="1" s="1"/>
  <c r="J30" i="1"/>
  <c r="K30" i="1" s="1"/>
  <c r="O29" i="1"/>
  <c r="P29" i="1" s="1"/>
  <c r="Q29" i="1" s="1"/>
  <c r="N29" i="1"/>
  <c r="J29" i="1"/>
  <c r="K29" i="1" s="1"/>
  <c r="J28" i="1"/>
  <c r="K28" i="1" s="1"/>
  <c r="N28" i="1"/>
  <c r="O28" i="1"/>
  <c r="P28" i="1" s="1"/>
  <c r="N27" i="1"/>
  <c r="O27" i="1"/>
  <c r="P27" i="1" s="1"/>
  <c r="J27" i="1"/>
  <c r="K27" i="1" s="1"/>
  <c r="E27" i="1" s="1"/>
  <c r="O26" i="1"/>
  <c r="P26" i="1" s="1"/>
  <c r="N26" i="1"/>
  <c r="J26" i="1"/>
  <c r="K26" i="1" s="1"/>
  <c r="E26" i="1" s="1"/>
  <c r="O25" i="1"/>
  <c r="P25" i="1" s="1"/>
  <c r="N25" i="1"/>
  <c r="J25" i="1"/>
  <c r="K25" i="1" s="1"/>
  <c r="N24" i="1"/>
  <c r="O24" i="1"/>
  <c r="P24" i="1" s="1"/>
  <c r="J24" i="1"/>
  <c r="K24" i="1" s="1"/>
  <c r="E24" i="1" s="1"/>
  <c r="O22" i="1"/>
  <c r="P22" i="1" s="1"/>
  <c r="J22" i="1"/>
  <c r="K22" i="1" s="1"/>
  <c r="E22" i="1" s="1"/>
  <c r="N13" i="1"/>
  <c r="N14" i="1"/>
  <c r="N15" i="1"/>
  <c r="N16" i="1"/>
  <c r="N17" i="1"/>
  <c r="N18" i="1"/>
  <c r="N19" i="1"/>
  <c r="N20" i="1"/>
  <c r="N21" i="1"/>
  <c r="N22" i="1"/>
  <c r="N23" i="1"/>
  <c r="N2" i="1"/>
  <c r="N4" i="1"/>
  <c r="N6" i="1"/>
  <c r="N7" i="1"/>
  <c r="N8" i="1"/>
  <c r="N9" i="1"/>
  <c r="N10" i="1"/>
  <c r="N11" i="1"/>
  <c r="N12" i="1"/>
  <c r="O21" i="1"/>
  <c r="P21" i="1"/>
  <c r="J21" i="1"/>
  <c r="K21" i="1" s="1"/>
  <c r="E21" i="1" s="1"/>
  <c r="O23" i="1"/>
  <c r="P23" i="1" s="1"/>
  <c r="O18" i="1"/>
  <c r="P18" i="1" s="1"/>
  <c r="J18" i="1"/>
  <c r="K18" i="1" s="1"/>
  <c r="E18" i="1" s="1"/>
  <c r="O15" i="1"/>
  <c r="P15" i="1" s="1"/>
  <c r="J15" i="1"/>
  <c r="K15" i="1" s="1"/>
  <c r="E15" i="1" s="1"/>
  <c r="O14" i="1"/>
  <c r="P14" i="1" s="1"/>
  <c r="J14" i="1"/>
  <c r="K14" i="1" s="1"/>
  <c r="E14" i="1" s="1"/>
  <c r="O17" i="1"/>
  <c r="P17" i="1" s="1"/>
  <c r="J17" i="1"/>
  <c r="K17" i="1" s="1"/>
  <c r="E17" i="1" s="1"/>
  <c r="O20" i="1"/>
  <c r="P20" i="1" s="1"/>
  <c r="J20" i="1"/>
  <c r="K20" i="1" s="1"/>
  <c r="O2" i="1"/>
  <c r="P2" i="1" s="1"/>
  <c r="O19" i="1"/>
  <c r="P19" i="1" s="1"/>
  <c r="J19" i="1"/>
  <c r="K19" i="1" s="1"/>
  <c r="E19" i="1" s="1"/>
  <c r="O16" i="1"/>
  <c r="P16" i="1" s="1"/>
  <c r="K16" i="1"/>
  <c r="E16" i="1" s="1"/>
  <c r="J16" i="1"/>
  <c r="O13" i="1"/>
  <c r="P13" i="1" s="1"/>
  <c r="J13" i="1"/>
  <c r="K13" i="1" s="1"/>
  <c r="B3" i="2"/>
  <c r="O4" i="1"/>
  <c r="P4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J12" i="1"/>
  <c r="K12" i="1" s="1"/>
  <c r="E12" i="1" s="1"/>
  <c r="J11" i="1"/>
  <c r="K11" i="1" s="1"/>
  <c r="J8" i="1"/>
  <c r="K8" i="1" s="1"/>
  <c r="E8" i="1" s="1"/>
  <c r="J10" i="1"/>
  <c r="K10" i="1" s="1"/>
  <c r="J9" i="1"/>
  <c r="K9" i="1" s="1"/>
  <c r="J6" i="1"/>
  <c r="K6" i="1" s="1"/>
  <c r="E6" i="1" s="1"/>
  <c r="J7" i="1"/>
  <c r="K7" i="1" s="1"/>
  <c r="E7" i="1" s="1"/>
  <c r="J4" i="1"/>
  <c r="K4" i="1" s="1"/>
  <c r="J2" i="1"/>
  <c r="K2" i="1" s="1"/>
  <c r="E2" i="1" s="1"/>
  <c r="E11" i="1" l="1"/>
  <c r="E38" i="1"/>
  <c r="Q16" i="1"/>
  <c r="Q15" i="1"/>
  <c r="Q22" i="1"/>
  <c r="Q27" i="1"/>
  <c r="Q5" i="1"/>
  <c r="Q35" i="1"/>
  <c r="E32" i="1"/>
  <c r="E36" i="1"/>
  <c r="E4" i="1"/>
  <c r="Q28" i="1"/>
  <c r="Q32" i="1"/>
  <c r="E37" i="1"/>
  <c r="E35" i="1"/>
  <c r="E20" i="1"/>
  <c r="E5" i="1"/>
  <c r="Q11" i="1"/>
  <c r="F32" i="1"/>
  <c r="E34" i="1"/>
  <c r="E28" i="1"/>
  <c r="E10" i="1"/>
  <c r="E29" i="1"/>
  <c r="E31" i="1"/>
  <c r="E30" i="1"/>
  <c r="E25" i="1"/>
  <c r="E33" i="1"/>
  <c r="E13" i="1"/>
  <c r="E9" i="1"/>
  <c r="Q18" i="1"/>
  <c r="Q17" i="1"/>
  <c r="Q33" i="1"/>
  <c r="Q14" i="1"/>
  <c r="Q12" i="1"/>
  <c r="Q10" i="1"/>
  <c r="Q9" i="1"/>
  <c r="Q13" i="1"/>
  <c r="Q19" i="1"/>
  <c r="Q8" i="1"/>
  <c r="Q4" i="1"/>
  <c r="Q23" i="1"/>
  <c r="Q31" i="1"/>
  <c r="Q7" i="1"/>
  <c r="Q2" i="1"/>
  <c r="Q21" i="1"/>
  <c r="Q6" i="1"/>
  <c r="Q20" i="1"/>
  <c r="Q24" i="1"/>
  <c r="Q25" i="1"/>
  <c r="Q26" i="1"/>
</calcChain>
</file>

<file path=xl/sharedStrings.xml><?xml version="1.0" encoding="utf-8"?>
<sst xmlns="http://schemas.openxmlformats.org/spreadsheetml/2006/main" count="102" uniqueCount="64">
  <si>
    <t>ammo_magnum_300</t>
  </si>
  <si>
    <t>ammo_7.92x33_fmj</t>
  </si>
  <si>
    <t>ammo_7.62x54_7h1</t>
  </si>
  <si>
    <t>ammo_7.62x54_ap</t>
  </si>
  <si>
    <t>ammo_7.62x54_7h14</t>
  </si>
  <si>
    <t>Ammo</t>
  </si>
  <si>
    <t>gun power</t>
  </si>
  <si>
    <t>total damage</t>
  </si>
  <si>
    <t>IRL Joules</t>
  </si>
  <si>
    <t>ammo_7.62x51_fmj</t>
  </si>
  <si>
    <t>ammo_7.62x51_ap</t>
  </si>
  <si>
    <t>base game dmg</t>
  </si>
  <si>
    <t>ammo_12.7x55_fmj</t>
  </si>
  <si>
    <t>ammo_12.7x55_ap</t>
  </si>
  <si>
    <t>reference Joules</t>
  </si>
  <si>
    <t>reference damage</t>
  </si>
  <si>
    <t>ammo_5.45x39_fmj</t>
  </si>
  <si>
    <t>ammo_5.56x45_fmj</t>
  </si>
  <si>
    <t>IRL Speed</t>
  </si>
  <si>
    <t>ammo_7.62x39_fmj</t>
  </si>
  <si>
    <t>in game displayed power</t>
  </si>
  <si>
    <t>Overpen damage factor</t>
  </si>
  <si>
    <t>Joules multiplier to ref (7,62x51)</t>
  </si>
  <si>
    <t>In  game power based on Joules</t>
  </si>
  <si>
    <t>In game power adjusted by overpen factor</t>
  </si>
  <si>
    <t>ammo_7.62x39_ap</t>
  </si>
  <si>
    <t>ammo_5.56x45_ss190</t>
  </si>
  <si>
    <t>ammo_5.45x39_ep</t>
  </si>
  <si>
    <t>ammo_5.45x39_ap</t>
  </si>
  <si>
    <t>ammo_5.56x45_ap</t>
  </si>
  <si>
    <t>ammo_k_ap</t>
  </si>
  <si>
    <t>ammo_k_hit</t>
  </si>
  <si>
    <t>ammo_9x39_pab9</t>
  </si>
  <si>
    <t>ammo_9x39_ap</t>
  </si>
  <si>
    <t>ammo_9x18_fmj</t>
  </si>
  <si>
    <t>ammo_9x18_pmm</t>
  </si>
  <si>
    <t>ammo_9x18_ap</t>
  </si>
  <si>
    <t>ammo_9x19_fmj</t>
  </si>
  <si>
    <t>ammo_9x19_pbp</t>
  </si>
  <si>
    <t>ammo_9x19_ap</t>
  </si>
  <si>
    <t>ammo_9x21_sp10</t>
  </si>
  <si>
    <t>ammo_5.7x28_ss190</t>
  </si>
  <si>
    <t>ammo_357_hp_mag</t>
  </si>
  <si>
    <t>ammo_5.7x28_ss195</t>
  </si>
  <si>
    <t>ammo_7.62x25_p</t>
  </si>
  <si>
    <t>ammo_7.62x25_ps</t>
  </si>
  <si>
    <t>price</t>
  </si>
  <si>
    <t>ammo_7.92x33_ap</t>
  </si>
  <si>
    <t>ammo_11.43x23_fmj</t>
  </si>
  <si>
    <t>ammo_11.43x23_hydro</t>
  </si>
  <si>
    <t>price/round</t>
  </si>
  <si>
    <t>damage per Rouble</t>
  </si>
  <si>
    <t>pen per Rouble</t>
  </si>
  <si>
    <t>Type</t>
  </si>
  <si>
    <t>AP</t>
  </si>
  <si>
    <t>DMG</t>
  </si>
  <si>
    <t>Perf</t>
  </si>
  <si>
    <t>ammo_12x76_dart</t>
  </si>
  <si>
    <t>ammo_12x76_zhekan</t>
  </si>
  <si>
    <t>ammo_23x75_shrapnel</t>
  </si>
  <si>
    <t>ammo_23x75_barrikada</t>
  </si>
  <si>
    <t>ammo_20x70_buck</t>
  </si>
  <si>
    <t>ammo_338_federal</t>
  </si>
  <si>
    <t>ammo_12x70_buck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</si>
</sst>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2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I12" sqref="I12"/>
    </sheetView>
  </sheetViews>
  <sheetFormatPr baseColWidth="10" defaultRowHeight="15" x14ac:dyDescent="0.25"/>
  <cols>
    <col min="1" max="1" width="23.140625" bestFit="1" customWidth="1"/>
    <col min="2" max="2" width="5.28515625" bestFit="1" customWidth="1"/>
    <col min="3" max="3" width="7.28515625" customWidth="1"/>
    <col min="4" max="4" width="11.5703125" style="4" bestFit="1" customWidth="1"/>
    <col min="5" max="5" width="18.28515625" style="7" bestFit="1" customWidth="1"/>
    <col min="6" max="6" width="14.5703125" style="7" bestFit="1" customWidth="1"/>
    <col min="7" max="7" width="11.7109375" bestFit="1" customWidth="1"/>
    <col min="8" max="8" width="12" bestFit="1" customWidth="1"/>
    <col min="10" max="10" width="12.5703125" bestFit="1" customWidth="1"/>
    <col min="11" max="11" width="23.42578125" bestFit="1" customWidth="1"/>
    <col min="14" max="14" width="22" bestFit="1" customWidth="1"/>
    <col min="15" max="15" width="30" bestFit="1" customWidth="1"/>
    <col min="16" max="16" width="29.42578125" bestFit="1" customWidth="1"/>
    <col min="17" max="17" width="39" bestFit="1" customWidth="1"/>
    <col min="18" max="18" width="13.5703125" bestFit="1" customWidth="1"/>
    <col min="19" max="19" width="18.7109375" bestFit="1" customWidth="1"/>
    <col min="20" max="20" width="26.42578125" bestFit="1" customWidth="1"/>
  </cols>
  <sheetData>
    <row r="1" spans="1:17" x14ac:dyDescent="0.25">
      <c r="A1" t="s">
        <v>5</v>
      </c>
      <c r="B1" t="s">
        <v>53</v>
      </c>
      <c r="C1" t="s">
        <v>46</v>
      </c>
      <c r="D1" s="4" t="s">
        <v>50</v>
      </c>
      <c r="E1" s="7" t="s">
        <v>51</v>
      </c>
      <c r="F1" s="7" t="s">
        <v>52</v>
      </c>
      <c r="G1" t="s">
        <v>30</v>
      </c>
      <c r="H1" t="s">
        <v>31</v>
      </c>
      <c r="I1" t="s">
        <v>6</v>
      </c>
      <c r="J1" t="s">
        <v>7</v>
      </c>
      <c r="K1" t="s">
        <v>20</v>
      </c>
      <c r="L1" t="s">
        <v>8</v>
      </c>
      <c r="M1" t="s">
        <v>18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5">
      <c r="A2" s="6" t="s">
        <v>0</v>
      </c>
      <c r="B2" s="6" t="s">
        <v>54</v>
      </c>
      <c r="C2">
        <v>17000</v>
      </c>
      <c r="D2" s="4">
        <f>C2/10</f>
        <v>1700</v>
      </c>
      <c r="E2" s="9">
        <f>K2/D2</f>
        <v>7.640470588235293E-2</v>
      </c>
      <c r="F2" s="8">
        <f>G2/D2*100</f>
        <v>8.2352941176470587E-2</v>
      </c>
      <c r="G2">
        <v>1.4</v>
      </c>
      <c r="H2" s="3">
        <v>1.64</v>
      </c>
      <c r="I2">
        <v>1.2</v>
      </c>
      <c r="J2">
        <f>H2*I2</f>
        <v>1.9679999999999997</v>
      </c>
      <c r="K2" s="2">
        <f>J2*Feuil2!$B$1</f>
        <v>129.88799999999998</v>
      </c>
      <c r="L2" s="1">
        <v>6931</v>
      </c>
      <c r="M2" s="1">
        <v>925</v>
      </c>
      <c r="N2" s="1">
        <f t="shared" ref="N2:N24" si="0">LOG10(1/M2*1000)*2</f>
        <v>6.7716534521934837E-2</v>
      </c>
      <c r="O2">
        <f>L2/Feuil2!$B$2</f>
        <v>1.9458169567658619</v>
      </c>
      <c r="P2">
        <f>O2*Feuil2!$B$3</f>
        <v>136.77147389107242</v>
      </c>
      <c r="Q2">
        <f>P2*N2+P2</f>
        <v>146.03316412443314</v>
      </c>
    </row>
    <row r="3" spans="1:17" x14ac:dyDescent="0.25">
      <c r="A3" s="6" t="s">
        <v>62</v>
      </c>
      <c r="B3" s="6" t="s">
        <v>54</v>
      </c>
      <c r="C3">
        <v>6600</v>
      </c>
      <c r="D3" s="4">
        <f>C3/10</f>
        <v>660</v>
      </c>
      <c r="E3" s="9">
        <f>K3/D3</f>
        <v>8.5000000000000006E-2</v>
      </c>
      <c r="F3" s="8">
        <f>G3/D3*100</f>
        <v>0.11363636363636363</v>
      </c>
      <c r="G3">
        <v>0.75</v>
      </c>
      <c r="H3" s="3">
        <v>1</v>
      </c>
      <c r="I3">
        <v>0.85</v>
      </c>
      <c r="J3">
        <f>H3*I3</f>
        <v>0.85</v>
      </c>
      <c r="K3" s="2">
        <f>J3*Feuil2!$B$1</f>
        <v>56.1</v>
      </c>
      <c r="L3" s="1"/>
      <c r="M3" s="1"/>
      <c r="N3" s="1"/>
    </row>
    <row r="4" spans="1:17" x14ac:dyDescent="0.25">
      <c r="A4" t="s">
        <v>1</v>
      </c>
      <c r="B4" t="s">
        <v>56</v>
      </c>
      <c r="C4">
        <v>2035</v>
      </c>
      <c r="D4" s="4">
        <f>C4/15</f>
        <v>135.66666666666666</v>
      </c>
      <c r="E4" s="9">
        <f t="shared" ref="E4:E27" si="1">K4/D4</f>
        <v>0.57721621621621622</v>
      </c>
      <c r="F4" s="9">
        <f t="shared" ref="F4:F37" si="2">G4/D4*100</f>
        <v>0.18427518427518427</v>
      </c>
      <c r="G4">
        <v>0.25</v>
      </c>
      <c r="H4" s="3">
        <v>1.1299999999999999</v>
      </c>
      <c r="I4">
        <v>1.05</v>
      </c>
      <c r="J4">
        <f>I4*H4</f>
        <v>1.1864999999999999</v>
      </c>
      <c r="K4" s="2">
        <f>J4*Feuil2!$B$1</f>
        <v>78.308999999999997</v>
      </c>
      <c r="L4" s="1">
        <v>4064</v>
      </c>
      <c r="M4" s="1">
        <v>820</v>
      </c>
      <c r="N4" s="1">
        <f t="shared" si="0"/>
        <v>0.17237229523256661</v>
      </c>
      <c r="O4">
        <f>L4/Feuil2!$B$2</f>
        <v>1.1409320606400899</v>
      </c>
      <c r="P4">
        <f>O4*Feuil2!$B$3</f>
        <v>80.196114542391911</v>
      </c>
      <c r="Q4">
        <f t="shared" ref="Q4:Q23" si="3">P4*N4+P4</f>
        <v>94.019702874797815</v>
      </c>
    </row>
    <row r="5" spans="1:17" x14ac:dyDescent="0.25">
      <c r="A5" s="6" t="s">
        <v>47</v>
      </c>
      <c r="B5" s="6" t="s">
        <v>54</v>
      </c>
      <c r="C5">
        <v>7000</v>
      </c>
      <c r="D5" s="4">
        <f>C5/15</f>
        <v>466.66666666666669</v>
      </c>
      <c r="E5" s="9">
        <f t="shared" si="1"/>
        <v>0.16780499999999998</v>
      </c>
      <c r="F5" s="8">
        <f t="shared" si="2"/>
        <v>8.357142857142856E-2</v>
      </c>
      <c r="G5">
        <v>0.39</v>
      </c>
      <c r="H5" s="3">
        <v>1.1299999999999999</v>
      </c>
      <c r="I5">
        <v>1.05</v>
      </c>
      <c r="J5">
        <f>I5*H5</f>
        <v>1.1864999999999999</v>
      </c>
      <c r="K5" s="2">
        <f>J5*Feuil2!$B$1</f>
        <v>78.308999999999997</v>
      </c>
      <c r="L5" s="1">
        <v>4064</v>
      </c>
      <c r="M5" s="1">
        <v>820</v>
      </c>
      <c r="N5" s="1">
        <f t="shared" si="0"/>
        <v>0.17237229523256661</v>
      </c>
      <c r="O5">
        <f>L5/Feuil2!$B$2</f>
        <v>1.1409320606400899</v>
      </c>
      <c r="P5">
        <f>O5*Feuil2!$B$3</f>
        <v>80.196114542391911</v>
      </c>
      <c r="Q5">
        <f t="shared" ref="Q5" si="4">P5*N5+P5</f>
        <v>94.019702874797815</v>
      </c>
    </row>
    <row r="6" spans="1:17" x14ac:dyDescent="0.25">
      <c r="A6" t="s">
        <v>2</v>
      </c>
      <c r="B6" t="s">
        <v>56</v>
      </c>
      <c r="C6">
        <v>2700</v>
      </c>
      <c r="D6" s="4">
        <f>C6/10</f>
        <v>270</v>
      </c>
      <c r="E6" s="9">
        <f t="shared" si="1"/>
        <v>0.27345999999999998</v>
      </c>
      <c r="F6" s="9">
        <f t="shared" si="2"/>
        <v>0.10740740740740741</v>
      </c>
      <c r="G6" s="3">
        <v>0.28999999999999998</v>
      </c>
      <c r="H6" s="3">
        <v>1.0169999999999999</v>
      </c>
      <c r="I6">
        <v>1.1000000000000001</v>
      </c>
      <c r="J6">
        <f t="shared" ref="J6:J19" si="5">I6*H6</f>
        <v>1.1187</v>
      </c>
      <c r="K6" s="2">
        <f>J6*Feuil2!$B$1</f>
        <v>73.834199999999996</v>
      </c>
      <c r="L6" s="1">
        <v>3744</v>
      </c>
      <c r="M6" s="1">
        <v>800</v>
      </c>
      <c r="N6" s="1">
        <f t="shared" si="0"/>
        <v>0.19382002601611284</v>
      </c>
      <c r="O6">
        <f>L6/Feuil2!$B$2</f>
        <v>1.051094890510949</v>
      </c>
      <c r="P6">
        <f>O6*Feuil2!$B$3</f>
        <v>73.881459854014594</v>
      </c>
      <c r="Q6">
        <f t="shared" si="3"/>
        <v>88.201166325028098</v>
      </c>
    </row>
    <row r="7" spans="1:17" x14ac:dyDescent="0.25">
      <c r="A7" s="6" t="s">
        <v>3</v>
      </c>
      <c r="B7" s="6" t="s">
        <v>54</v>
      </c>
      <c r="C7">
        <v>10150</v>
      </c>
      <c r="D7" s="4">
        <f>C7/10</f>
        <v>1015</v>
      </c>
      <c r="E7" s="9">
        <f t="shared" si="1"/>
        <v>7.274305418719211E-2</v>
      </c>
      <c r="F7" s="8">
        <f t="shared" si="2"/>
        <v>7.8817733990147784E-2</v>
      </c>
      <c r="G7" s="3">
        <v>0.8</v>
      </c>
      <c r="H7" s="3">
        <v>1.0169999999999999</v>
      </c>
      <c r="I7">
        <v>1.1000000000000001</v>
      </c>
      <c r="J7">
        <f t="shared" si="5"/>
        <v>1.1187</v>
      </c>
      <c r="K7" s="2">
        <f>J7*Feuil2!$B$1</f>
        <v>73.834199999999996</v>
      </c>
      <c r="L7" s="1">
        <v>3744</v>
      </c>
      <c r="M7" s="1">
        <v>800</v>
      </c>
      <c r="N7" s="1">
        <f t="shared" si="0"/>
        <v>0.19382002601611284</v>
      </c>
      <c r="O7">
        <f>L7/Feuil2!$B$2</f>
        <v>1.051094890510949</v>
      </c>
      <c r="P7">
        <f>O7*Feuil2!$B$3</f>
        <v>73.881459854014594</v>
      </c>
      <c r="Q7">
        <f t="shared" si="3"/>
        <v>88.201166325028098</v>
      </c>
    </row>
    <row r="8" spans="1:17" x14ac:dyDescent="0.25">
      <c r="A8" t="s">
        <v>4</v>
      </c>
      <c r="B8" t="s">
        <v>56</v>
      </c>
      <c r="C8">
        <v>4000</v>
      </c>
      <c r="D8" s="4">
        <f>C8/10</f>
        <v>400</v>
      </c>
      <c r="E8" s="9">
        <f t="shared" si="1"/>
        <v>0.18458549999999999</v>
      </c>
      <c r="F8" s="9">
        <f t="shared" si="2"/>
        <v>0.11250000000000002</v>
      </c>
      <c r="G8" s="3">
        <v>0.45</v>
      </c>
      <c r="H8" s="3">
        <v>1.0169999999999999</v>
      </c>
      <c r="I8">
        <v>1.1000000000000001</v>
      </c>
      <c r="J8">
        <f t="shared" si="5"/>
        <v>1.1187</v>
      </c>
      <c r="K8" s="2">
        <f>J8*Feuil2!$B$1</f>
        <v>73.834199999999996</v>
      </c>
      <c r="L8" s="1">
        <v>3744</v>
      </c>
      <c r="M8" s="1">
        <v>800</v>
      </c>
      <c r="N8" s="1">
        <f t="shared" si="0"/>
        <v>0.19382002601611284</v>
      </c>
      <c r="O8">
        <f>L8/Feuil2!$B$2</f>
        <v>1.051094890510949</v>
      </c>
      <c r="P8">
        <f>O8*Feuil2!$B$3</f>
        <v>73.881459854014594</v>
      </c>
      <c r="Q8">
        <f t="shared" si="3"/>
        <v>88.201166325028098</v>
      </c>
    </row>
    <row r="9" spans="1:17" x14ac:dyDescent="0.25">
      <c r="A9" t="s">
        <v>9</v>
      </c>
      <c r="B9" t="s">
        <v>56</v>
      </c>
      <c r="C9">
        <v>3000</v>
      </c>
      <c r="D9" s="4">
        <f>C9/15</f>
        <v>200</v>
      </c>
      <c r="E9" s="9">
        <f t="shared" si="1"/>
        <v>0.35144999999999998</v>
      </c>
      <c r="F9" s="9">
        <f t="shared" si="2"/>
        <v>0.17</v>
      </c>
      <c r="G9" s="3">
        <v>0.34</v>
      </c>
      <c r="H9" s="3">
        <v>1.0649999999999999</v>
      </c>
      <c r="I9">
        <v>1</v>
      </c>
      <c r="J9">
        <f t="shared" si="5"/>
        <v>1.0649999999999999</v>
      </c>
      <c r="K9" s="2">
        <f>J9*Feuil2!$B$1</f>
        <v>70.289999999999992</v>
      </c>
      <c r="L9" s="1">
        <v>3562</v>
      </c>
      <c r="M9" s="1">
        <v>790</v>
      </c>
      <c r="N9" s="1">
        <f t="shared" si="0"/>
        <v>0.20474581741911721</v>
      </c>
      <c r="O9">
        <f>L9/Feuil2!$B$2</f>
        <v>1</v>
      </c>
      <c r="P9">
        <f>O9*Feuil2!$B$3</f>
        <v>70.289999999999992</v>
      </c>
      <c r="Q9">
        <f t="shared" si="3"/>
        <v>84.681583506389742</v>
      </c>
    </row>
    <row r="10" spans="1:17" x14ac:dyDescent="0.25">
      <c r="A10" s="6" t="s">
        <v>10</v>
      </c>
      <c r="B10" s="6" t="s">
        <v>54</v>
      </c>
      <c r="C10">
        <v>7500</v>
      </c>
      <c r="D10" s="4">
        <f>C10/15</f>
        <v>500</v>
      </c>
      <c r="E10" s="9">
        <f t="shared" si="1"/>
        <v>0.14057999999999998</v>
      </c>
      <c r="F10" s="8">
        <f t="shared" si="2"/>
        <v>0.124</v>
      </c>
      <c r="G10" s="3">
        <v>0.62</v>
      </c>
      <c r="H10" s="3">
        <v>1.0649999999999999</v>
      </c>
      <c r="I10">
        <v>1</v>
      </c>
      <c r="J10">
        <f t="shared" si="5"/>
        <v>1.0649999999999999</v>
      </c>
      <c r="K10" s="2">
        <f>J10*Feuil2!$B$1</f>
        <v>70.289999999999992</v>
      </c>
      <c r="L10" s="1">
        <v>3562</v>
      </c>
      <c r="M10" s="1">
        <v>790</v>
      </c>
      <c r="N10" s="1">
        <f t="shared" si="0"/>
        <v>0.20474581741911721</v>
      </c>
      <c r="O10">
        <f>L10/Feuil2!$B$2</f>
        <v>1</v>
      </c>
      <c r="P10">
        <f>O10*Feuil2!$B$3</f>
        <v>70.289999999999992</v>
      </c>
      <c r="Q10">
        <f t="shared" si="3"/>
        <v>84.681583506389742</v>
      </c>
    </row>
    <row r="11" spans="1:17" x14ac:dyDescent="0.25">
      <c r="A11" t="s">
        <v>12</v>
      </c>
      <c r="B11" t="s">
        <v>56</v>
      </c>
      <c r="C11">
        <v>3000</v>
      </c>
      <c r="D11" s="4">
        <f>C11/10</f>
        <v>300</v>
      </c>
      <c r="E11" s="9">
        <f t="shared" si="1"/>
        <v>0.27324000000000004</v>
      </c>
      <c r="F11" s="9">
        <f t="shared" si="2"/>
        <v>0.12666666666666665</v>
      </c>
      <c r="G11" s="3">
        <v>0.38</v>
      </c>
      <c r="H11" s="3">
        <v>1.35</v>
      </c>
      <c r="I11">
        <v>0.92</v>
      </c>
      <c r="J11">
        <f t="shared" si="5"/>
        <v>1.2420000000000002</v>
      </c>
      <c r="K11" s="2">
        <f>J11*Feuil2!$B$1</f>
        <v>81.972000000000008</v>
      </c>
      <c r="L11" s="1">
        <v>3307</v>
      </c>
      <c r="M11" s="1">
        <v>295</v>
      </c>
      <c r="N11" s="1">
        <f t="shared" si="0"/>
        <v>1.060355968043674</v>
      </c>
      <c r="O11">
        <f>L11/Feuil2!$B$2</f>
        <v>0.92841100505334084</v>
      </c>
      <c r="P11">
        <f>O11*Feuil2!$B$3</f>
        <v>65.258009545199315</v>
      </c>
      <c r="Q11">
        <f t="shared" si="3"/>
        <v>134.45472942910246</v>
      </c>
    </row>
    <row r="12" spans="1:17" x14ac:dyDescent="0.25">
      <c r="A12" s="6" t="s">
        <v>13</v>
      </c>
      <c r="B12" s="6" t="s">
        <v>54</v>
      </c>
      <c r="C12">
        <v>6900</v>
      </c>
      <c r="D12" s="4">
        <f>C12/10</f>
        <v>690</v>
      </c>
      <c r="E12" s="9">
        <f t="shared" si="1"/>
        <v>0.11880000000000002</v>
      </c>
      <c r="F12" s="8">
        <f t="shared" si="2"/>
        <v>0.10869565217391304</v>
      </c>
      <c r="G12" s="3">
        <v>0.75</v>
      </c>
      <c r="H12" s="3">
        <v>1.35</v>
      </c>
      <c r="I12">
        <v>0.92</v>
      </c>
      <c r="J12">
        <f t="shared" si="5"/>
        <v>1.2420000000000002</v>
      </c>
      <c r="K12" s="2">
        <f>J12*Feuil2!$B$1</f>
        <v>81.972000000000008</v>
      </c>
      <c r="L12" s="1">
        <v>3307</v>
      </c>
      <c r="M12" s="1">
        <v>295</v>
      </c>
      <c r="N12" s="1">
        <f>LOG10(1/M12*1000)*2</f>
        <v>1.060355968043674</v>
      </c>
      <c r="O12">
        <f>L12/Feuil2!$B$2</f>
        <v>0.92841100505334084</v>
      </c>
      <c r="P12">
        <f>O12*Feuil2!$B$3</f>
        <v>65.258009545199315</v>
      </c>
      <c r="Q12">
        <f>P12*N12+P12</f>
        <v>134.45472942910246</v>
      </c>
    </row>
    <row r="13" spans="1:17" x14ac:dyDescent="0.25">
      <c r="A13" t="s">
        <v>16</v>
      </c>
      <c r="B13" t="s">
        <v>56</v>
      </c>
      <c r="C13" s="3">
        <v>1350</v>
      </c>
      <c r="D13" s="4">
        <f>C13/15</f>
        <v>90</v>
      </c>
      <c r="E13" s="9">
        <f t="shared" si="1"/>
        <v>0.40333333333333338</v>
      </c>
      <c r="F13" s="9">
        <f t="shared" si="2"/>
        <v>0.27777777777777779</v>
      </c>
      <c r="G13" s="3">
        <v>0.25</v>
      </c>
      <c r="H13" s="3">
        <v>1.1000000000000001</v>
      </c>
      <c r="I13">
        <v>0.5</v>
      </c>
      <c r="J13">
        <f t="shared" si="5"/>
        <v>0.55000000000000004</v>
      </c>
      <c r="K13" s="2">
        <f>J13*Feuil2!$B$1</f>
        <v>36.300000000000004</v>
      </c>
      <c r="L13" s="1">
        <v>1461</v>
      </c>
      <c r="M13" s="1">
        <v>880</v>
      </c>
      <c r="N13" s="1">
        <f t="shared" si="0"/>
        <v>0.11103465569966266</v>
      </c>
      <c r="O13">
        <f>L13/Feuil2!$B$2</f>
        <v>0.41016282987085906</v>
      </c>
      <c r="P13">
        <f>O13*Feuil2!$B$3</f>
        <v>28.830345311622679</v>
      </c>
      <c r="Q13">
        <f t="shared" si="3"/>
        <v>32.031512777001083</v>
      </c>
    </row>
    <row r="14" spans="1:17" x14ac:dyDescent="0.25">
      <c r="A14" s="5" t="s">
        <v>27</v>
      </c>
      <c r="B14" s="5" t="s">
        <v>55</v>
      </c>
      <c r="C14" s="3">
        <v>2000</v>
      </c>
      <c r="D14" s="4">
        <f t="shared" ref="D14:D22" si="6">C14/15</f>
        <v>133.33333333333334</v>
      </c>
      <c r="E14" s="10">
        <f t="shared" si="1"/>
        <v>0.39600000000000002</v>
      </c>
      <c r="F14" s="9">
        <f t="shared" si="2"/>
        <v>0.11249999999999999</v>
      </c>
      <c r="G14" s="3">
        <v>0.15</v>
      </c>
      <c r="H14" s="3">
        <v>1.6</v>
      </c>
      <c r="I14">
        <v>0.5</v>
      </c>
      <c r="J14">
        <f t="shared" ref="J14:J15" si="7">I14*H14</f>
        <v>0.8</v>
      </c>
      <c r="K14" s="2">
        <f>J14*Feuil2!$B$1</f>
        <v>52.800000000000004</v>
      </c>
      <c r="L14" s="1">
        <v>1461</v>
      </c>
      <c r="M14" s="1">
        <v>880</v>
      </c>
      <c r="N14" s="1">
        <f t="shared" si="0"/>
        <v>0.11103465569966266</v>
      </c>
      <c r="O14">
        <f>L14/Feuil2!$B$2</f>
        <v>0.41016282987085906</v>
      </c>
      <c r="P14">
        <f>O14*Feuil2!$B$3</f>
        <v>28.830345311622679</v>
      </c>
      <c r="Q14">
        <f t="shared" si="3"/>
        <v>32.031512777001083</v>
      </c>
    </row>
    <row r="15" spans="1:17" x14ac:dyDescent="0.25">
      <c r="A15" s="6" t="s">
        <v>28</v>
      </c>
      <c r="B15" s="6" t="s">
        <v>54</v>
      </c>
      <c r="C15" s="3">
        <v>5100</v>
      </c>
      <c r="D15" s="4">
        <f t="shared" si="6"/>
        <v>340</v>
      </c>
      <c r="E15" s="9">
        <f t="shared" si="1"/>
        <v>0.10676470588235296</v>
      </c>
      <c r="F15" s="8">
        <f t="shared" si="2"/>
        <v>0.13823529411764704</v>
      </c>
      <c r="G15" s="3">
        <v>0.47</v>
      </c>
      <c r="H15" s="3">
        <v>1.1000000000000001</v>
      </c>
      <c r="I15">
        <v>0.5</v>
      </c>
      <c r="J15">
        <f t="shared" si="7"/>
        <v>0.55000000000000004</v>
      </c>
      <c r="K15" s="2">
        <f>J15*Feuil2!$B$1</f>
        <v>36.300000000000004</v>
      </c>
      <c r="L15" s="1">
        <v>1461</v>
      </c>
      <c r="M15" s="1">
        <v>880</v>
      </c>
      <c r="N15" s="1">
        <f t="shared" si="0"/>
        <v>0.11103465569966266</v>
      </c>
      <c r="O15">
        <f>L15/Feuil2!$B$2</f>
        <v>0.41016282987085906</v>
      </c>
      <c r="P15">
        <f>O15*Feuil2!$B$3</f>
        <v>28.830345311622679</v>
      </c>
      <c r="Q15">
        <f t="shared" si="3"/>
        <v>32.031512777001083</v>
      </c>
    </row>
    <row r="16" spans="1:17" x14ac:dyDescent="0.25">
      <c r="A16" t="s">
        <v>17</v>
      </c>
      <c r="B16" t="s">
        <v>56</v>
      </c>
      <c r="C16" s="3">
        <v>1500</v>
      </c>
      <c r="D16" s="4">
        <f t="shared" si="6"/>
        <v>100</v>
      </c>
      <c r="E16" s="9">
        <f t="shared" si="1"/>
        <v>0.34649999999999997</v>
      </c>
      <c r="F16" s="9">
        <f t="shared" si="2"/>
        <v>0.27</v>
      </c>
      <c r="G16" s="3">
        <v>0.27</v>
      </c>
      <c r="H16" s="3">
        <v>1.05</v>
      </c>
      <c r="I16">
        <v>0.5</v>
      </c>
      <c r="J16">
        <f t="shared" si="5"/>
        <v>0.52500000000000002</v>
      </c>
      <c r="K16" s="2">
        <f>J16*Feuil2!$B$1</f>
        <v>34.65</v>
      </c>
      <c r="L16" s="1">
        <v>1859</v>
      </c>
      <c r="M16" s="1">
        <v>948</v>
      </c>
      <c r="N16" s="1">
        <f t="shared" si="0"/>
        <v>4.6383325323867484E-2</v>
      </c>
      <c r="O16">
        <f>L16/Feuil2!$B$2</f>
        <v>0.52189781021897808</v>
      </c>
      <c r="P16">
        <f>O16*Feuil2!$B$3</f>
        <v>36.684197080291966</v>
      </c>
      <c r="Q16">
        <f t="shared" si="3"/>
        <v>38.385732127712018</v>
      </c>
    </row>
    <row r="17" spans="1:17" x14ac:dyDescent="0.25">
      <c r="A17" s="5" t="s">
        <v>26</v>
      </c>
      <c r="B17" s="5" t="s">
        <v>55</v>
      </c>
      <c r="C17" s="3">
        <v>1850</v>
      </c>
      <c r="D17" s="4">
        <f t="shared" si="6"/>
        <v>123.33333333333333</v>
      </c>
      <c r="E17" s="10">
        <f t="shared" si="1"/>
        <v>0.3745945945945946</v>
      </c>
      <c r="F17" s="9">
        <f t="shared" si="2"/>
        <v>0.12162162162162161</v>
      </c>
      <c r="G17" s="3">
        <v>0.15</v>
      </c>
      <c r="H17" s="3">
        <v>1.4</v>
      </c>
      <c r="I17">
        <v>0.5</v>
      </c>
      <c r="J17">
        <f t="shared" si="5"/>
        <v>0.7</v>
      </c>
      <c r="K17" s="2">
        <f>J17*Feuil2!$B$1</f>
        <v>46.199999999999996</v>
      </c>
      <c r="L17" s="1">
        <v>1859</v>
      </c>
      <c r="M17" s="1">
        <v>948</v>
      </c>
      <c r="N17" s="1">
        <f t="shared" si="0"/>
        <v>4.6383325323867484E-2</v>
      </c>
      <c r="O17">
        <f>L17/Feuil2!$B$2</f>
        <v>0.52189781021897808</v>
      </c>
      <c r="P17">
        <f>O17*Feuil2!$B$3</f>
        <v>36.684197080291966</v>
      </c>
      <c r="Q17">
        <f t="shared" si="3"/>
        <v>38.385732127712018</v>
      </c>
    </row>
    <row r="18" spans="1:17" x14ac:dyDescent="0.25">
      <c r="A18" s="6" t="s">
        <v>29</v>
      </c>
      <c r="B18" s="6" t="s">
        <v>54</v>
      </c>
      <c r="C18" s="3">
        <v>5500</v>
      </c>
      <c r="D18" s="4">
        <f t="shared" si="6"/>
        <v>366.66666666666669</v>
      </c>
      <c r="E18" s="9">
        <f t="shared" si="1"/>
        <v>9.4499999999999987E-2</v>
      </c>
      <c r="F18" s="8">
        <f t="shared" si="2"/>
        <v>0.14181818181818182</v>
      </c>
      <c r="G18" s="3">
        <v>0.52</v>
      </c>
      <c r="H18" s="3">
        <v>1.05</v>
      </c>
      <c r="I18">
        <v>0.5</v>
      </c>
      <c r="J18">
        <f t="shared" ref="J18" si="8">I18*H18</f>
        <v>0.52500000000000002</v>
      </c>
      <c r="K18" s="2">
        <f>J18*Feuil2!$B$1</f>
        <v>34.65</v>
      </c>
      <c r="L18" s="1">
        <v>1859</v>
      </c>
      <c r="M18" s="1">
        <v>948</v>
      </c>
      <c r="N18" s="1">
        <f t="shared" si="0"/>
        <v>4.6383325323867484E-2</v>
      </c>
      <c r="O18">
        <f>L18/Feuil2!$B$2</f>
        <v>0.52189781021897808</v>
      </c>
      <c r="P18">
        <f>O18*Feuil2!$B$3</f>
        <v>36.684197080291966</v>
      </c>
      <c r="Q18">
        <f t="shared" si="3"/>
        <v>38.385732127712018</v>
      </c>
    </row>
    <row r="19" spans="1:17" x14ac:dyDescent="0.25">
      <c r="A19" t="s">
        <v>19</v>
      </c>
      <c r="B19" t="s">
        <v>56</v>
      </c>
      <c r="C19" s="3">
        <v>1950</v>
      </c>
      <c r="D19" s="4">
        <f t="shared" si="6"/>
        <v>130</v>
      </c>
      <c r="E19" s="9">
        <f t="shared" si="1"/>
        <v>0.30918461538461539</v>
      </c>
      <c r="F19" s="9">
        <f t="shared" si="2"/>
        <v>0.23076923076923075</v>
      </c>
      <c r="G19" s="3">
        <v>0.3</v>
      </c>
      <c r="H19" s="3">
        <v>1.05</v>
      </c>
      <c r="I19">
        <v>0.57999999999999996</v>
      </c>
      <c r="J19">
        <f t="shared" si="5"/>
        <v>0.60899999999999999</v>
      </c>
      <c r="K19" s="2">
        <f>J19*Feuil2!$B$1</f>
        <v>40.194000000000003</v>
      </c>
      <c r="L19" s="1">
        <v>2179</v>
      </c>
      <c r="M19" s="1">
        <v>738</v>
      </c>
      <c r="N19" s="1">
        <f t="shared" si="0"/>
        <v>0.2638872763539169</v>
      </c>
      <c r="O19">
        <f>L19/Feuil2!$B$2</f>
        <v>0.61173498034811902</v>
      </c>
      <c r="P19">
        <f>O19*Feuil2!$B$3</f>
        <v>42.998851768669283</v>
      </c>
      <c r="Q19">
        <f t="shared" si="3"/>
        <v>54.345701648249225</v>
      </c>
    </row>
    <row r="20" spans="1:17" x14ac:dyDescent="0.25">
      <c r="A20" s="6" t="s">
        <v>25</v>
      </c>
      <c r="B20" s="6" t="s">
        <v>54</v>
      </c>
      <c r="C20" s="3">
        <v>5900</v>
      </c>
      <c r="D20" s="4">
        <f t="shared" si="6"/>
        <v>393.33333333333331</v>
      </c>
      <c r="E20" s="9">
        <f t="shared" si="1"/>
        <v>0.10218813559322035</v>
      </c>
      <c r="F20" s="9">
        <f t="shared" si="2"/>
        <v>0.13983050847457629</v>
      </c>
      <c r="G20" s="3">
        <v>0.55000000000000004</v>
      </c>
      <c r="H20" s="3">
        <v>1.05</v>
      </c>
      <c r="I20">
        <v>0.57999999999999996</v>
      </c>
      <c r="J20">
        <f t="shared" ref="J20:J21" si="9">I20*H20</f>
        <v>0.60899999999999999</v>
      </c>
      <c r="K20" s="2">
        <f>J20*Feuil2!$B$1</f>
        <v>40.194000000000003</v>
      </c>
      <c r="L20" s="1">
        <v>2179</v>
      </c>
      <c r="M20" s="1">
        <v>738</v>
      </c>
      <c r="N20" s="1">
        <f t="shared" si="0"/>
        <v>0.2638872763539169</v>
      </c>
      <c r="O20">
        <f>L20/Feuil2!$B$2</f>
        <v>0.61173498034811902</v>
      </c>
      <c r="P20">
        <f>O20*Feuil2!$B$3</f>
        <v>42.998851768669283</v>
      </c>
      <c r="Q20">
        <f t="shared" si="3"/>
        <v>54.345701648249225</v>
      </c>
    </row>
    <row r="21" spans="1:17" x14ac:dyDescent="0.25">
      <c r="A21" t="s">
        <v>32</v>
      </c>
      <c r="B21" t="s">
        <v>56</v>
      </c>
      <c r="C21" s="3">
        <v>1600</v>
      </c>
      <c r="D21" s="4">
        <f t="shared" si="6"/>
        <v>106.66666666666667</v>
      </c>
      <c r="E21" s="9">
        <f t="shared" si="1"/>
        <v>0.36444374999999996</v>
      </c>
      <c r="F21" s="9">
        <f t="shared" si="2"/>
        <v>0.28125</v>
      </c>
      <c r="G21" s="3">
        <v>0.3</v>
      </c>
      <c r="H21" s="3">
        <v>0.95</v>
      </c>
      <c r="I21">
        <v>0.62</v>
      </c>
      <c r="J21">
        <f t="shared" si="9"/>
        <v>0.58899999999999997</v>
      </c>
      <c r="K21" s="2">
        <f>J21*Feuil2!$B$1</f>
        <v>38.873999999999995</v>
      </c>
      <c r="L21" s="1">
        <v>964</v>
      </c>
      <c r="M21" s="1">
        <v>327</v>
      </c>
      <c r="N21" s="1">
        <f t="shared" si="0"/>
        <v>0.97090449467942785</v>
      </c>
      <c r="O21">
        <f>L21/Feuil2!$B$2</f>
        <v>0.27063447501403703</v>
      </c>
      <c r="P21">
        <f>O21*Feuil2!$B$3</f>
        <v>19.022897248736662</v>
      </c>
      <c r="Q21">
        <f t="shared" si="3"/>
        <v>37.49231368936001</v>
      </c>
    </row>
    <row r="22" spans="1:17" x14ac:dyDescent="0.25">
      <c r="A22" s="6" t="s">
        <v>33</v>
      </c>
      <c r="B22" s="6" t="s">
        <v>54</v>
      </c>
      <c r="C22" s="3">
        <v>5200</v>
      </c>
      <c r="D22" s="4">
        <f t="shared" si="6"/>
        <v>346.66666666666669</v>
      </c>
      <c r="E22" s="9">
        <f t="shared" si="1"/>
        <v>0.11213653846153844</v>
      </c>
      <c r="F22" s="8">
        <f t="shared" si="2"/>
        <v>0.1528846153846154</v>
      </c>
      <c r="G22" s="3">
        <v>0.53</v>
      </c>
      <c r="H22" s="3">
        <v>0.95</v>
      </c>
      <c r="I22">
        <v>0.62</v>
      </c>
      <c r="J22">
        <f t="shared" ref="J22" si="10">I22*H22</f>
        <v>0.58899999999999997</v>
      </c>
      <c r="K22" s="2">
        <f>J22*Feuil2!$B$1</f>
        <v>38.873999999999995</v>
      </c>
      <c r="L22" s="1">
        <v>964</v>
      </c>
      <c r="M22" s="1">
        <v>327</v>
      </c>
      <c r="N22" s="1">
        <f t="shared" si="0"/>
        <v>0.97090449467942785</v>
      </c>
      <c r="O22">
        <f>L22/Feuil2!$B$2</f>
        <v>0.27063447501403703</v>
      </c>
      <c r="P22">
        <f>O22*Feuil2!$B$3</f>
        <v>19.022897248736662</v>
      </c>
      <c r="Q22">
        <f t="shared" ref="Q22" si="11">P22*N22+P22</f>
        <v>37.49231368936001</v>
      </c>
    </row>
    <row r="23" spans="1:17" x14ac:dyDescent="0.25">
      <c r="A23" s="5" t="s">
        <v>42</v>
      </c>
      <c r="B23" s="5" t="s">
        <v>55</v>
      </c>
      <c r="C23" s="3">
        <v>2600</v>
      </c>
      <c r="D23" s="4">
        <f>C23/13</f>
        <v>200</v>
      </c>
      <c r="E23" s="10">
        <f t="shared" si="1"/>
        <v>0.51480000000000004</v>
      </c>
      <c r="F23" s="9">
        <f t="shared" si="2"/>
        <v>0.15</v>
      </c>
      <c r="G23" s="3">
        <v>0.3</v>
      </c>
      <c r="H23" s="3">
        <f>2.6</f>
        <v>2.6</v>
      </c>
      <c r="I23">
        <v>0.6</v>
      </c>
      <c r="J23">
        <f t="shared" ref="J23:J24" si="12">I23*H23</f>
        <v>1.56</v>
      </c>
      <c r="K23" s="2">
        <f>J23*Feuil2!$B$1</f>
        <v>102.96000000000001</v>
      </c>
      <c r="L23" s="1">
        <v>1062</v>
      </c>
      <c r="M23" s="1">
        <v>430</v>
      </c>
      <c r="N23" s="1">
        <f t="shared" si="0"/>
        <v>0.73306308884082705</v>
      </c>
      <c r="O23">
        <f>L23/Feuil2!$B$2</f>
        <v>0.29814710836608649</v>
      </c>
      <c r="P23">
        <f>O23*Feuil2!$B$3</f>
        <v>20.956760247052216</v>
      </c>
      <c r="Q23">
        <f t="shared" si="3"/>
        <v>36.31938764585297</v>
      </c>
    </row>
    <row r="24" spans="1:17" x14ac:dyDescent="0.25">
      <c r="A24" t="s">
        <v>34</v>
      </c>
      <c r="B24" t="s">
        <v>56</v>
      </c>
      <c r="C24" s="3">
        <v>560</v>
      </c>
      <c r="D24" s="4">
        <f>C24/15</f>
        <v>37.333333333333336</v>
      </c>
      <c r="E24" s="9">
        <f t="shared" si="1"/>
        <v>0.47732142857142856</v>
      </c>
      <c r="F24" s="9">
        <f t="shared" si="2"/>
        <v>0.40178571428571425</v>
      </c>
      <c r="G24" s="3">
        <v>0.15</v>
      </c>
      <c r="H24" s="3">
        <v>0.6</v>
      </c>
      <c r="I24">
        <v>0.45</v>
      </c>
      <c r="J24">
        <f t="shared" si="12"/>
        <v>0.27</v>
      </c>
      <c r="K24" s="2">
        <f>J24*Feuil2!$B$1</f>
        <v>17.82</v>
      </c>
      <c r="L24" s="1">
        <v>378</v>
      </c>
      <c r="M24" s="1">
        <v>351</v>
      </c>
      <c r="N24" s="1">
        <f t="shared" si="0"/>
        <v>0.90938576706835184</v>
      </c>
      <c r="O24">
        <f>L24/Feuil2!$B$2</f>
        <v>0.10612015721504772</v>
      </c>
      <c r="P24">
        <f>O24*Feuil2!$B$3</f>
        <v>7.4591858506457038</v>
      </c>
      <c r="Q24">
        <f t="shared" ref="Q24" si="13">P24*N24+P24</f>
        <v>14.242463297140544</v>
      </c>
    </row>
    <row r="25" spans="1:17" x14ac:dyDescent="0.25">
      <c r="A25" s="5" t="s">
        <v>35</v>
      </c>
      <c r="B25" s="5" t="s">
        <v>55</v>
      </c>
      <c r="C25" s="3">
        <v>960</v>
      </c>
      <c r="D25" s="4">
        <f t="shared" ref="D25:D32" si="14">C25/15</f>
        <v>64</v>
      </c>
      <c r="E25" s="10">
        <f t="shared" si="1"/>
        <v>0.51046875000000003</v>
      </c>
      <c r="F25" s="9">
        <f t="shared" si="2"/>
        <v>0.15625</v>
      </c>
      <c r="G25" s="3">
        <v>0.1</v>
      </c>
      <c r="H25" s="3">
        <v>1.1000000000000001</v>
      </c>
      <c r="I25">
        <v>0.45</v>
      </c>
      <c r="J25">
        <f t="shared" ref="J25:J27" si="15">I25*H25</f>
        <v>0.49500000000000005</v>
      </c>
      <c r="K25" s="2">
        <f>J25*Feuil2!$B$1</f>
        <v>32.67</v>
      </c>
      <c r="L25" s="1">
        <v>378</v>
      </c>
      <c r="M25" s="1">
        <v>351</v>
      </c>
      <c r="N25" s="1">
        <f t="shared" ref="N25:N32" si="16">LOG10(1/M25*1000)*2</f>
        <v>0.90938576706835184</v>
      </c>
      <c r="O25">
        <f>L25/Feuil2!$B$2</f>
        <v>0.10612015721504772</v>
      </c>
      <c r="P25">
        <f>O25*Feuil2!$B$3</f>
        <v>7.4591858506457038</v>
      </c>
      <c r="Q25">
        <f t="shared" ref="Q25:Q26" si="17">P25*N25+P25</f>
        <v>14.242463297140544</v>
      </c>
    </row>
    <row r="26" spans="1:17" x14ac:dyDescent="0.25">
      <c r="A26" s="6" t="s">
        <v>36</v>
      </c>
      <c r="B26" s="6" t="s">
        <v>54</v>
      </c>
      <c r="C26" s="3">
        <v>1200</v>
      </c>
      <c r="D26" s="4">
        <f t="shared" si="14"/>
        <v>80</v>
      </c>
      <c r="E26" s="9">
        <f t="shared" si="1"/>
        <v>0.22275</v>
      </c>
      <c r="F26" s="8">
        <f t="shared" si="2"/>
        <v>0.375</v>
      </c>
      <c r="G26" s="3">
        <v>0.3</v>
      </c>
      <c r="H26" s="3">
        <v>0.6</v>
      </c>
      <c r="I26">
        <v>0.45</v>
      </c>
      <c r="J26">
        <f t="shared" si="15"/>
        <v>0.27</v>
      </c>
      <c r="K26" s="2">
        <f>J26*Feuil2!$B$1</f>
        <v>17.82</v>
      </c>
      <c r="L26" s="1">
        <v>378</v>
      </c>
      <c r="M26" s="1">
        <v>351</v>
      </c>
      <c r="N26" s="1">
        <f t="shared" si="16"/>
        <v>0.90938576706835184</v>
      </c>
      <c r="O26">
        <f>L26/Feuil2!$B$2</f>
        <v>0.10612015721504772</v>
      </c>
      <c r="P26">
        <f>O26*Feuil2!$B$3</f>
        <v>7.4591858506457038</v>
      </c>
      <c r="Q26">
        <f t="shared" si="17"/>
        <v>14.242463297140544</v>
      </c>
    </row>
    <row r="27" spans="1:17" x14ac:dyDescent="0.25">
      <c r="A27" t="s">
        <v>37</v>
      </c>
      <c r="B27" t="s">
        <v>56</v>
      </c>
      <c r="C27" s="3">
        <v>645</v>
      </c>
      <c r="D27" s="4">
        <f t="shared" si="14"/>
        <v>43</v>
      </c>
      <c r="E27" s="9">
        <f t="shared" si="1"/>
        <v>0.48348837209302326</v>
      </c>
      <c r="F27" s="9">
        <f t="shared" si="2"/>
        <v>0.39534883720930236</v>
      </c>
      <c r="G27" s="3">
        <v>0.17</v>
      </c>
      <c r="H27" s="3">
        <v>0.7</v>
      </c>
      <c r="I27">
        <v>0.45</v>
      </c>
      <c r="J27">
        <f t="shared" si="15"/>
        <v>0.315</v>
      </c>
      <c r="K27" s="2">
        <f>J27*Feuil2!$B$1</f>
        <v>20.79</v>
      </c>
      <c r="L27" s="1">
        <v>675</v>
      </c>
      <c r="M27" s="1">
        <v>410</v>
      </c>
      <c r="N27" s="1">
        <f t="shared" si="16"/>
        <v>0.77443228656052898</v>
      </c>
      <c r="O27">
        <f>L27/Feuil2!$B$2</f>
        <v>0.18950028074115666</v>
      </c>
      <c r="P27">
        <f>O27*Feuil2!$B$3</f>
        <v>13.319974733295901</v>
      </c>
      <c r="Q27">
        <f t="shared" ref="Q27" si="18">P27*N27+P27</f>
        <v>23.635393222930716</v>
      </c>
    </row>
    <row r="28" spans="1:17" x14ac:dyDescent="0.25">
      <c r="A28" s="5" t="s">
        <v>38</v>
      </c>
      <c r="B28" s="5" t="s">
        <v>55</v>
      </c>
      <c r="C28" s="3">
        <v>1125</v>
      </c>
      <c r="D28" s="4">
        <f t="shared" si="14"/>
        <v>75</v>
      </c>
      <c r="E28" s="10">
        <f>K28/D28</f>
        <v>0.53460000000000008</v>
      </c>
      <c r="F28" s="9">
        <f t="shared" si="2"/>
        <v>0.13333333333333336</v>
      </c>
      <c r="G28" s="3">
        <v>0.1</v>
      </c>
      <c r="H28" s="3">
        <v>1.35</v>
      </c>
      <c r="I28">
        <v>0.45</v>
      </c>
      <c r="J28">
        <f t="shared" ref="J28:J31" si="19">I28*H28</f>
        <v>0.60750000000000004</v>
      </c>
      <c r="K28" s="2">
        <f>J28*Feuil2!$B$1</f>
        <v>40.095000000000006</v>
      </c>
      <c r="L28" s="1">
        <v>675</v>
      </c>
      <c r="M28" s="1">
        <v>410</v>
      </c>
      <c r="N28" s="1">
        <f t="shared" si="16"/>
        <v>0.77443228656052898</v>
      </c>
      <c r="O28">
        <f>L28/Feuil2!$B$2</f>
        <v>0.18950028074115666</v>
      </c>
      <c r="P28">
        <f>O28*Feuil2!$B$3</f>
        <v>13.319974733295901</v>
      </c>
      <c r="Q28">
        <f t="shared" ref="Q28:Q29" si="20">P28*N28+P28</f>
        <v>23.635393222930716</v>
      </c>
    </row>
    <row r="29" spans="1:17" x14ac:dyDescent="0.25">
      <c r="A29" s="6" t="s">
        <v>39</v>
      </c>
      <c r="B29" s="6" t="s">
        <v>54</v>
      </c>
      <c r="C29" s="3">
        <v>2350</v>
      </c>
      <c r="D29" s="4">
        <f t="shared" si="14"/>
        <v>156.66666666666666</v>
      </c>
      <c r="E29" s="9">
        <f t="shared" ref="E29:E36" si="21">K29/D29</f>
        <v>0.13270212765957448</v>
      </c>
      <c r="F29" s="8">
        <f t="shared" si="2"/>
        <v>0.24255319148936172</v>
      </c>
      <c r="G29" s="3">
        <v>0.38</v>
      </c>
      <c r="H29" s="3">
        <v>0.7</v>
      </c>
      <c r="I29">
        <v>0.45</v>
      </c>
      <c r="J29">
        <f t="shared" si="19"/>
        <v>0.315</v>
      </c>
      <c r="K29" s="2">
        <f>J29*Feuil2!$B$1</f>
        <v>20.79</v>
      </c>
      <c r="L29" s="1">
        <v>675</v>
      </c>
      <c r="M29" s="1">
        <v>410</v>
      </c>
      <c r="N29" s="1">
        <f t="shared" si="16"/>
        <v>0.77443228656052898</v>
      </c>
      <c r="O29">
        <f>L29/Feuil2!$B$2</f>
        <v>0.18950028074115666</v>
      </c>
      <c r="P29">
        <f>O29*Feuil2!$B$3</f>
        <v>13.319974733295901</v>
      </c>
      <c r="Q29">
        <f t="shared" si="20"/>
        <v>23.635393222930716</v>
      </c>
    </row>
    <row r="30" spans="1:17" x14ac:dyDescent="0.25">
      <c r="A30" s="6" t="s">
        <v>40</v>
      </c>
      <c r="B30" s="6" t="s">
        <v>54</v>
      </c>
      <c r="C30" s="3">
        <v>2150</v>
      </c>
      <c r="D30" s="4">
        <f>C30/14</f>
        <v>153.57142857142858</v>
      </c>
      <c r="E30" s="9">
        <f t="shared" si="21"/>
        <v>0.15793953488372092</v>
      </c>
      <c r="F30" s="8">
        <f t="shared" si="2"/>
        <v>0.2409302325581395</v>
      </c>
      <c r="G30" s="3">
        <v>0.37</v>
      </c>
      <c r="H30" s="3">
        <v>1.05</v>
      </c>
      <c r="I30">
        <v>0.35</v>
      </c>
      <c r="J30">
        <f t="shared" si="19"/>
        <v>0.36749999999999999</v>
      </c>
      <c r="K30" s="2">
        <f>J30*Feuil2!$B$1</f>
        <v>24.254999999999999</v>
      </c>
      <c r="L30" s="1">
        <v>570</v>
      </c>
      <c r="M30" s="1">
        <v>390</v>
      </c>
      <c r="N30" s="1">
        <f t="shared" si="16"/>
        <v>0.81787078594700169</v>
      </c>
      <c r="O30">
        <f>L30/Feuil2!$B$2</f>
        <v>0.16002245929253228</v>
      </c>
      <c r="P30">
        <f>O30*Feuil2!$B$3</f>
        <v>11.247978663672093</v>
      </c>
      <c r="Q30">
        <f t="shared" ref="Q30" si="22">P30*N30+P30</f>
        <v>20.447371813644693</v>
      </c>
    </row>
    <row r="31" spans="1:17" x14ac:dyDescent="0.25">
      <c r="A31" s="6" t="s">
        <v>41</v>
      </c>
      <c r="B31" s="6" t="s">
        <v>54</v>
      </c>
      <c r="C31" s="3">
        <v>2600</v>
      </c>
      <c r="D31" s="4">
        <f t="shared" si="14"/>
        <v>173.33333333333334</v>
      </c>
      <c r="E31" s="9">
        <f t="shared" si="21"/>
        <v>0.13136538461538461</v>
      </c>
      <c r="F31" s="8">
        <f t="shared" si="2"/>
        <v>0.24230769230769228</v>
      </c>
      <c r="G31" s="3">
        <v>0.42</v>
      </c>
      <c r="H31" s="3">
        <v>0.69</v>
      </c>
      <c r="I31">
        <v>0.5</v>
      </c>
      <c r="J31">
        <f t="shared" si="19"/>
        <v>0.34499999999999997</v>
      </c>
      <c r="K31" s="2">
        <f>J31*Feuil2!$B$1</f>
        <v>22.77</v>
      </c>
      <c r="L31" s="1">
        <v>538</v>
      </c>
      <c r="M31" s="1">
        <v>850</v>
      </c>
      <c r="N31" s="1">
        <f t="shared" si="16"/>
        <v>0.1411621485714144</v>
      </c>
      <c r="O31">
        <f>L31/Feuil2!$B$2</f>
        <v>0.15103874227961819</v>
      </c>
      <c r="P31">
        <f>O31*Feuil2!$B$3</f>
        <v>10.616513194834361</v>
      </c>
      <c r="Q31">
        <f t="shared" ref="Q31" si="23">P31*N31+P31</f>
        <v>12.115163007753951</v>
      </c>
    </row>
    <row r="32" spans="1:17" x14ac:dyDescent="0.25">
      <c r="A32" t="s">
        <v>43</v>
      </c>
      <c r="B32" t="s">
        <v>56</v>
      </c>
      <c r="C32" s="3">
        <v>1275</v>
      </c>
      <c r="D32" s="4">
        <f t="shared" si="14"/>
        <v>85</v>
      </c>
      <c r="E32" s="9">
        <f t="shared" si="21"/>
        <v>0.26788235294117646</v>
      </c>
      <c r="F32" s="9">
        <f t="shared" si="2"/>
        <v>0.24705882352941178</v>
      </c>
      <c r="G32" s="3">
        <v>0.21</v>
      </c>
      <c r="H32" s="3">
        <v>0.69</v>
      </c>
      <c r="I32">
        <v>0.5</v>
      </c>
      <c r="J32">
        <f t="shared" ref="J32" si="24">I32*H32</f>
        <v>0.34499999999999997</v>
      </c>
      <c r="K32" s="2">
        <f>J32*Feuil2!$B$1</f>
        <v>22.77</v>
      </c>
      <c r="L32" s="1">
        <v>538</v>
      </c>
      <c r="M32" s="1">
        <v>850</v>
      </c>
      <c r="N32" s="1">
        <f t="shared" si="16"/>
        <v>0.1411621485714144</v>
      </c>
      <c r="O32">
        <f>L32/Feuil2!$B$2</f>
        <v>0.15103874227961819</v>
      </c>
      <c r="P32">
        <f>O32*Feuil2!$B$3</f>
        <v>10.616513194834361</v>
      </c>
      <c r="Q32">
        <f t="shared" ref="Q32" si="25">P32*N32+P32</f>
        <v>12.115163007753951</v>
      </c>
    </row>
    <row r="33" spans="1:17" x14ac:dyDescent="0.25">
      <c r="A33" s="5" t="s">
        <v>44</v>
      </c>
      <c r="B33" s="5" t="s">
        <v>55</v>
      </c>
      <c r="C33" s="3">
        <v>875</v>
      </c>
      <c r="D33" s="4">
        <f>C33/16</f>
        <v>54.6875</v>
      </c>
      <c r="E33" s="10">
        <f t="shared" si="21"/>
        <v>0.54362879999999991</v>
      </c>
      <c r="F33" s="9">
        <f t="shared" si="2"/>
        <v>0.1462857142857143</v>
      </c>
      <c r="G33" s="3">
        <v>0.08</v>
      </c>
      <c r="H33" s="3">
        <f>0.7*1.43</f>
        <v>1.0009999999999999</v>
      </c>
      <c r="I33">
        <v>0.45</v>
      </c>
      <c r="J33">
        <f t="shared" ref="J33" si="26">I33*H33</f>
        <v>0.45044999999999996</v>
      </c>
      <c r="K33" s="2">
        <f>J33*Feuil2!$B$1</f>
        <v>29.729699999999998</v>
      </c>
      <c r="L33" s="1">
        <v>697</v>
      </c>
      <c r="M33" s="1">
        <v>497</v>
      </c>
      <c r="N33" s="1">
        <f t="shared" ref="N33:N36" si="27">LOG10(1/M33*1000)*2</f>
        <v>0.60728722253333589</v>
      </c>
      <c r="O33">
        <f>L33/Feuil2!$B$2</f>
        <v>0.19567658618753508</v>
      </c>
      <c r="P33">
        <f>O33*Feuil2!$B$3</f>
        <v>13.75410724312184</v>
      </c>
      <c r="Q33">
        <f t="shared" ref="Q33:Q34" si="28">P33*N33+P33</f>
        <v>22.106800829222941</v>
      </c>
    </row>
    <row r="34" spans="1:17" x14ac:dyDescent="0.25">
      <c r="A34" s="6" t="s">
        <v>45</v>
      </c>
      <c r="B34" s="6" t="s">
        <v>54</v>
      </c>
      <c r="C34" s="3">
        <v>975</v>
      </c>
      <c r="D34" s="4">
        <f>C34/16</f>
        <v>60.9375</v>
      </c>
      <c r="E34" s="9">
        <f t="shared" si="21"/>
        <v>0.34116923076923078</v>
      </c>
      <c r="F34" s="8">
        <f t="shared" si="2"/>
        <v>0.41025641025641024</v>
      </c>
      <c r="G34">
        <v>0.25</v>
      </c>
      <c r="H34" s="3">
        <v>0.7</v>
      </c>
      <c r="I34">
        <v>0.45</v>
      </c>
      <c r="J34">
        <f t="shared" ref="J34:J35" si="29">I34*H34</f>
        <v>0.315</v>
      </c>
      <c r="K34" s="2">
        <f>J34*Feuil2!$B$1</f>
        <v>20.79</v>
      </c>
      <c r="L34" s="1">
        <v>697</v>
      </c>
      <c r="M34" s="1">
        <v>497</v>
      </c>
      <c r="N34" s="1">
        <f t="shared" si="27"/>
        <v>0.60728722253333589</v>
      </c>
      <c r="O34">
        <f>L34/Feuil2!$B$2</f>
        <v>0.19567658618753508</v>
      </c>
      <c r="P34">
        <f>O34*Feuil2!$B$3</f>
        <v>13.75410724312184</v>
      </c>
      <c r="Q34">
        <f t="shared" si="28"/>
        <v>22.106800829222941</v>
      </c>
    </row>
    <row r="35" spans="1:17" x14ac:dyDescent="0.25">
      <c r="A35" t="s">
        <v>48</v>
      </c>
      <c r="B35" t="s">
        <v>56</v>
      </c>
      <c r="C35" s="3">
        <v>950</v>
      </c>
      <c r="D35" s="4">
        <f>C35/14</f>
        <v>67.857142857142861</v>
      </c>
      <c r="E35" s="9">
        <f t="shared" si="21"/>
        <v>0.37446315789473683</v>
      </c>
      <c r="F35" s="9">
        <f t="shared" si="2"/>
        <v>0.27999999999999997</v>
      </c>
      <c r="G35">
        <v>0.19</v>
      </c>
      <c r="H35" s="3">
        <v>0.7</v>
      </c>
      <c r="I35">
        <v>0.55000000000000004</v>
      </c>
      <c r="J35">
        <f t="shared" si="29"/>
        <v>0.38500000000000001</v>
      </c>
      <c r="K35" s="2">
        <f>J35*Feuil2!$B$1</f>
        <v>25.41</v>
      </c>
      <c r="L35" s="1">
        <v>559</v>
      </c>
      <c r="M35" s="1">
        <v>320</v>
      </c>
      <c r="N35" s="1">
        <f t="shared" si="27"/>
        <v>0.98970004336018802</v>
      </c>
      <c r="O35">
        <f>L35/Feuil2!$B$2</f>
        <v>0.15693430656934307</v>
      </c>
      <c r="P35">
        <f>O35*Feuil2!$B$3</f>
        <v>11.030912408759123</v>
      </c>
      <c r="Q35">
        <f t="shared" ref="Q35" si="30">P35*N35+P35</f>
        <v>21.948206898010461</v>
      </c>
    </row>
    <row r="36" spans="1:17" x14ac:dyDescent="0.25">
      <c r="A36" s="5" t="s">
        <v>49</v>
      </c>
      <c r="B36" s="5" t="s">
        <v>55</v>
      </c>
      <c r="C36" s="3">
        <v>1750</v>
      </c>
      <c r="D36" s="4">
        <f>C36/14</f>
        <v>125</v>
      </c>
      <c r="E36" s="10">
        <f t="shared" si="21"/>
        <v>0.65339999999999998</v>
      </c>
      <c r="F36" s="9">
        <f t="shared" si="2"/>
        <v>0.08</v>
      </c>
      <c r="G36">
        <v>0.1</v>
      </c>
      <c r="H36" s="3">
        <v>2.25</v>
      </c>
      <c r="I36">
        <v>0.55000000000000004</v>
      </c>
      <c r="J36">
        <f t="shared" ref="J36:J37" si="31">I36*H36</f>
        <v>1.2375</v>
      </c>
      <c r="K36" s="2">
        <f>J36*Feuil2!$B$1</f>
        <v>81.674999999999997</v>
      </c>
      <c r="L36" s="1">
        <v>559</v>
      </c>
      <c r="M36" s="1">
        <v>320</v>
      </c>
      <c r="N36" s="1">
        <f t="shared" si="27"/>
        <v>0.98970004336018802</v>
      </c>
      <c r="O36">
        <f>L36/Feuil2!$B$2</f>
        <v>0.15693430656934307</v>
      </c>
      <c r="P36">
        <f>O36*Feuil2!$B$3</f>
        <v>11.030912408759123</v>
      </c>
      <c r="Q36">
        <f t="shared" ref="Q36" si="32">P36*N36+P36</f>
        <v>21.948206898010461</v>
      </c>
    </row>
    <row r="37" spans="1:17" x14ac:dyDescent="0.25">
      <c r="A37" t="s">
        <v>57</v>
      </c>
      <c r="B37" t="s">
        <v>54</v>
      </c>
      <c r="C37">
        <v>5000</v>
      </c>
      <c r="D37" s="4">
        <f t="shared" ref="D37:D42" si="33">C37/10</f>
        <v>500</v>
      </c>
      <c r="E37" s="10">
        <f t="shared" ref="E37:E42" si="34">K37/D37</f>
        <v>0.14783999999999997</v>
      </c>
      <c r="F37" s="9">
        <f t="shared" si="2"/>
        <v>8.3999999999999991E-2</v>
      </c>
      <c r="G37">
        <v>0.42</v>
      </c>
      <c r="H37" s="3">
        <v>1.4</v>
      </c>
      <c r="I37">
        <v>0.8</v>
      </c>
      <c r="J37">
        <f t="shared" si="31"/>
        <v>1.1199999999999999</v>
      </c>
      <c r="K37" s="2">
        <f>J37*Feuil2!$B$1</f>
        <v>73.919999999999987</v>
      </c>
    </row>
    <row r="38" spans="1:17" x14ac:dyDescent="0.25">
      <c r="A38" t="s">
        <v>58</v>
      </c>
      <c r="B38" t="s">
        <v>56</v>
      </c>
      <c r="C38">
        <v>1450</v>
      </c>
      <c r="D38" s="4">
        <f t="shared" si="33"/>
        <v>145</v>
      </c>
      <c r="E38" s="10">
        <f t="shared" si="34"/>
        <v>0.91034482758620694</v>
      </c>
      <c r="F38" s="9">
        <f t="shared" ref="F38:F39" si="35">G38/D38*100</f>
        <v>0.15862068965517243</v>
      </c>
      <c r="G38">
        <v>0.23</v>
      </c>
      <c r="H38" s="3">
        <v>2.5</v>
      </c>
      <c r="I38">
        <v>0.8</v>
      </c>
      <c r="J38">
        <f t="shared" ref="J38:J39" si="36">I38*H38</f>
        <v>2</v>
      </c>
      <c r="K38" s="2">
        <f>J38*Feuil2!$B$1</f>
        <v>132</v>
      </c>
    </row>
    <row r="39" spans="1:17" x14ac:dyDescent="0.25">
      <c r="A39" t="s">
        <v>63</v>
      </c>
      <c r="B39" t="s">
        <v>55</v>
      </c>
      <c r="C39" s="3">
        <v>750</v>
      </c>
      <c r="D39" s="4">
        <f t="shared" si="33"/>
        <v>75</v>
      </c>
      <c r="E39" s="10">
        <f t="shared" si="34"/>
        <v>2.5344000000000002</v>
      </c>
      <c r="F39" s="7">
        <f t="shared" si="35"/>
        <v>0.36000000000000004</v>
      </c>
      <c r="G39">
        <f>9*0.03</f>
        <v>0.27</v>
      </c>
      <c r="H39">
        <f>9*0.4</f>
        <v>3.6</v>
      </c>
      <c r="I39">
        <v>0.8</v>
      </c>
      <c r="J39">
        <f t="shared" si="36"/>
        <v>2.8800000000000003</v>
      </c>
      <c r="K39" s="2">
        <f>J39*Feuil2!$B$1</f>
        <v>190.08</v>
      </c>
    </row>
    <row r="40" spans="1:17" x14ac:dyDescent="0.25">
      <c r="A40" t="s">
        <v>59</v>
      </c>
      <c r="B40" t="s">
        <v>55</v>
      </c>
      <c r="C40">
        <v>2000</v>
      </c>
      <c r="D40" s="4">
        <f t="shared" si="33"/>
        <v>200</v>
      </c>
      <c r="E40" s="10">
        <f t="shared" si="34"/>
        <v>1.4256</v>
      </c>
      <c r="F40" s="9">
        <f t="shared" ref="F40:F42" si="37">G40/D40*100</f>
        <v>0.18</v>
      </c>
      <c r="G40">
        <f>6*0.06</f>
        <v>0.36</v>
      </c>
      <c r="H40" s="3">
        <f>1.5*6</f>
        <v>9</v>
      </c>
      <c r="I40">
        <v>0.48</v>
      </c>
      <c r="J40">
        <f t="shared" ref="J40:J42" si="38">I40*H40</f>
        <v>4.32</v>
      </c>
      <c r="K40" s="2">
        <f>J40*Feuil2!$B$1</f>
        <v>285.12</v>
      </c>
    </row>
    <row r="41" spans="1:17" x14ac:dyDescent="0.25">
      <c r="A41" t="s">
        <v>60</v>
      </c>
      <c r="B41" t="s">
        <v>54</v>
      </c>
      <c r="C41">
        <v>9500</v>
      </c>
      <c r="D41" s="4">
        <f t="shared" si="33"/>
        <v>950</v>
      </c>
      <c r="E41" s="10">
        <f t="shared" si="34"/>
        <v>0.14005894736842106</v>
      </c>
      <c r="F41" s="9">
        <f t="shared" si="37"/>
        <v>5.3684210526315793E-2</v>
      </c>
      <c r="G41">
        <v>0.51</v>
      </c>
      <c r="H41">
        <v>4.2</v>
      </c>
      <c r="I41">
        <v>0.48</v>
      </c>
      <c r="J41">
        <f t="shared" si="38"/>
        <v>2.016</v>
      </c>
      <c r="K41" s="2">
        <f>J41*Feuil2!$B$1</f>
        <v>133.05600000000001</v>
      </c>
    </row>
    <row r="42" spans="1:17" x14ac:dyDescent="0.25">
      <c r="A42" t="s">
        <v>61</v>
      </c>
      <c r="B42" t="s">
        <v>55</v>
      </c>
      <c r="C42">
        <v>600</v>
      </c>
      <c r="D42" s="4">
        <f t="shared" si="33"/>
        <v>60</v>
      </c>
      <c r="E42" s="10">
        <f t="shared" si="34"/>
        <v>2.3759999999999994</v>
      </c>
      <c r="F42" s="9">
        <f t="shared" si="37"/>
        <v>0.45000000000000007</v>
      </c>
      <c r="G42">
        <f>9*0.03</f>
        <v>0.27</v>
      </c>
      <c r="H42">
        <f>9*0.3</f>
        <v>2.6999999999999997</v>
      </c>
      <c r="I42">
        <v>0.8</v>
      </c>
      <c r="J42">
        <f t="shared" si="38"/>
        <v>2.1599999999999997</v>
      </c>
      <c r="K42" s="2">
        <f>J42*Feuil2!$B$1</f>
        <v>142.55999999999997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:B3"/>
    </sheetView>
  </sheetViews>
  <sheetFormatPr baseColWidth="10" defaultRowHeight="15" x14ac:dyDescent="0.25"/>
  <cols>
    <col min="1" max="1" width="14.7109375" bestFit="1" customWidth="1"/>
  </cols>
  <sheetData>
    <row r="1" spans="1:2" x14ac:dyDescent="0.25">
      <c r="A1" t="s">
        <v>11</v>
      </c>
      <c r="B1">
        <v>66</v>
      </c>
    </row>
    <row r="2" spans="1:2" x14ac:dyDescent="0.25">
      <c r="A2" t="s">
        <v>14</v>
      </c>
      <c r="B2" s="1">
        <v>3562</v>
      </c>
    </row>
    <row r="3" spans="1:2" x14ac:dyDescent="0.25">
      <c r="A3" t="s">
        <v>15</v>
      </c>
      <c r="B3">
        <f>B1*1.065</f>
        <v>70.289999999999992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RICHARD</dc:creator>
  <cp:lastModifiedBy>RICHARD Gautier</cp:lastModifiedBy>
  <dcterms:created xsi:type="dcterms:W3CDTF">2022-11-19T15:31:30Z</dcterms:created>
  <dcterms:modified xsi:type="dcterms:W3CDTF">2023-01-20T13:52:11Z</dcterms:modified>
</cp:coreProperties>
</file>