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ustomProperty" PartName="/xl/customProperty1.bin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45" yWindow="540" windowWidth="11040" windowHeight="11730" tabRatio="417" firstSheet="1" activeTab="1"/>
  </bookViews>
  <sheets>
    <sheet name="D%$&amp;01_DevSheet" sheetId="4" state="veryHidden" r:id="rId1"/>
    <sheet name="Technical Skills Weighting" sheetId="12" r:id="rId2"/>
  </sheets>
  <calcPr calcId="144525"/>
</workbook>
</file>

<file path=xl/calcChain.xml><?xml version="1.0" encoding="utf-8"?>
<calcChain xmlns="http://schemas.openxmlformats.org/spreadsheetml/2006/main">
  <c r="F92" i="4" l="1"/>
  <c r="IM91" i="4"/>
  <c r="IN91" i="4"/>
  <c r="IO91" i="4"/>
  <c r="IP91" i="4"/>
  <c r="IQ91" i="4"/>
  <c r="IR91" i="4"/>
  <c r="IS91" i="4"/>
  <c r="IT91" i="4"/>
  <c r="IU91" i="4"/>
  <c r="IV91" i="4"/>
  <c r="F54" i="4" l="1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HC57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IK57" i="4"/>
  <c r="IL57" i="4"/>
  <c r="IM57" i="4"/>
  <c r="IN57" i="4"/>
  <c r="IO57" i="4"/>
  <c r="IP57" i="4"/>
  <c r="IQ57" i="4"/>
  <c r="IR57" i="4"/>
  <c r="IS57" i="4"/>
  <c r="IT57" i="4"/>
  <c r="IU57" i="4"/>
  <c r="IV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E58" i="4"/>
  <c r="GF58" i="4"/>
  <c r="GG58" i="4"/>
  <c r="GH58" i="4"/>
  <c r="GI58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V58" i="4"/>
  <c r="GW58" i="4"/>
  <c r="GX58" i="4"/>
  <c r="GY58" i="4"/>
  <c r="GZ58" i="4"/>
  <c r="HA58" i="4"/>
  <c r="HB58" i="4"/>
  <c r="HC58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IK58" i="4"/>
  <c r="IL58" i="4"/>
  <c r="IM58" i="4"/>
  <c r="IN58" i="4"/>
  <c r="IO58" i="4"/>
  <c r="IP58" i="4"/>
  <c r="IQ58" i="4"/>
  <c r="IR58" i="4"/>
  <c r="IS58" i="4"/>
  <c r="IT58" i="4"/>
  <c r="IU58" i="4"/>
  <c r="IV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GG59" i="4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IS59" i="4"/>
  <c r="IT59" i="4"/>
  <c r="IU59" i="4"/>
  <c r="IV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E60" i="4"/>
  <c r="GF60" i="4"/>
  <c r="GG60" i="4"/>
  <c r="GH60" i="4"/>
  <c r="GI60" i="4"/>
  <c r="GJ60" i="4"/>
  <c r="GK60" i="4"/>
  <c r="GL60" i="4"/>
  <c r="GM60" i="4"/>
  <c r="GN60" i="4"/>
  <c r="GO60" i="4"/>
  <c r="GP60" i="4"/>
  <c r="GQ60" i="4"/>
  <c r="GR60" i="4"/>
  <c r="GS60" i="4"/>
  <c r="GT60" i="4"/>
  <c r="GU60" i="4"/>
  <c r="GV60" i="4"/>
  <c r="GW60" i="4"/>
  <c r="GX60" i="4"/>
  <c r="GY60" i="4"/>
  <c r="GZ60" i="4"/>
  <c r="HA60" i="4"/>
  <c r="HB60" i="4"/>
  <c r="HC60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IK60" i="4"/>
  <c r="IL60" i="4"/>
  <c r="IM60" i="4"/>
  <c r="IN60" i="4"/>
  <c r="IO60" i="4"/>
  <c r="IP60" i="4"/>
  <c r="IQ60" i="4"/>
  <c r="IR60" i="4"/>
  <c r="IS60" i="4"/>
  <c r="IT60" i="4"/>
  <c r="IU60" i="4"/>
  <c r="IV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E61" i="4"/>
  <c r="GF61" i="4"/>
  <c r="GG61" i="4"/>
  <c r="GH61" i="4"/>
  <c r="GI61" i="4"/>
  <c r="GJ61" i="4"/>
  <c r="GK61" i="4"/>
  <c r="GL61" i="4"/>
  <c r="GM61" i="4"/>
  <c r="GN61" i="4"/>
  <c r="GO61" i="4"/>
  <c r="GP61" i="4"/>
  <c r="GQ61" i="4"/>
  <c r="GR61" i="4"/>
  <c r="GS61" i="4"/>
  <c r="GT61" i="4"/>
  <c r="GU61" i="4"/>
  <c r="GV61" i="4"/>
  <c r="GW61" i="4"/>
  <c r="GX61" i="4"/>
  <c r="GY61" i="4"/>
  <c r="GZ61" i="4"/>
  <c r="HA61" i="4"/>
  <c r="HB61" i="4"/>
  <c r="HC61" i="4"/>
  <c r="HD61" i="4"/>
  <c r="HE61" i="4"/>
  <c r="HF61" i="4"/>
  <c r="HG61" i="4"/>
  <c r="HH61" i="4"/>
  <c r="HI61" i="4"/>
  <c r="HJ61" i="4"/>
  <c r="HK61" i="4"/>
  <c r="HL61" i="4"/>
  <c r="HM61" i="4"/>
  <c r="HN61" i="4"/>
  <c r="HO61" i="4"/>
  <c r="HP61" i="4"/>
  <c r="HQ61" i="4"/>
  <c r="HR61" i="4"/>
  <c r="HS61" i="4"/>
  <c r="HT61" i="4"/>
  <c r="HU61" i="4"/>
  <c r="HV61" i="4"/>
  <c r="HW61" i="4"/>
  <c r="HX61" i="4"/>
  <c r="HY61" i="4"/>
  <c r="HZ61" i="4"/>
  <c r="IA61" i="4"/>
  <c r="IB61" i="4"/>
  <c r="IC61" i="4"/>
  <c r="ID61" i="4"/>
  <c r="IE61" i="4"/>
  <c r="IF61" i="4"/>
  <c r="IG61" i="4"/>
  <c r="IH61" i="4"/>
  <c r="II61" i="4"/>
  <c r="IJ61" i="4"/>
  <c r="IK61" i="4"/>
  <c r="IL61" i="4"/>
  <c r="IM61" i="4"/>
  <c r="IN61" i="4"/>
  <c r="IO61" i="4"/>
  <c r="IP61" i="4"/>
  <c r="IQ61" i="4"/>
  <c r="IR61" i="4"/>
  <c r="IS61" i="4"/>
  <c r="IT61" i="4"/>
  <c r="IU61" i="4"/>
  <c r="IV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GI62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V62" i="4"/>
  <c r="GW62" i="4"/>
  <c r="GX62" i="4"/>
  <c r="GY62" i="4"/>
  <c r="GZ62" i="4"/>
  <c r="HA62" i="4"/>
  <c r="HB62" i="4"/>
  <c r="HC62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IK62" i="4"/>
  <c r="IL62" i="4"/>
  <c r="IM62" i="4"/>
  <c r="IN62" i="4"/>
  <c r="IO62" i="4"/>
  <c r="IP62" i="4"/>
  <c r="IQ62" i="4"/>
  <c r="IR62" i="4"/>
  <c r="IS62" i="4"/>
  <c r="IT62" i="4"/>
  <c r="IU62" i="4"/>
  <c r="IV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E63" i="4"/>
  <c r="GF63" i="4"/>
  <c r="GG63" i="4"/>
  <c r="GH63" i="4"/>
  <c r="GI63" i="4"/>
  <c r="GJ63" i="4"/>
  <c r="GK63" i="4"/>
  <c r="GL63" i="4"/>
  <c r="GM63" i="4"/>
  <c r="GN63" i="4"/>
  <c r="GO63" i="4"/>
  <c r="GP63" i="4"/>
  <c r="GQ63" i="4"/>
  <c r="GR63" i="4"/>
  <c r="GS63" i="4"/>
  <c r="GT63" i="4"/>
  <c r="GU63" i="4"/>
  <c r="GV63" i="4"/>
  <c r="GW63" i="4"/>
  <c r="GX63" i="4"/>
  <c r="GY63" i="4"/>
  <c r="GZ63" i="4"/>
  <c r="HA63" i="4"/>
  <c r="HB63" i="4"/>
  <c r="HC63" i="4"/>
  <c r="HD63" i="4"/>
  <c r="HE63" i="4"/>
  <c r="HF63" i="4"/>
  <c r="HG63" i="4"/>
  <c r="HH63" i="4"/>
  <c r="HI63" i="4"/>
  <c r="HJ63" i="4"/>
  <c r="HK63" i="4"/>
  <c r="HL63" i="4"/>
  <c r="HM63" i="4"/>
  <c r="HN63" i="4"/>
  <c r="HO63" i="4"/>
  <c r="HP63" i="4"/>
  <c r="HQ63" i="4"/>
  <c r="HR63" i="4"/>
  <c r="HS63" i="4"/>
  <c r="HT63" i="4"/>
  <c r="HU63" i="4"/>
  <c r="HV63" i="4"/>
  <c r="HW63" i="4"/>
  <c r="HX63" i="4"/>
  <c r="HY63" i="4"/>
  <c r="HZ63" i="4"/>
  <c r="IA63" i="4"/>
  <c r="IB63" i="4"/>
  <c r="IC63" i="4"/>
  <c r="ID63" i="4"/>
  <c r="IE63" i="4"/>
  <c r="IF63" i="4"/>
  <c r="IG63" i="4"/>
  <c r="IH63" i="4"/>
  <c r="II63" i="4"/>
  <c r="IJ63" i="4"/>
  <c r="IK63" i="4"/>
  <c r="IL63" i="4"/>
  <c r="IM63" i="4"/>
  <c r="IN63" i="4"/>
  <c r="IO63" i="4"/>
  <c r="IP63" i="4"/>
  <c r="IQ63" i="4"/>
  <c r="IR63" i="4"/>
  <c r="IS63" i="4"/>
  <c r="IT63" i="4"/>
  <c r="IU63" i="4"/>
  <c r="IV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ET64" i="4"/>
  <c r="EU64" i="4"/>
  <c r="EV64" i="4"/>
  <c r="EW64" i="4"/>
  <c r="EX64" i="4"/>
  <c r="EY64" i="4"/>
  <c r="EZ64" i="4"/>
  <c r="FA64" i="4"/>
  <c r="FB64" i="4"/>
  <c r="FC64" i="4"/>
  <c r="FD64" i="4"/>
  <c r="FE64" i="4"/>
  <c r="FF64" i="4"/>
  <c r="FG64" i="4"/>
  <c r="FH64" i="4"/>
  <c r="FI64" i="4"/>
  <c r="FJ64" i="4"/>
  <c r="FK64" i="4"/>
  <c r="FL64" i="4"/>
  <c r="FM64" i="4"/>
  <c r="FN64" i="4"/>
  <c r="FO64" i="4"/>
  <c r="FP64" i="4"/>
  <c r="FQ64" i="4"/>
  <c r="FR64" i="4"/>
  <c r="FS64" i="4"/>
  <c r="FT64" i="4"/>
  <c r="FU64" i="4"/>
  <c r="FV64" i="4"/>
  <c r="FW64" i="4"/>
  <c r="FX64" i="4"/>
  <c r="FY64" i="4"/>
  <c r="FZ64" i="4"/>
  <c r="GA64" i="4"/>
  <c r="GB64" i="4"/>
  <c r="GC64" i="4"/>
  <c r="GD64" i="4"/>
  <c r="GE64" i="4"/>
  <c r="GF64" i="4"/>
  <c r="GG64" i="4"/>
  <c r="GH64" i="4"/>
  <c r="GI64" i="4"/>
  <c r="GJ64" i="4"/>
  <c r="GK64" i="4"/>
  <c r="GL64" i="4"/>
  <c r="GM64" i="4"/>
  <c r="GN64" i="4"/>
  <c r="GO64" i="4"/>
  <c r="GP64" i="4"/>
  <c r="GQ64" i="4"/>
  <c r="GR64" i="4"/>
  <c r="GS64" i="4"/>
  <c r="GT64" i="4"/>
  <c r="GU64" i="4"/>
  <c r="GV64" i="4"/>
  <c r="GW64" i="4"/>
  <c r="GX64" i="4"/>
  <c r="GY64" i="4"/>
  <c r="GZ64" i="4"/>
  <c r="HA64" i="4"/>
  <c r="HB64" i="4"/>
  <c r="HC64" i="4"/>
  <c r="HD64" i="4"/>
  <c r="HE64" i="4"/>
  <c r="HF64" i="4"/>
  <c r="HG64" i="4"/>
  <c r="HH64" i="4"/>
  <c r="HI64" i="4"/>
  <c r="HJ64" i="4"/>
  <c r="HK64" i="4"/>
  <c r="HL64" i="4"/>
  <c r="HM64" i="4"/>
  <c r="HN64" i="4"/>
  <c r="HO64" i="4"/>
  <c r="HP64" i="4"/>
  <c r="HQ64" i="4"/>
  <c r="HR64" i="4"/>
  <c r="HS64" i="4"/>
  <c r="HT64" i="4"/>
  <c r="HU64" i="4"/>
  <c r="HV64" i="4"/>
  <c r="HW64" i="4"/>
  <c r="HX64" i="4"/>
  <c r="HY64" i="4"/>
  <c r="HZ64" i="4"/>
  <c r="IA64" i="4"/>
  <c r="IB64" i="4"/>
  <c r="IC64" i="4"/>
  <c r="ID64" i="4"/>
  <c r="IE64" i="4"/>
  <c r="IF64" i="4"/>
  <c r="IG64" i="4"/>
  <c r="IH64" i="4"/>
  <c r="II64" i="4"/>
  <c r="IJ64" i="4"/>
  <c r="IK64" i="4"/>
  <c r="IL64" i="4"/>
  <c r="IM64" i="4"/>
  <c r="IN64" i="4"/>
  <c r="IO64" i="4"/>
  <c r="IP64" i="4"/>
  <c r="IQ64" i="4"/>
  <c r="IR64" i="4"/>
  <c r="IS64" i="4"/>
  <c r="IT64" i="4"/>
  <c r="IU64" i="4"/>
  <c r="IV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E65" i="4"/>
  <c r="GF65" i="4"/>
  <c r="GG65" i="4"/>
  <c r="GH65" i="4"/>
  <c r="GI65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V65" i="4"/>
  <c r="GW65" i="4"/>
  <c r="GX65" i="4"/>
  <c r="GY65" i="4"/>
  <c r="GZ65" i="4"/>
  <c r="HA65" i="4"/>
  <c r="HB65" i="4"/>
  <c r="HC65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IK65" i="4"/>
  <c r="IL65" i="4"/>
  <c r="IM65" i="4"/>
  <c r="IN65" i="4"/>
  <c r="IO65" i="4"/>
  <c r="IP65" i="4"/>
  <c r="IQ65" i="4"/>
  <c r="IR65" i="4"/>
  <c r="IS65" i="4"/>
  <c r="IT65" i="4"/>
  <c r="IU65" i="4"/>
  <c r="IV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EW66" i="4"/>
  <c r="EX66" i="4"/>
  <c r="EY66" i="4"/>
  <c r="EZ66" i="4"/>
  <c r="FA66" i="4"/>
  <c r="FB66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E66" i="4"/>
  <c r="GF66" i="4"/>
  <c r="GG66" i="4"/>
  <c r="GH66" i="4"/>
  <c r="GI66" i="4"/>
  <c r="GJ66" i="4"/>
  <c r="GK66" i="4"/>
  <c r="GL66" i="4"/>
  <c r="GM66" i="4"/>
  <c r="GN66" i="4"/>
  <c r="GO66" i="4"/>
  <c r="GP66" i="4"/>
  <c r="GQ66" i="4"/>
  <c r="GR66" i="4"/>
  <c r="GS66" i="4"/>
  <c r="GT66" i="4"/>
  <c r="GU66" i="4"/>
  <c r="GV66" i="4"/>
  <c r="GW66" i="4"/>
  <c r="GX66" i="4"/>
  <c r="GY66" i="4"/>
  <c r="GZ66" i="4"/>
  <c r="HA66" i="4"/>
  <c r="HB66" i="4"/>
  <c r="HC66" i="4"/>
  <c r="HD66" i="4"/>
  <c r="HE66" i="4"/>
  <c r="HF66" i="4"/>
  <c r="HG66" i="4"/>
  <c r="HH66" i="4"/>
  <c r="HI66" i="4"/>
  <c r="HJ66" i="4"/>
  <c r="HK66" i="4"/>
  <c r="HL66" i="4"/>
  <c r="HM66" i="4"/>
  <c r="HN66" i="4"/>
  <c r="HO66" i="4"/>
  <c r="HP66" i="4"/>
  <c r="HQ66" i="4"/>
  <c r="HR66" i="4"/>
  <c r="HS66" i="4"/>
  <c r="HT66" i="4"/>
  <c r="HU66" i="4"/>
  <c r="HV66" i="4"/>
  <c r="HW66" i="4"/>
  <c r="HX66" i="4"/>
  <c r="HY66" i="4"/>
  <c r="HZ66" i="4"/>
  <c r="IA66" i="4"/>
  <c r="IB66" i="4"/>
  <c r="IC66" i="4"/>
  <c r="ID66" i="4"/>
  <c r="IE66" i="4"/>
  <c r="IF66" i="4"/>
  <c r="IG66" i="4"/>
  <c r="IH66" i="4"/>
  <c r="II66" i="4"/>
  <c r="IJ66" i="4"/>
  <c r="IK66" i="4"/>
  <c r="IL66" i="4"/>
  <c r="IM66" i="4"/>
  <c r="IN66" i="4"/>
  <c r="IO66" i="4"/>
  <c r="IP66" i="4"/>
  <c r="IQ66" i="4"/>
  <c r="IR66" i="4"/>
  <c r="IS66" i="4"/>
  <c r="IT66" i="4"/>
  <c r="IU66" i="4"/>
  <c r="IV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E67" i="4"/>
  <c r="GF67" i="4"/>
  <c r="GG67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HN67" i="4"/>
  <c r="HO67" i="4"/>
  <c r="HP67" i="4"/>
  <c r="HQ67" i="4"/>
  <c r="HR67" i="4"/>
  <c r="HS67" i="4"/>
  <c r="HT67" i="4"/>
  <c r="HU67" i="4"/>
  <c r="HV67" i="4"/>
  <c r="HW67" i="4"/>
  <c r="HX67" i="4"/>
  <c r="HY67" i="4"/>
  <c r="HZ67" i="4"/>
  <c r="IA67" i="4"/>
  <c r="IB67" i="4"/>
  <c r="IC67" i="4"/>
  <c r="ID67" i="4"/>
  <c r="IE67" i="4"/>
  <c r="IF67" i="4"/>
  <c r="IG67" i="4"/>
  <c r="IH67" i="4"/>
  <c r="II67" i="4"/>
  <c r="IJ67" i="4"/>
  <c r="IK67" i="4"/>
  <c r="IL67" i="4"/>
  <c r="IM67" i="4"/>
  <c r="IN67" i="4"/>
  <c r="IO67" i="4"/>
  <c r="IP67" i="4"/>
  <c r="IQ67" i="4"/>
  <c r="IR67" i="4"/>
  <c r="IS67" i="4"/>
  <c r="IT67" i="4"/>
  <c r="IU67" i="4"/>
  <c r="IV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ET68" i="4"/>
  <c r="EU68" i="4"/>
  <c r="EV68" i="4"/>
  <c r="EW68" i="4"/>
  <c r="EX68" i="4"/>
  <c r="EY68" i="4"/>
  <c r="EZ68" i="4"/>
  <c r="FA68" i="4"/>
  <c r="FB68" i="4"/>
  <c r="FC68" i="4"/>
  <c r="FD68" i="4"/>
  <c r="FE68" i="4"/>
  <c r="FF68" i="4"/>
  <c r="FG68" i="4"/>
  <c r="FH68" i="4"/>
  <c r="FI68" i="4"/>
  <c r="FJ68" i="4"/>
  <c r="FK68" i="4"/>
  <c r="FL68" i="4"/>
  <c r="FM68" i="4"/>
  <c r="FN68" i="4"/>
  <c r="FO68" i="4"/>
  <c r="FP68" i="4"/>
  <c r="FQ68" i="4"/>
  <c r="FR68" i="4"/>
  <c r="FS68" i="4"/>
  <c r="FT68" i="4"/>
  <c r="FU68" i="4"/>
  <c r="FV68" i="4"/>
  <c r="FW68" i="4"/>
  <c r="FX68" i="4"/>
  <c r="FY68" i="4"/>
  <c r="FZ68" i="4"/>
  <c r="GA68" i="4"/>
  <c r="GB68" i="4"/>
  <c r="GC68" i="4"/>
  <c r="GD68" i="4"/>
  <c r="GE68" i="4"/>
  <c r="GF68" i="4"/>
  <c r="GG68" i="4"/>
  <c r="GH68" i="4"/>
  <c r="GI68" i="4"/>
  <c r="GJ68" i="4"/>
  <c r="GK68" i="4"/>
  <c r="GL68" i="4"/>
  <c r="GM68" i="4"/>
  <c r="GN68" i="4"/>
  <c r="GO68" i="4"/>
  <c r="GP68" i="4"/>
  <c r="GQ68" i="4"/>
  <c r="GR68" i="4"/>
  <c r="GS68" i="4"/>
  <c r="GT68" i="4"/>
  <c r="GU68" i="4"/>
  <c r="GV68" i="4"/>
  <c r="GW68" i="4"/>
  <c r="GX68" i="4"/>
  <c r="GY68" i="4"/>
  <c r="GZ68" i="4"/>
  <c r="HA68" i="4"/>
  <c r="HB68" i="4"/>
  <c r="HC68" i="4"/>
  <c r="HD68" i="4"/>
  <c r="HE68" i="4"/>
  <c r="HF68" i="4"/>
  <c r="HG68" i="4"/>
  <c r="HH68" i="4"/>
  <c r="HI68" i="4"/>
  <c r="HJ68" i="4"/>
  <c r="HK68" i="4"/>
  <c r="HL68" i="4"/>
  <c r="HM68" i="4"/>
  <c r="HN68" i="4"/>
  <c r="HO68" i="4"/>
  <c r="HP68" i="4"/>
  <c r="HQ68" i="4"/>
  <c r="HR68" i="4"/>
  <c r="HS68" i="4"/>
  <c r="HT68" i="4"/>
  <c r="HU68" i="4"/>
  <c r="HV68" i="4"/>
  <c r="HW68" i="4"/>
  <c r="HX68" i="4"/>
  <c r="HY68" i="4"/>
  <c r="HZ68" i="4"/>
  <c r="IA68" i="4"/>
  <c r="IB68" i="4"/>
  <c r="IC68" i="4"/>
  <c r="ID68" i="4"/>
  <c r="IE68" i="4"/>
  <c r="IF68" i="4"/>
  <c r="IG68" i="4"/>
  <c r="IH68" i="4"/>
  <c r="II68" i="4"/>
  <c r="IJ68" i="4"/>
  <c r="IK68" i="4"/>
  <c r="IL68" i="4"/>
  <c r="IM68" i="4"/>
  <c r="IN68" i="4"/>
  <c r="IO68" i="4"/>
  <c r="IP68" i="4"/>
  <c r="IQ68" i="4"/>
  <c r="IR68" i="4"/>
  <c r="IS68" i="4"/>
  <c r="IT68" i="4"/>
  <c r="IU68" i="4"/>
  <c r="IV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FE69" i="4"/>
  <c r="FF69" i="4"/>
  <c r="FG69" i="4"/>
  <c r="FH69" i="4"/>
  <c r="FI69" i="4"/>
  <c r="FJ69" i="4"/>
  <c r="FK69" i="4"/>
  <c r="FL69" i="4"/>
  <c r="FM69" i="4"/>
  <c r="FN69" i="4"/>
  <c r="FO69" i="4"/>
  <c r="FP69" i="4"/>
  <c r="FQ69" i="4"/>
  <c r="FR69" i="4"/>
  <c r="FS69" i="4"/>
  <c r="FT69" i="4"/>
  <c r="FU69" i="4"/>
  <c r="FV69" i="4"/>
  <c r="FW69" i="4"/>
  <c r="FX69" i="4"/>
  <c r="FY69" i="4"/>
  <c r="FZ69" i="4"/>
  <c r="GA69" i="4"/>
  <c r="GB69" i="4"/>
  <c r="GC69" i="4"/>
  <c r="GD69" i="4"/>
  <c r="GE69" i="4"/>
  <c r="GF69" i="4"/>
  <c r="GG69" i="4"/>
  <c r="GH69" i="4"/>
  <c r="GI69" i="4"/>
  <c r="GJ69" i="4"/>
  <c r="GK69" i="4"/>
  <c r="GL69" i="4"/>
  <c r="GM69" i="4"/>
  <c r="GN69" i="4"/>
  <c r="GO69" i="4"/>
  <c r="GP69" i="4"/>
  <c r="GQ69" i="4"/>
  <c r="GR69" i="4"/>
  <c r="GS69" i="4"/>
  <c r="GT69" i="4"/>
  <c r="GU69" i="4"/>
  <c r="GV69" i="4"/>
  <c r="GW69" i="4"/>
  <c r="GX69" i="4"/>
  <c r="GY69" i="4"/>
  <c r="GZ69" i="4"/>
  <c r="HA69" i="4"/>
  <c r="HB69" i="4"/>
  <c r="HC69" i="4"/>
  <c r="HD69" i="4"/>
  <c r="HE69" i="4"/>
  <c r="HF69" i="4"/>
  <c r="HG69" i="4"/>
  <c r="HH69" i="4"/>
  <c r="HI69" i="4"/>
  <c r="HJ69" i="4"/>
  <c r="HK69" i="4"/>
  <c r="HL69" i="4"/>
  <c r="HM69" i="4"/>
  <c r="HN69" i="4"/>
  <c r="HO69" i="4"/>
  <c r="HP69" i="4"/>
  <c r="HQ69" i="4"/>
  <c r="HR69" i="4"/>
  <c r="HS69" i="4"/>
  <c r="HT69" i="4"/>
  <c r="HU69" i="4"/>
  <c r="HV69" i="4"/>
  <c r="HW69" i="4"/>
  <c r="HX69" i="4"/>
  <c r="HY69" i="4"/>
  <c r="HZ69" i="4"/>
  <c r="IA69" i="4"/>
  <c r="IB69" i="4"/>
  <c r="IC69" i="4"/>
  <c r="ID69" i="4"/>
  <c r="IE69" i="4"/>
  <c r="IF69" i="4"/>
  <c r="IG69" i="4"/>
  <c r="IH69" i="4"/>
  <c r="II69" i="4"/>
  <c r="IJ69" i="4"/>
  <c r="IK69" i="4"/>
  <c r="IL69" i="4"/>
  <c r="IM69" i="4"/>
  <c r="IN69" i="4"/>
  <c r="IO69" i="4"/>
  <c r="IP69" i="4"/>
  <c r="IQ69" i="4"/>
  <c r="IR69" i="4"/>
  <c r="IS69" i="4"/>
  <c r="IT69" i="4"/>
  <c r="IU69" i="4"/>
  <c r="IV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FC70" i="4"/>
  <c r="FD70" i="4"/>
  <c r="FE70" i="4"/>
  <c r="FF70" i="4"/>
  <c r="FG70" i="4"/>
  <c r="FH70" i="4"/>
  <c r="FI70" i="4"/>
  <c r="FJ70" i="4"/>
  <c r="FK70" i="4"/>
  <c r="FL70" i="4"/>
  <c r="FM70" i="4"/>
  <c r="FN70" i="4"/>
  <c r="FO70" i="4"/>
  <c r="FP70" i="4"/>
  <c r="FQ70" i="4"/>
  <c r="FR70" i="4"/>
  <c r="FS70" i="4"/>
  <c r="FT70" i="4"/>
  <c r="FU70" i="4"/>
  <c r="FV70" i="4"/>
  <c r="FW70" i="4"/>
  <c r="FX70" i="4"/>
  <c r="FY70" i="4"/>
  <c r="FZ70" i="4"/>
  <c r="GA70" i="4"/>
  <c r="GB70" i="4"/>
  <c r="GC70" i="4"/>
  <c r="GD70" i="4"/>
  <c r="GE70" i="4"/>
  <c r="GF70" i="4"/>
  <c r="GG70" i="4"/>
  <c r="GH70" i="4"/>
  <c r="GI70" i="4"/>
  <c r="GJ70" i="4"/>
  <c r="GK70" i="4"/>
  <c r="GL70" i="4"/>
  <c r="GM70" i="4"/>
  <c r="GN70" i="4"/>
  <c r="GO70" i="4"/>
  <c r="GP70" i="4"/>
  <c r="GQ70" i="4"/>
  <c r="GR70" i="4"/>
  <c r="GS70" i="4"/>
  <c r="GT70" i="4"/>
  <c r="GU70" i="4"/>
  <c r="GV70" i="4"/>
  <c r="GW70" i="4"/>
  <c r="GX70" i="4"/>
  <c r="GY70" i="4"/>
  <c r="GZ70" i="4"/>
  <c r="HA70" i="4"/>
  <c r="HB70" i="4"/>
  <c r="HC70" i="4"/>
  <c r="HD70" i="4"/>
  <c r="HE70" i="4"/>
  <c r="HF70" i="4"/>
  <c r="HG70" i="4"/>
  <c r="HH70" i="4"/>
  <c r="HI70" i="4"/>
  <c r="HJ70" i="4"/>
  <c r="HK70" i="4"/>
  <c r="HL70" i="4"/>
  <c r="HM70" i="4"/>
  <c r="HN70" i="4"/>
  <c r="HO70" i="4"/>
  <c r="HP70" i="4"/>
  <c r="HQ70" i="4"/>
  <c r="HR70" i="4"/>
  <c r="HS70" i="4"/>
  <c r="HT70" i="4"/>
  <c r="HU70" i="4"/>
  <c r="HV70" i="4"/>
  <c r="HW70" i="4"/>
  <c r="HX70" i="4"/>
  <c r="HY70" i="4"/>
  <c r="HZ70" i="4"/>
  <c r="IA70" i="4"/>
  <c r="IB70" i="4"/>
  <c r="IC70" i="4"/>
  <c r="ID70" i="4"/>
  <c r="IE70" i="4"/>
  <c r="IF70" i="4"/>
  <c r="IG70" i="4"/>
  <c r="IH70" i="4"/>
  <c r="II70" i="4"/>
  <c r="IJ70" i="4"/>
  <c r="IK70" i="4"/>
  <c r="IL70" i="4"/>
  <c r="IM70" i="4"/>
  <c r="IN70" i="4"/>
  <c r="IO70" i="4"/>
  <c r="IP70" i="4"/>
  <c r="IQ70" i="4"/>
  <c r="IR70" i="4"/>
  <c r="IS70" i="4"/>
  <c r="IT70" i="4"/>
  <c r="IU70" i="4"/>
  <c r="IV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ET71" i="4"/>
  <c r="EU71" i="4"/>
  <c r="EV71" i="4"/>
  <c r="EW71" i="4"/>
  <c r="EX71" i="4"/>
  <c r="EY71" i="4"/>
  <c r="EZ71" i="4"/>
  <c r="FA71" i="4"/>
  <c r="FB71" i="4"/>
  <c r="FC71" i="4"/>
  <c r="FD71" i="4"/>
  <c r="FE71" i="4"/>
  <c r="FF71" i="4"/>
  <c r="FG71" i="4"/>
  <c r="FH71" i="4"/>
  <c r="FI71" i="4"/>
  <c r="FJ71" i="4"/>
  <c r="FK71" i="4"/>
  <c r="FL71" i="4"/>
  <c r="FM71" i="4"/>
  <c r="FN71" i="4"/>
  <c r="FO71" i="4"/>
  <c r="FP71" i="4"/>
  <c r="FQ71" i="4"/>
  <c r="FR71" i="4"/>
  <c r="FS71" i="4"/>
  <c r="FT71" i="4"/>
  <c r="FU71" i="4"/>
  <c r="FV71" i="4"/>
  <c r="FW71" i="4"/>
  <c r="FX71" i="4"/>
  <c r="FY71" i="4"/>
  <c r="FZ71" i="4"/>
  <c r="GA71" i="4"/>
  <c r="GB71" i="4"/>
  <c r="GC71" i="4"/>
  <c r="GD71" i="4"/>
  <c r="GE71" i="4"/>
  <c r="GF71" i="4"/>
  <c r="GG71" i="4"/>
  <c r="GH71" i="4"/>
  <c r="GI71" i="4"/>
  <c r="GJ71" i="4"/>
  <c r="GK71" i="4"/>
  <c r="GL71" i="4"/>
  <c r="GM71" i="4"/>
  <c r="GN71" i="4"/>
  <c r="GO71" i="4"/>
  <c r="GP71" i="4"/>
  <c r="GQ71" i="4"/>
  <c r="GR71" i="4"/>
  <c r="GS71" i="4"/>
  <c r="GT71" i="4"/>
  <c r="GU71" i="4"/>
  <c r="GV71" i="4"/>
  <c r="GW71" i="4"/>
  <c r="GX71" i="4"/>
  <c r="GY71" i="4"/>
  <c r="GZ71" i="4"/>
  <c r="HA71" i="4"/>
  <c r="HB71" i="4"/>
  <c r="HC71" i="4"/>
  <c r="HD71" i="4"/>
  <c r="HE71" i="4"/>
  <c r="HF71" i="4"/>
  <c r="HG71" i="4"/>
  <c r="HH71" i="4"/>
  <c r="HI71" i="4"/>
  <c r="HJ71" i="4"/>
  <c r="HK71" i="4"/>
  <c r="HL71" i="4"/>
  <c r="HM71" i="4"/>
  <c r="HN71" i="4"/>
  <c r="HO71" i="4"/>
  <c r="HP71" i="4"/>
  <c r="HQ71" i="4"/>
  <c r="HR71" i="4"/>
  <c r="HS71" i="4"/>
  <c r="HT71" i="4"/>
  <c r="HU71" i="4"/>
  <c r="HV71" i="4"/>
  <c r="HW71" i="4"/>
  <c r="HX71" i="4"/>
  <c r="HY71" i="4"/>
  <c r="HZ71" i="4"/>
  <c r="IA71" i="4"/>
  <c r="IB71" i="4"/>
  <c r="IC71" i="4"/>
  <c r="ID71" i="4"/>
  <c r="IE71" i="4"/>
  <c r="IF71" i="4"/>
  <c r="IG71" i="4"/>
  <c r="IH71" i="4"/>
  <c r="II71" i="4"/>
  <c r="IJ71" i="4"/>
  <c r="IK71" i="4"/>
  <c r="IL71" i="4"/>
  <c r="IM71" i="4"/>
  <c r="IN71" i="4"/>
  <c r="IO71" i="4"/>
  <c r="IP71" i="4"/>
  <c r="IQ71" i="4"/>
  <c r="IR71" i="4"/>
  <c r="IS71" i="4"/>
  <c r="IT71" i="4"/>
  <c r="IU71" i="4"/>
  <c r="IV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ES72" i="4"/>
  <c r="ET72" i="4"/>
  <c r="EU72" i="4"/>
  <c r="EV72" i="4"/>
  <c r="EW72" i="4"/>
  <c r="EX72" i="4"/>
  <c r="EY72" i="4"/>
  <c r="EZ72" i="4"/>
  <c r="FA72" i="4"/>
  <c r="FB72" i="4"/>
  <c r="FC72" i="4"/>
  <c r="FD72" i="4"/>
  <c r="FE72" i="4"/>
  <c r="FF72" i="4"/>
  <c r="FG72" i="4"/>
  <c r="FH72" i="4"/>
  <c r="FI72" i="4"/>
  <c r="FJ72" i="4"/>
  <c r="FK72" i="4"/>
  <c r="FL72" i="4"/>
  <c r="FM72" i="4"/>
  <c r="FN72" i="4"/>
  <c r="FO72" i="4"/>
  <c r="FP72" i="4"/>
  <c r="FQ72" i="4"/>
  <c r="FR72" i="4"/>
  <c r="FS72" i="4"/>
  <c r="FT72" i="4"/>
  <c r="FU72" i="4"/>
  <c r="FV72" i="4"/>
  <c r="FW72" i="4"/>
  <c r="FX72" i="4"/>
  <c r="FY72" i="4"/>
  <c r="FZ72" i="4"/>
  <c r="GA72" i="4"/>
  <c r="GB72" i="4"/>
  <c r="GC72" i="4"/>
  <c r="GD72" i="4"/>
  <c r="GE72" i="4"/>
  <c r="GF72" i="4"/>
  <c r="GG72" i="4"/>
  <c r="GH72" i="4"/>
  <c r="GI72" i="4"/>
  <c r="GJ72" i="4"/>
  <c r="GK72" i="4"/>
  <c r="GL72" i="4"/>
  <c r="GM72" i="4"/>
  <c r="GN72" i="4"/>
  <c r="GO72" i="4"/>
  <c r="GP72" i="4"/>
  <c r="GQ72" i="4"/>
  <c r="GR72" i="4"/>
  <c r="GS72" i="4"/>
  <c r="GT72" i="4"/>
  <c r="GU72" i="4"/>
  <c r="GV72" i="4"/>
  <c r="GW72" i="4"/>
  <c r="GX72" i="4"/>
  <c r="GY72" i="4"/>
  <c r="GZ72" i="4"/>
  <c r="HA72" i="4"/>
  <c r="HB72" i="4"/>
  <c r="HC72" i="4"/>
  <c r="HD72" i="4"/>
  <c r="HE72" i="4"/>
  <c r="HF72" i="4"/>
  <c r="HG72" i="4"/>
  <c r="HH72" i="4"/>
  <c r="HI72" i="4"/>
  <c r="HJ72" i="4"/>
  <c r="HK72" i="4"/>
  <c r="HL72" i="4"/>
  <c r="HM72" i="4"/>
  <c r="HN72" i="4"/>
  <c r="HO72" i="4"/>
  <c r="HP72" i="4"/>
  <c r="HQ72" i="4"/>
  <c r="HR72" i="4"/>
  <c r="HS72" i="4"/>
  <c r="HT72" i="4"/>
  <c r="HU72" i="4"/>
  <c r="HV72" i="4"/>
  <c r="HW72" i="4"/>
  <c r="HX72" i="4"/>
  <c r="HY72" i="4"/>
  <c r="HZ72" i="4"/>
  <c r="IA72" i="4"/>
  <c r="IB72" i="4"/>
  <c r="IC72" i="4"/>
  <c r="ID72" i="4"/>
  <c r="IE72" i="4"/>
  <c r="IF72" i="4"/>
  <c r="IG72" i="4"/>
  <c r="IH72" i="4"/>
  <c r="II72" i="4"/>
  <c r="IJ72" i="4"/>
  <c r="IK72" i="4"/>
  <c r="IL72" i="4"/>
  <c r="IM72" i="4"/>
  <c r="IN72" i="4"/>
  <c r="IO72" i="4"/>
  <c r="IP72" i="4"/>
  <c r="IQ72" i="4"/>
  <c r="IR72" i="4"/>
  <c r="IS72" i="4"/>
  <c r="IT72" i="4"/>
  <c r="IU72" i="4"/>
  <c r="IV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ET73" i="4"/>
  <c r="EU73" i="4"/>
  <c r="EV73" i="4"/>
  <c r="EW73" i="4"/>
  <c r="EX73" i="4"/>
  <c r="EY73" i="4"/>
  <c r="EZ73" i="4"/>
  <c r="FA73" i="4"/>
  <c r="FB73" i="4"/>
  <c r="FC73" i="4"/>
  <c r="FD73" i="4"/>
  <c r="FE73" i="4"/>
  <c r="FF73" i="4"/>
  <c r="FG73" i="4"/>
  <c r="FH73" i="4"/>
  <c r="FI73" i="4"/>
  <c r="FJ73" i="4"/>
  <c r="FK73" i="4"/>
  <c r="FL73" i="4"/>
  <c r="FM73" i="4"/>
  <c r="FN73" i="4"/>
  <c r="FO73" i="4"/>
  <c r="FP73" i="4"/>
  <c r="FQ73" i="4"/>
  <c r="FR73" i="4"/>
  <c r="FS73" i="4"/>
  <c r="FT73" i="4"/>
  <c r="FU73" i="4"/>
  <c r="FV73" i="4"/>
  <c r="FW73" i="4"/>
  <c r="FX73" i="4"/>
  <c r="FY73" i="4"/>
  <c r="FZ73" i="4"/>
  <c r="GA73" i="4"/>
  <c r="GB73" i="4"/>
  <c r="GC73" i="4"/>
  <c r="GD73" i="4"/>
  <c r="GE73" i="4"/>
  <c r="GF73" i="4"/>
  <c r="GG73" i="4"/>
  <c r="GH73" i="4"/>
  <c r="GI73" i="4"/>
  <c r="GJ73" i="4"/>
  <c r="GK73" i="4"/>
  <c r="GL73" i="4"/>
  <c r="GM73" i="4"/>
  <c r="GN73" i="4"/>
  <c r="GO73" i="4"/>
  <c r="GP73" i="4"/>
  <c r="GQ73" i="4"/>
  <c r="GR73" i="4"/>
  <c r="GS73" i="4"/>
  <c r="GT73" i="4"/>
  <c r="GU73" i="4"/>
  <c r="GV73" i="4"/>
  <c r="GW73" i="4"/>
  <c r="GX73" i="4"/>
  <c r="GY73" i="4"/>
  <c r="GZ73" i="4"/>
  <c r="HA73" i="4"/>
  <c r="HB73" i="4"/>
  <c r="HC73" i="4"/>
  <c r="HD73" i="4"/>
  <c r="HE73" i="4"/>
  <c r="HF73" i="4"/>
  <c r="HG73" i="4"/>
  <c r="HH73" i="4"/>
  <c r="HI73" i="4"/>
  <c r="HJ73" i="4"/>
  <c r="HK73" i="4"/>
  <c r="HL73" i="4"/>
  <c r="HM73" i="4"/>
  <c r="HN73" i="4"/>
  <c r="HO73" i="4"/>
  <c r="HP73" i="4"/>
  <c r="HQ73" i="4"/>
  <c r="HR73" i="4"/>
  <c r="HS73" i="4"/>
  <c r="HT73" i="4"/>
  <c r="HU73" i="4"/>
  <c r="HV73" i="4"/>
  <c r="HW73" i="4"/>
  <c r="HX73" i="4"/>
  <c r="HY73" i="4"/>
  <c r="HZ73" i="4"/>
  <c r="IA73" i="4"/>
  <c r="IB73" i="4"/>
  <c r="IC73" i="4"/>
  <c r="ID73" i="4"/>
  <c r="IE73" i="4"/>
  <c r="IF73" i="4"/>
  <c r="IG73" i="4"/>
  <c r="IH73" i="4"/>
  <c r="II73" i="4"/>
  <c r="IJ73" i="4"/>
  <c r="IK73" i="4"/>
  <c r="IL73" i="4"/>
  <c r="IM73" i="4"/>
  <c r="IN73" i="4"/>
  <c r="IO73" i="4"/>
  <c r="IP73" i="4"/>
  <c r="IQ73" i="4"/>
  <c r="IR73" i="4"/>
  <c r="IS73" i="4"/>
  <c r="IT73" i="4"/>
  <c r="IU73" i="4"/>
  <c r="IV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ES74" i="4"/>
  <c r="ET74" i="4"/>
  <c r="EU74" i="4"/>
  <c r="EV74" i="4"/>
  <c r="EW74" i="4"/>
  <c r="EX74" i="4"/>
  <c r="EY74" i="4"/>
  <c r="EZ74" i="4"/>
  <c r="FA74" i="4"/>
  <c r="FB74" i="4"/>
  <c r="FC74" i="4"/>
  <c r="FD74" i="4"/>
  <c r="FE74" i="4"/>
  <c r="FF74" i="4"/>
  <c r="FG74" i="4"/>
  <c r="FH74" i="4"/>
  <c r="FI74" i="4"/>
  <c r="FJ74" i="4"/>
  <c r="FK74" i="4"/>
  <c r="FL74" i="4"/>
  <c r="FM74" i="4"/>
  <c r="FN74" i="4"/>
  <c r="FO74" i="4"/>
  <c r="FP74" i="4"/>
  <c r="FQ74" i="4"/>
  <c r="FR74" i="4"/>
  <c r="FS74" i="4"/>
  <c r="FT74" i="4"/>
  <c r="FU74" i="4"/>
  <c r="FV74" i="4"/>
  <c r="FW74" i="4"/>
  <c r="FX74" i="4"/>
  <c r="FY74" i="4"/>
  <c r="FZ74" i="4"/>
  <c r="GA74" i="4"/>
  <c r="GB74" i="4"/>
  <c r="GC74" i="4"/>
  <c r="GD74" i="4"/>
  <c r="GE74" i="4"/>
  <c r="GF74" i="4"/>
  <c r="GG74" i="4"/>
  <c r="GH74" i="4"/>
  <c r="GI74" i="4"/>
  <c r="GJ74" i="4"/>
  <c r="GK74" i="4"/>
  <c r="GL74" i="4"/>
  <c r="GM74" i="4"/>
  <c r="GN74" i="4"/>
  <c r="GO74" i="4"/>
  <c r="GP74" i="4"/>
  <c r="GQ74" i="4"/>
  <c r="GR74" i="4"/>
  <c r="GS74" i="4"/>
  <c r="GT74" i="4"/>
  <c r="GU74" i="4"/>
  <c r="GV74" i="4"/>
  <c r="GW74" i="4"/>
  <c r="GX74" i="4"/>
  <c r="GY74" i="4"/>
  <c r="GZ74" i="4"/>
  <c r="HA74" i="4"/>
  <c r="HB74" i="4"/>
  <c r="HC74" i="4"/>
  <c r="HD74" i="4"/>
  <c r="HE74" i="4"/>
  <c r="HF74" i="4"/>
  <c r="HG74" i="4"/>
  <c r="HH74" i="4"/>
  <c r="HI74" i="4"/>
  <c r="HJ74" i="4"/>
  <c r="HK74" i="4"/>
  <c r="HL74" i="4"/>
  <c r="HM74" i="4"/>
  <c r="HN74" i="4"/>
  <c r="HO74" i="4"/>
  <c r="HP74" i="4"/>
  <c r="HQ74" i="4"/>
  <c r="HR74" i="4"/>
  <c r="HS74" i="4"/>
  <c r="HT74" i="4"/>
  <c r="HU74" i="4"/>
  <c r="HV74" i="4"/>
  <c r="HW74" i="4"/>
  <c r="HX74" i="4"/>
  <c r="HY74" i="4"/>
  <c r="HZ74" i="4"/>
  <c r="IA74" i="4"/>
  <c r="IB74" i="4"/>
  <c r="IC74" i="4"/>
  <c r="ID74" i="4"/>
  <c r="IE74" i="4"/>
  <c r="IF74" i="4"/>
  <c r="IG74" i="4"/>
  <c r="IH74" i="4"/>
  <c r="II74" i="4"/>
  <c r="IJ74" i="4"/>
  <c r="IK74" i="4"/>
  <c r="IL74" i="4"/>
  <c r="IM74" i="4"/>
  <c r="IN74" i="4"/>
  <c r="IO74" i="4"/>
  <c r="IP74" i="4"/>
  <c r="IQ74" i="4"/>
  <c r="IR74" i="4"/>
  <c r="IS74" i="4"/>
  <c r="IT74" i="4"/>
  <c r="IU74" i="4"/>
  <c r="IV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ET75" i="4"/>
  <c r="EU75" i="4"/>
  <c r="EV75" i="4"/>
  <c r="EW75" i="4"/>
  <c r="EX75" i="4"/>
  <c r="EY75" i="4"/>
  <c r="EZ75" i="4"/>
  <c r="FA75" i="4"/>
  <c r="FB75" i="4"/>
  <c r="FC75" i="4"/>
  <c r="FD75" i="4"/>
  <c r="FE75" i="4"/>
  <c r="FF75" i="4"/>
  <c r="FG75" i="4"/>
  <c r="FH75" i="4"/>
  <c r="FI75" i="4"/>
  <c r="FJ75" i="4"/>
  <c r="FK75" i="4"/>
  <c r="FL75" i="4"/>
  <c r="FM75" i="4"/>
  <c r="FN75" i="4"/>
  <c r="FO75" i="4"/>
  <c r="FP75" i="4"/>
  <c r="FQ75" i="4"/>
  <c r="FR75" i="4"/>
  <c r="FS75" i="4"/>
  <c r="FT75" i="4"/>
  <c r="FU75" i="4"/>
  <c r="FV75" i="4"/>
  <c r="FW75" i="4"/>
  <c r="FX75" i="4"/>
  <c r="FY75" i="4"/>
  <c r="FZ75" i="4"/>
  <c r="GA75" i="4"/>
  <c r="GB75" i="4"/>
  <c r="GC75" i="4"/>
  <c r="GD75" i="4"/>
  <c r="GE75" i="4"/>
  <c r="GF75" i="4"/>
  <c r="GG75" i="4"/>
  <c r="GH75" i="4"/>
  <c r="GI75" i="4"/>
  <c r="GJ75" i="4"/>
  <c r="GK75" i="4"/>
  <c r="GL75" i="4"/>
  <c r="GM75" i="4"/>
  <c r="GN75" i="4"/>
  <c r="GO75" i="4"/>
  <c r="GP75" i="4"/>
  <c r="GQ75" i="4"/>
  <c r="GR75" i="4"/>
  <c r="GS75" i="4"/>
  <c r="GT75" i="4"/>
  <c r="GU75" i="4"/>
  <c r="GV75" i="4"/>
  <c r="GW75" i="4"/>
  <c r="GX75" i="4"/>
  <c r="GY75" i="4"/>
  <c r="GZ75" i="4"/>
  <c r="HA75" i="4"/>
  <c r="HB75" i="4"/>
  <c r="HC75" i="4"/>
  <c r="HD75" i="4"/>
  <c r="HE75" i="4"/>
  <c r="HF75" i="4"/>
  <c r="HG75" i="4"/>
  <c r="HH75" i="4"/>
  <c r="HI75" i="4"/>
  <c r="HJ75" i="4"/>
  <c r="HK75" i="4"/>
  <c r="HL75" i="4"/>
  <c r="HM75" i="4"/>
  <c r="HN75" i="4"/>
  <c r="HO75" i="4"/>
  <c r="HP75" i="4"/>
  <c r="HQ75" i="4"/>
  <c r="HR75" i="4"/>
  <c r="HS75" i="4"/>
  <c r="HT75" i="4"/>
  <c r="HU75" i="4"/>
  <c r="HV75" i="4"/>
  <c r="HW75" i="4"/>
  <c r="HX75" i="4"/>
  <c r="HY75" i="4"/>
  <c r="HZ75" i="4"/>
  <c r="IA75" i="4"/>
  <c r="IB75" i="4"/>
  <c r="IC75" i="4"/>
  <c r="ID75" i="4"/>
  <c r="IE75" i="4"/>
  <c r="IF75" i="4"/>
  <c r="IG75" i="4"/>
  <c r="IH75" i="4"/>
  <c r="II75" i="4"/>
  <c r="IJ75" i="4"/>
  <c r="IK75" i="4"/>
  <c r="IL75" i="4"/>
  <c r="IM75" i="4"/>
  <c r="IN75" i="4"/>
  <c r="IO75" i="4"/>
  <c r="IP75" i="4"/>
  <c r="IQ75" i="4"/>
  <c r="IR75" i="4"/>
  <c r="IS75" i="4"/>
  <c r="IT75" i="4"/>
  <c r="IU75" i="4"/>
  <c r="IV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ES76" i="4"/>
  <c r="ET76" i="4"/>
  <c r="EU76" i="4"/>
  <c r="EV76" i="4"/>
  <c r="EW76" i="4"/>
  <c r="EX76" i="4"/>
  <c r="EY76" i="4"/>
  <c r="EZ76" i="4"/>
  <c r="FA76" i="4"/>
  <c r="FB76" i="4"/>
  <c r="FC76" i="4"/>
  <c r="FD76" i="4"/>
  <c r="FE76" i="4"/>
  <c r="FF76" i="4"/>
  <c r="FG76" i="4"/>
  <c r="FH76" i="4"/>
  <c r="FI76" i="4"/>
  <c r="FJ76" i="4"/>
  <c r="FK76" i="4"/>
  <c r="FL76" i="4"/>
  <c r="FM76" i="4"/>
  <c r="FN76" i="4"/>
  <c r="FO76" i="4"/>
  <c r="FP76" i="4"/>
  <c r="FQ76" i="4"/>
  <c r="FR76" i="4"/>
  <c r="FS76" i="4"/>
  <c r="FT76" i="4"/>
  <c r="FU76" i="4"/>
  <c r="FV76" i="4"/>
  <c r="FW76" i="4"/>
  <c r="FX76" i="4"/>
  <c r="FY76" i="4"/>
  <c r="FZ76" i="4"/>
  <c r="GA76" i="4"/>
  <c r="GB76" i="4"/>
  <c r="GC76" i="4"/>
  <c r="GD76" i="4"/>
  <c r="GE76" i="4"/>
  <c r="GF76" i="4"/>
  <c r="GG76" i="4"/>
  <c r="GH76" i="4"/>
  <c r="GI76" i="4"/>
  <c r="GJ76" i="4"/>
  <c r="GK76" i="4"/>
  <c r="GL76" i="4"/>
  <c r="GM76" i="4"/>
  <c r="GN76" i="4"/>
  <c r="GO76" i="4"/>
  <c r="GP76" i="4"/>
  <c r="GQ76" i="4"/>
  <c r="GR76" i="4"/>
  <c r="GS76" i="4"/>
  <c r="GT76" i="4"/>
  <c r="GU76" i="4"/>
  <c r="GV76" i="4"/>
  <c r="GW76" i="4"/>
  <c r="GX76" i="4"/>
  <c r="GY76" i="4"/>
  <c r="GZ76" i="4"/>
  <c r="HA76" i="4"/>
  <c r="HB76" i="4"/>
  <c r="HC76" i="4"/>
  <c r="HD76" i="4"/>
  <c r="HE76" i="4"/>
  <c r="HF76" i="4"/>
  <c r="HG76" i="4"/>
  <c r="HH76" i="4"/>
  <c r="HI76" i="4"/>
  <c r="HJ76" i="4"/>
  <c r="HK76" i="4"/>
  <c r="HL76" i="4"/>
  <c r="HM76" i="4"/>
  <c r="HN76" i="4"/>
  <c r="HO76" i="4"/>
  <c r="HP76" i="4"/>
  <c r="HQ76" i="4"/>
  <c r="HR76" i="4"/>
  <c r="HS76" i="4"/>
  <c r="HT76" i="4"/>
  <c r="HU76" i="4"/>
  <c r="HV76" i="4"/>
  <c r="HW76" i="4"/>
  <c r="HX76" i="4"/>
  <c r="HY76" i="4"/>
  <c r="HZ76" i="4"/>
  <c r="IA76" i="4"/>
  <c r="IB76" i="4"/>
  <c r="IC76" i="4"/>
  <c r="ID76" i="4"/>
  <c r="IE76" i="4"/>
  <c r="IF76" i="4"/>
  <c r="IG76" i="4"/>
  <c r="IH76" i="4"/>
  <c r="II76" i="4"/>
  <c r="IJ76" i="4"/>
  <c r="IK76" i="4"/>
  <c r="IL76" i="4"/>
  <c r="IM76" i="4"/>
  <c r="IN76" i="4"/>
  <c r="IO76" i="4"/>
  <c r="IP76" i="4"/>
  <c r="IQ76" i="4"/>
  <c r="IR76" i="4"/>
  <c r="IS76" i="4"/>
  <c r="IT76" i="4"/>
  <c r="IU76" i="4"/>
  <c r="IV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B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E77" i="4"/>
  <c r="GF77" i="4"/>
  <c r="GG77" i="4"/>
  <c r="GH77" i="4"/>
  <c r="GI77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Y77" i="4"/>
  <c r="GZ77" i="4"/>
  <c r="HA77" i="4"/>
  <c r="HB77" i="4"/>
  <c r="HC77" i="4"/>
  <c r="HD77" i="4"/>
  <c r="HE77" i="4"/>
  <c r="HF77" i="4"/>
  <c r="HG77" i="4"/>
  <c r="HH77" i="4"/>
  <c r="HI77" i="4"/>
  <c r="HJ77" i="4"/>
  <c r="HK77" i="4"/>
  <c r="HL77" i="4"/>
  <c r="HM77" i="4"/>
  <c r="HN77" i="4"/>
  <c r="HO77" i="4"/>
  <c r="HP77" i="4"/>
  <c r="HQ77" i="4"/>
  <c r="HR77" i="4"/>
  <c r="HS77" i="4"/>
  <c r="HT77" i="4"/>
  <c r="HU77" i="4"/>
  <c r="HV77" i="4"/>
  <c r="HW77" i="4"/>
  <c r="HX77" i="4"/>
  <c r="HY77" i="4"/>
  <c r="HZ77" i="4"/>
  <c r="IA77" i="4"/>
  <c r="IB77" i="4"/>
  <c r="IC77" i="4"/>
  <c r="ID77" i="4"/>
  <c r="IE77" i="4"/>
  <c r="IF77" i="4"/>
  <c r="IG77" i="4"/>
  <c r="IH77" i="4"/>
  <c r="II77" i="4"/>
  <c r="IJ77" i="4"/>
  <c r="IK77" i="4"/>
  <c r="IL77" i="4"/>
  <c r="IM77" i="4"/>
  <c r="IN77" i="4"/>
  <c r="IO77" i="4"/>
  <c r="IP77" i="4"/>
  <c r="IQ77" i="4"/>
  <c r="IR77" i="4"/>
  <c r="IS77" i="4"/>
  <c r="IT77" i="4"/>
  <c r="IU77" i="4"/>
  <c r="IV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EW78" i="4"/>
  <c r="EX78" i="4"/>
  <c r="EY78" i="4"/>
  <c r="EZ78" i="4"/>
  <c r="FA78" i="4"/>
  <c r="FB78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E78" i="4"/>
  <c r="GF78" i="4"/>
  <c r="GG78" i="4"/>
  <c r="GH78" i="4"/>
  <c r="GI78" i="4"/>
  <c r="GJ78" i="4"/>
  <c r="GK78" i="4"/>
  <c r="GL78" i="4"/>
  <c r="GM78" i="4"/>
  <c r="GN78" i="4"/>
  <c r="GO78" i="4"/>
  <c r="GP78" i="4"/>
  <c r="GQ78" i="4"/>
  <c r="GR78" i="4"/>
  <c r="GS78" i="4"/>
  <c r="GT78" i="4"/>
  <c r="GU78" i="4"/>
  <c r="GV78" i="4"/>
  <c r="GW78" i="4"/>
  <c r="GX78" i="4"/>
  <c r="GY78" i="4"/>
  <c r="GZ78" i="4"/>
  <c r="HA78" i="4"/>
  <c r="HB78" i="4"/>
  <c r="HC78" i="4"/>
  <c r="HD78" i="4"/>
  <c r="HE78" i="4"/>
  <c r="HF78" i="4"/>
  <c r="HG78" i="4"/>
  <c r="HH78" i="4"/>
  <c r="HI78" i="4"/>
  <c r="HJ78" i="4"/>
  <c r="HK78" i="4"/>
  <c r="HL78" i="4"/>
  <c r="HM78" i="4"/>
  <c r="HN78" i="4"/>
  <c r="HO78" i="4"/>
  <c r="HP78" i="4"/>
  <c r="HQ78" i="4"/>
  <c r="HR78" i="4"/>
  <c r="HS78" i="4"/>
  <c r="HT78" i="4"/>
  <c r="HU78" i="4"/>
  <c r="HV78" i="4"/>
  <c r="HW78" i="4"/>
  <c r="HX78" i="4"/>
  <c r="HY78" i="4"/>
  <c r="HZ78" i="4"/>
  <c r="IA78" i="4"/>
  <c r="IB78" i="4"/>
  <c r="IC78" i="4"/>
  <c r="ID78" i="4"/>
  <c r="IE78" i="4"/>
  <c r="IF78" i="4"/>
  <c r="IG78" i="4"/>
  <c r="IH78" i="4"/>
  <c r="II78" i="4"/>
  <c r="IJ78" i="4"/>
  <c r="IK78" i="4"/>
  <c r="IL78" i="4"/>
  <c r="IM78" i="4"/>
  <c r="IN78" i="4"/>
  <c r="IO78" i="4"/>
  <c r="IP78" i="4"/>
  <c r="IQ78" i="4"/>
  <c r="IR78" i="4"/>
  <c r="IS78" i="4"/>
  <c r="IT78" i="4"/>
  <c r="IU78" i="4"/>
  <c r="IV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EX79" i="4"/>
  <c r="EY79" i="4"/>
  <c r="EZ79" i="4"/>
  <c r="FA79" i="4"/>
  <c r="FB79" i="4"/>
  <c r="FC79" i="4"/>
  <c r="FD79" i="4"/>
  <c r="FE79" i="4"/>
  <c r="FF79" i="4"/>
  <c r="FG79" i="4"/>
  <c r="FH79" i="4"/>
  <c r="FI79" i="4"/>
  <c r="FJ79" i="4"/>
  <c r="FK79" i="4"/>
  <c r="FL79" i="4"/>
  <c r="FM79" i="4"/>
  <c r="FN79" i="4"/>
  <c r="FO79" i="4"/>
  <c r="FP79" i="4"/>
  <c r="FQ79" i="4"/>
  <c r="FR79" i="4"/>
  <c r="FS79" i="4"/>
  <c r="FT79" i="4"/>
  <c r="FU79" i="4"/>
  <c r="FV79" i="4"/>
  <c r="FW79" i="4"/>
  <c r="FX79" i="4"/>
  <c r="FY79" i="4"/>
  <c r="FZ79" i="4"/>
  <c r="GA79" i="4"/>
  <c r="GB79" i="4"/>
  <c r="GC79" i="4"/>
  <c r="GD79" i="4"/>
  <c r="GE79" i="4"/>
  <c r="GF79" i="4"/>
  <c r="GG79" i="4"/>
  <c r="GH79" i="4"/>
  <c r="GI79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Y79" i="4"/>
  <c r="GZ79" i="4"/>
  <c r="HA79" i="4"/>
  <c r="HB79" i="4"/>
  <c r="HC79" i="4"/>
  <c r="HD79" i="4"/>
  <c r="HE79" i="4"/>
  <c r="HF79" i="4"/>
  <c r="HG79" i="4"/>
  <c r="HH79" i="4"/>
  <c r="HI79" i="4"/>
  <c r="HJ79" i="4"/>
  <c r="HK79" i="4"/>
  <c r="HL79" i="4"/>
  <c r="HM79" i="4"/>
  <c r="HN79" i="4"/>
  <c r="HO79" i="4"/>
  <c r="HP79" i="4"/>
  <c r="HQ79" i="4"/>
  <c r="HR79" i="4"/>
  <c r="HS79" i="4"/>
  <c r="HT79" i="4"/>
  <c r="HU79" i="4"/>
  <c r="HV79" i="4"/>
  <c r="HW79" i="4"/>
  <c r="HX79" i="4"/>
  <c r="HY79" i="4"/>
  <c r="HZ79" i="4"/>
  <c r="IA79" i="4"/>
  <c r="IB79" i="4"/>
  <c r="IC79" i="4"/>
  <c r="ID79" i="4"/>
  <c r="IE79" i="4"/>
  <c r="IF79" i="4"/>
  <c r="IG79" i="4"/>
  <c r="IH79" i="4"/>
  <c r="II79" i="4"/>
  <c r="IJ79" i="4"/>
  <c r="IK79" i="4"/>
  <c r="IL79" i="4"/>
  <c r="IM79" i="4"/>
  <c r="IN79" i="4"/>
  <c r="IO79" i="4"/>
  <c r="IP79" i="4"/>
  <c r="IQ79" i="4"/>
  <c r="IR79" i="4"/>
  <c r="IS79" i="4"/>
  <c r="IT79" i="4"/>
  <c r="IU79" i="4"/>
  <c r="IV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ES80" i="4"/>
  <c r="ET80" i="4"/>
  <c r="EU80" i="4"/>
  <c r="EV80" i="4"/>
  <c r="EW80" i="4"/>
  <c r="EX80" i="4"/>
  <c r="EY80" i="4"/>
  <c r="EZ80" i="4"/>
  <c r="FA80" i="4"/>
  <c r="FB80" i="4"/>
  <c r="FC80" i="4"/>
  <c r="FD80" i="4"/>
  <c r="FE80" i="4"/>
  <c r="FF80" i="4"/>
  <c r="FG80" i="4"/>
  <c r="FH80" i="4"/>
  <c r="FI80" i="4"/>
  <c r="FJ80" i="4"/>
  <c r="FK80" i="4"/>
  <c r="FL80" i="4"/>
  <c r="FM80" i="4"/>
  <c r="FN80" i="4"/>
  <c r="FO80" i="4"/>
  <c r="FP80" i="4"/>
  <c r="FQ80" i="4"/>
  <c r="FR80" i="4"/>
  <c r="FS80" i="4"/>
  <c r="FT80" i="4"/>
  <c r="FU80" i="4"/>
  <c r="FV80" i="4"/>
  <c r="FW80" i="4"/>
  <c r="FX80" i="4"/>
  <c r="FY80" i="4"/>
  <c r="FZ80" i="4"/>
  <c r="GA80" i="4"/>
  <c r="GB80" i="4"/>
  <c r="GC80" i="4"/>
  <c r="GD80" i="4"/>
  <c r="GE80" i="4"/>
  <c r="GF80" i="4"/>
  <c r="GG80" i="4"/>
  <c r="GH80" i="4"/>
  <c r="GI80" i="4"/>
  <c r="GJ80" i="4"/>
  <c r="GK80" i="4"/>
  <c r="GL80" i="4"/>
  <c r="GM80" i="4"/>
  <c r="GN80" i="4"/>
  <c r="GO80" i="4"/>
  <c r="GP80" i="4"/>
  <c r="GQ80" i="4"/>
  <c r="GR80" i="4"/>
  <c r="GS80" i="4"/>
  <c r="GT80" i="4"/>
  <c r="GU80" i="4"/>
  <c r="GV80" i="4"/>
  <c r="GW80" i="4"/>
  <c r="GX80" i="4"/>
  <c r="GY80" i="4"/>
  <c r="GZ80" i="4"/>
  <c r="HA80" i="4"/>
  <c r="HB80" i="4"/>
  <c r="HC80" i="4"/>
  <c r="HD80" i="4"/>
  <c r="HE80" i="4"/>
  <c r="HF80" i="4"/>
  <c r="HG80" i="4"/>
  <c r="HH80" i="4"/>
  <c r="HI80" i="4"/>
  <c r="HJ80" i="4"/>
  <c r="HK80" i="4"/>
  <c r="HL80" i="4"/>
  <c r="HM80" i="4"/>
  <c r="HN80" i="4"/>
  <c r="HO80" i="4"/>
  <c r="HP80" i="4"/>
  <c r="HQ80" i="4"/>
  <c r="HR80" i="4"/>
  <c r="HS80" i="4"/>
  <c r="HT80" i="4"/>
  <c r="HU80" i="4"/>
  <c r="HV80" i="4"/>
  <c r="HW80" i="4"/>
  <c r="HX80" i="4"/>
  <c r="HY80" i="4"/>
  <c r="HZ80" i="4"/>
  <c r="IA80" i="4"/>
  <c r="IB80" i="4"/>
  <c r="IC80" i="4"/>
  <c r="ID80" i="4"/>
  <c r="IE80" i="4"/>
  <c r="IF80" i="4"/>
  <c r="IG80" i="4"/>
  <c r="IH80" i="4"/>
  <c r="II80" i="4"/>
  <c r="IJ80" i="4"/>
  <c r="IK80" i="4"/>
  <c r="IL80" i="4"/>
  <c r="IM80" i="4"/>
  <c r="IN80" i="4"/>
  <c r="IO80" i="4"/>
  <c r="IP80" i="4"/>
  <c r="IQ80" i="4"/>
  <c r="IR80" i="4"/>
  <c r="IS80" i="4"/>
  <c r="IT80" i="4"/>
  <c r="IU80" i="4"/>
  <c r="IV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EW81" i="4"/>
  <c r="EX81" i="4"/>
  <c r="EY81" i="4"/>
  <c r="EZ81" i="4"/>
  <c r="FA81" i="4"/>
  <c r="FB81" i="4"/>
  <c r="FC81" i="4"/>
  <c r="FD81" i="4"/>
  <c r="FE81" i="4"/>
  <c r="FF81" i="4"/>
  <c r="FG81" i="4"/>
  <c r="FH81" i="4"/>
  <c r="FI81" i="4"/>
  <c r="FJ81" i="4"/>
  <c r="FK81" i="4"/>
  <c r="FL81" i="4"/>
  <c r="FM81" i="4"/>
  <c r="FN81" i="4"/>
  <c r="FO81" i="4"/>
  <c r="FP81" i="4"/>
  <c r="FQ81" i="4"/>
  <c r="FR81" i="4"/>
  <c r="FS81" i="4"/>
  <c r="FT81" i="4"/>
  <c r="FU81" i="4"/>
  <c r="FV81" i="4"/>
  <c r="FW81" i="4"/>
  <c r="FX81" i="4"/>
  <c r="FY81" i="4"/>
  <c r="FZ81" i="4"/>
  <c r="GA81" i="4"/>
  <c r="GB81" i="4"/>
  <c r="GC81" i="4"/>
  <c r="GD81" i="4"/>
  <c r="GE81" i="4"/>
  <c r="GF81" i="4"/>
  <c r="GG81" i="4"/>
  <c r="GH81" i="4"/>
  <c r="GI81" i="4"/>
  <c r="GJ81" i="4"/>
  <c r="GK81" i="4"/>
  <c r="GL81" i="4"/>
  <c r="GM81" i="4"/>
  <c r="GN81" i="4"/>
  <c r="GO81" i="4"/>
  <c r="GP81" i="4"/>
  <c r="GQ81" i="4"/>
  <c r="GR81" i="4"/>
  <c r="GS81" i="4"/>
  <c r="GT81" i="4"/>
  <c r="GU81" i="4"/>
  <c r="GV81" i="4"/>
  <c r="GW81" i="4"/>
  <c r="GX81" i="4"/>
  <c r="GY81" i="4"/>
  <c r="GZ81" i="4"/>
  <c r="HA81" i="4"/>
  <c r="HB81" i="4"/>
  <c r="HC81" i="4"/>
  <c r="HD81" i="4"/>
  <c r="HE81" i="4"/>
  <c r="HF81" i="4"/>
  <c r="HG81" i="4"/>
  <c r="HH81" i="4"/>
  <c r="HI81" i="4"/>
  <c r="HJ81" i="4"/>
  <c r="HK81" i="4"/>
  <c r="HL81" i="4"/>
  <c r="HM81" i="4"/>
  <c r="HN81" i="4"/>
  <c r="HO81" i="4"/>
  <c r="HP81" i="4"/>
  <c r="HQ81" i="4"/>
  <c r="HR81" i="4"/>
  <c r="HS81" i="4"/>
  <c r="HT81" i="4"/>
  <c r="HU81" i="4"/>
  <c r="HV81" i="4"/>
  <c r="HW81" i="4"/>
  <c r="HX81" i="4"/>
  <c r="HY81" i="4"/>
  <c r="HZ81" i="4"/>
  <c r="IA81" i="4"/>
  <c r="IB81" i="4"/>
  <c r="IC81" i="4"/>
  <c r="ID81" i="4"/>
  <c r="IE81" i="4"/>
  <c r="IF81" i="4"/>
  <c r="IG81" i="4"/>
  <c r="IH81" i="4"/>
  <c r="II81" i="4"/>
  <c r="IJ81" i="4"/>
  <c r="IK81" i="4"/>
  <c r="IL81" i="4"/>
  <c r="IM81" i="4"/>
  <c r="IN81" i="4"/>
  <c r="IO81" i="4"/>
  <c r="IP81" i="4"/>
  <c r="IQ81" i="4"/>
  <c r="IR81" i="4"/>
  <c r="IS81" i="4"/>
  <c r="IT81" i="4"/>
  <c r="IU81" i="4"/>
  <c r="IV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ES82" i="4"/>
  <c r="ET82" i="4"/>
  <c r="EU82" i="4"/>
  <c r="EV82" i="4"/>
  <c r="EW82" i="4"/>
  <c r="EX82" i="4"/>
  <c r="EY82" i="4"/>
  <c r="EZ82" i="4"/>
  <c r="FA82" i="4"/>
  <c r="FB82" i="4"/>
  <c r="FC82" i="4"/>
  <c r="FD82" i="4"/>
  <c r="FE82" i="4"/>
  <c r="FF82" i="4"/>
  <c r="FG82" i="4"/>
  <c r="FH82" i="4"/>
  <c r="FI82" i="4"/>
  <c r="FJ82" i="4"/>
  <c r="FK82" i="4"/>
  <c r="FL82" i="4"/>
  <c r="FM82" i="4"/>
  <c r="FN82" i="4"/>
  <c r="FO82" i="4"/>
  <c r="FP82" i="4"/>
  <c r="FQ82" i="4"/>
  <c r="FR82" i="4"/>
  <c r="FS82" i="4"/>
  <c r="FT82" i="4"/>
  <c r="FU82" i="4"/>
  <c r="FV82" i="4"/>
  <c r="FW82" i="4"/>
  <c r="FX82" i="4"/>
  <c r="FY82" i="4"/>
  <c r="FZ82" i="4"/>
  <c r="GA82" i="4"/>
  <c r="GB82" i="4"/>
  <c r="GC82" i="4"/>
  <c r="GD82" i="4"/>
  <c r="GE82" i="4"/>
  <c r="GF82" i="4"/>
  <c r="GG82" i="4"/>
  <c r="GH82" i="4"/>
  <c r="GI82" i="4"/>
  <c r="GJ82" i="4"/>
  <c r="GK82" i="4"/>
  <c r="GL82" i="4"/>
  <c r="GM82" i="4"/>
  <c r="GN82" i="4"/>
  <c r="GO82" i="4"/>
  <c r="GP82" i="4"/>
  <c r="GQ82" i="4"/>
  <c r="GR82" i="4"/>
  <c r="GS82" i="4"/>
  <c r="GT82" i="4"/>
  <c r="GU82" i="4"/>
  <c r="GV82" i="4"/>
  <c r="GW82" i="4"/>
  <c r="GX82" i="4"/>
  <c r="GY82" i="4"/>
  <c r="GZ82" i="4"/>
  <c r="HA82" i="4"/>
  <c r="HB82" i="4"/>
  <c r="HC82" i="4"/>
  <c r="HD82" i="4"/>
  <c r="HE82" i="4"/>
  <c r="HF82" i="4"/>
  <c r="HG82" i="4"/>
  <c r="HH82" i="4"/>
  <c r="HI82" i="4"/>
  <c r="HJ82" i="4"/>
  <c r="HK82" i="4"/>
  <c r="HL82" i="4"/>
  <c r="HM82" i="4"/>
  <c r="HN82" i="4"/>
  <c r="HO82" i="4"/>
  <c r="HP82" i="4"/>
  <c r="HQ82" i="4"/>
  <c r="HR82" i="4"/>
  <c r="HS82" i="4"/>
  <c r="HT82" i="4"/>
  <c r="HU82" i="4"/>
  <c r="HV82" i="4"/>
  <c r="HW82" i="4"/>
  <c r="HX82" i="4"/>
  <c r="HY82" i="4"/>
  <c r="HZ82" i="4"/>
  <c r="IA82" i="4"/>
  <c r="IB82" i="4"/>
  <c r="IC82" i="4"/>
  <c r="ID82" i="4"/>
  <c r="IE82" i="4"/>
  <c r="IF82" i="4"/>
  <c r="IG82" i="4"/>
  <c r="IH82" i="4"/>
  <c r="II82" i="4"/>
  <c r="IJ82" i="4"/>
  <c r="IK82" i="4"/>
  <c r="IL82" i="4"/>
  <c r="IM82" i="4"/>
  <c r="IN82" i="4"/>
  <c r="IO82" i="4"/>
  <c r="IP82" i="4"/>
  <c r="IQ82" i="4"/>
  <c r="IR82" i="4"/>
  <c r="IS82" i="4"/>
  <c r="IT82" i="4"/>
  <c r="IU82" i="4"/>
  <c r="IV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ET83" i="4"/>
  <c r="EU83" i="4"/>
  <c r="EV83" i="4"/>
  <c r="EW83" i="4"/>
  <c r="EX83" i="4"/>
  <c r="EY83" i="4"/>
  <c r="EZ83" i="4"/>
  <c r="FA83" i="4"/>
  <c r="FB83" i="4"/>
  <c r="FC83" i="4"/>
  <c r="FD83" i="4"/>
  <c r="FE83" i="4"/>
  <c r="FF83" i="4"/>
  <c r="FG83" i="4"/>
  <c r="FH83" i="4"/>
  <c r="FI83" i="4"/>
  <c r="FJ83" i="4"/>
  <c r="FK83" i="4"/>
  <c r="FL83" i="4"/>
  <c r="FM83" i="4"/>
  <c r="FN83" i="4"/>
  <c r="FO83" i="4"/>
  <c r="FP83" i="4"/>
  <c r="FQ83" i="4"/>
  <c r="FR83" i="4"/>
  <c r="FS83" i="4"/>
  <c r="FT83" i="4"/>
  <c r="FU83" i="4"/>
  <c r="FV83" i="4"/>
  <c r="FW83" i="4"/>
  <c r="FX83" i="4"/>
  <c r="FY83" i="4"/>
  <c r="FZ83" i="4"/>
  <c r="GA83" i="4"/>
  <c r="GB83" i="4"/>
  <c r="GC83" i="4"/>
  <c r="GD83" i="4"/>
  <c r="GE83" i="4"/>
  <c r="GF83" i="4"/>
  <c r="GG83" i="4"/>
  <c r="GH83" i="4"/>
  <c r="GI83" i="4"/>
  <c r="GJ83" i="4"/>
  <c r="GK83" i="4"/>
  <c r="GL83" i="4"/>
  <c r="GM83" i="4"/>
  <c r="GN83" i="4"/>
  <c r="GO83" i="4"/>
  <c r="GP83" i="4"/>
  <c r="GQ83" i="4"/>
  <c r="GR83" i="4"/>
  <c r="GS83" i="4"/>
  <c r="GT83" i="4"/>
  <c r="GU83" i="4"/>
  <c r="GV83" i="4"/>
  <c r="GW83" i="4"/>
  <c r="GX83" i="4"/>
  <c r="GY83" i="4"/>
  <c r="GZ83" i="4"/>
  <c r="HA83" i="4"/>
  <c r="HB83" i="4"/>
  <c r="HC83" i="4"/>
  <c r="HD83" i="4"/>
  <c r="HE83" i="4"/>
  <c r="HF83" i="4"/>
  <c r="HG83" i="4"/>
  <c r="HH83" i="4"/>
  <c r="HI83" i="4"/>
  <c r="HJ83" i="4"/>
  <c r="HK83" i="4"/>
  <c r="HL83" i="4"/>
  <c r="HM83" i="4"/>
  <c r="HN83" i="4"/>
  <c r="HO83" i="4"/>
  <c r="HP83" i="4"/>
  <c r="HQ83" i="4"/>
  <c r="HR83" i="4"/>
  <c r="HS83" i="4"/>
  <c r="HT83" i="4"/>
  <c r="HU83" i="4"/>
  <c r="HV83" i="4"/>
  <c r="HW83" i="4"/>
  <c r="HX83" i="4"/>
  <c r="HY83" i="4"/>
  <c r="HZ83" i="4"/>
  <c r="IA83" i="4"/>
  <c r="IB83" i="4"/>
  <c r="IC83" i="4"/>
  <c r="ID83" i="4"/>
  <c r="IE83" i="4"/>
  <c r="IF83" i="4"/>
  <c r="IG83" i="4"/>
  <c r="IH83" i="4"/>
  <c r="II83" i="4"/>
  <c r="IJ83" i="4"/>
  <c r="IK83" i="4"/>
  <c r="IL83" i="4"/>
  <c r="IM83" i="4"/>
  <c r="IN83" i="4"/>
  <c r="IO83" i="4"/>
  <c r="IP83" i="4"/>
  <c r="IQ83" i="4"/>
  <c r="IR83" i="4"/>
  <c r="IS83" i="4"/>
  <c r="IT83" i="4"/>
  <c r="IU83" i="4"/>
  <c r="IV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ES84" i="4"/>
  <c r="ET84" i="4"/>
  <c r="EU84" i="4"/>
  <c r="EV84" i="4"/>
  <c r="EW84" i="4"/>
  <c r="EX84" i="4"/>
  <c r="EY84" i="4"/>
  <c r="EZ84" i="4"/>
  <c r="FA84" i="4"/>
  <c r="FB84" i="4"/>
  <c r="FC84" i="4"/>
  <c r="FD84" i="4"/>
  <c r="FE84" i="4"/>
  <c r="FF84" i="4"/>
  <c r="FG84" i="4"/>
  <c r="FH84" i="4"/>
  <c r="FI84" i="4"/>
  <c r="FJ84" i="4"/>
  <c r="FK84" i="4"/>
  <c r="FL84" i="4"/>
  <c r="FM84" i="4"/>
  <c r="FN84" i="4"/>
  <c r="FO84" i="4"/>
  <c r="FP84" i="4"/>
  <c r="FQ84" i="4"/>
  <c r="FR84" i="4"/>
  <c r="FS84" i="4"/>
  <c r="FT84" i="4"/>
  <c r="FU84" i="4"/>
  <c r="FV84" i="4"/>
  <c r="FW84" i="4"/>
  <c r="FX84" i="4"/>
  <c r="FY84" i="4"/>
  <c r="FZ84" i="4"/>
  <c r="GA84" i="4"/>
  <c r="GB84" i="4"/>
  <c r="GC84" i="4"/>
  <c r="GD84" i="4"/>
  <c r="GE84" i="4"/>
  <c r="GF84" i="4"/>
  <c r="GG84" i="4"/>
  <c r="GH84" i="4"/>
  <c r="GI84" i="4"/>
  <c r="GJ84" i="4"/>
  <c r="GK84" i="4"/>
  <c r="GL84" i="4"/>
  <c r="GM84" i="4"/>
  <c r="GN84" i="4"/>
  <c r="GO84" i="4"/>
  <c r="GP84" i="4"/>
  <c r="GQ84" i="4"/>
  <c r="GR84" i="4"/>
  <c r="GS84" i="4"/>
  <c r="GT84" i="4"/>
  <c r="GU84" i="4"/>
  <c r="GV84" i="4"/>
  <c r="GW84" i="4"/>
  <c r="GX84" i="4"/>
  <c r="GY84" i="4"/>
  <c r="GZ84" i="4"/>
  <c r="HA84" i="4"/>
  <c r="HB84" i="4"/>
  <c r="HC84" i="4"/>
  <c r="HD84" i="4"/>
  <c r="HE84" i="4"/>
  <c r="HF84" i="4"/>
  <c r="HG84" i="4"/>
  <c r="HH84" i="4"/>
  <c r="HI84" i="4"/>
  <c r="HJ84" i="4"/>
  <c r="HK84" i="4"/>
  <c r="HL84" i="4"/>
  <c r="HM84" i="4"/>
  <c r="HN84" i="4"/>
  <c r="HO84" i="4"/>
  <c r="HP84" i="4"/>
  <c r="HQ84" i="4"/>
  <c r="HR84" i="4"/>
  <c r="HS84" i="4"/>
  <c r="HT84" i="4"/>
  <c r="HU84" i="4"/>
  <c r="HV84" i="4"/>
  <c r="HW84" i="4"/>
  <c r="HX84" i="4"/>
  <c r="HY84" i="4"/>
  <c r="HZ84" i="4"/>
  <c r="IA84" i="4"/>
  <c r="IB84" i="4"/>
  <c r="IC84" i="4"/>
  <c r="ID84" i="4"/>
  <c r="IE84" i="4"/>
  <c r="IF84" i="4"/>
  <c r="IG84" i="4"/>
  <c r="IH84" i="4"/>
  <c r="II84" i="4"/>
  <c r="IJ84" i="4"/>
  <c r="IK84" i="4"/>
  <c r="IL84" i="4"/>
  <c r="IM84" i="4"/>
  <c r="IN84" i="4"/>
  <c r="IO84" i="4"/>
  <c r="IP84" i="4"/>
  <c r="IQ84" i="4"/>
  <c r="IR84" i="4"/>
  <c r="IS84" i="4"/>
  <c r="IT84" i="4"/>
  <c r="IU84" i="4"/>
  <c r="IV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ET85" i="4"/>
  <c r="EU85" i="4"/>
  <c r="EV85" i="4"/>
  <c r="EW85" i="4"/>
  <c r="EX85" i="4"/>
  <c r="EY85" i="4"/>
  <c r="EZ85" i="4"/>
  <c r="FA85" i="4"/>
  <c r="FB85" i="4"/>
  <c r="FC85" i="4"/>
  <c r="FD85" i="4"/>
  <c r="FE85" i="4"/>
  <c r="FF85" i="4"/>
  <c r="FG85" i="4"/>
  <c r="FH85" i="4"/>
  <c r="FI85" i="4"/>
  <c r="FJ85" i="4"/>
  <c r="FK85" i="4"/>
  <c r="FL85" i="4"/>
  <c r="FM85" i="4"/>
  <c r="FN85" i="4"/>
  <c r="FO85" i="4"/>
  <c r="FP85" i="4"/>
  <c r="FQ85" i="4"/>
  <c r="FR85" i="4"/>
  <c r="FS85" i="4"/>
  <c r="FT85" i="4"/>
  <c r="FU85" i="4"/>
  <c r="FV85" i="4"/>
  <c r="FW85" i="4"/>
  <c r="FX85" i="4"/>
  <c r="FY85" i="4"/>
  <c r="FZ85" i="4"/>
  <c r="GA85" i="4"/>
  <c r="GB85" i="4"/>
  <c r="GC85" i="4"/>
  <c r="GD85" i="4"/>
  <c r="GE85" i="4"/>
  <c r="GF85" i="4"/>
  <c r="GG85" i="4"/>
  <c r="GH85" i="4"/>
  <c r="GI85" i="4"/>
  <c r="GJ85" i="4"/>
  <c r="GK85" i="4"/>
  <c r="GL85" i="4"/>
  <c r="GM85" i="4"/>
  <c r="GN85" i="4"/>
  <c r="GO85" i="4"/>
  <c r="GP85" i="4"/>
  <c r="GQ85" i="4"/>
  <c r="GR85" i="4"/>
  <c r="GS85" i="4"/>
  <c r="GT85" i="4"/>
  <c r="GU85" i="4"/>
  <c r="GV85" i="4"/>
  <c r="GW85" i="4"/>
  <c r="GX85" i="4"/>
  <c r="GY85" i="4"/>
  <c r="GZ85" i="4"/>
  <c r="HA85" i="4"/>
  <c r="HB85" i="4"/>
  <c r="HC85" i="4"/>
  <c r="HD85" i="4"/>
  <c r="HE85" i="4"/>
  <c r="HF85" i="4"/>
  <c r="HG85" i="4"/>
  <c r="HH85" i="4"/>
  <c r="HI85" i="4"/>
  <c r="HJ85" i="4"/>
  <c r="HK85" i="4"/>
  <c r="HL85" i="4"/>
  <c r="HM85" i="4"/>
  <c r="HN85" i="4"/>
  <c r="HO85" i="4"/>
  <c r="HP85" i="4"/>
  <c r="HQ85" i="4"/>
  <c r="HR85" i="4"/>
  <c r="HS85" i="4"/>
  <c r="HT85" i="4"/>
  <c r="HU85" i="4"/>
  <c r="HV85" i="4"/>
  <c r="HW85" i="4"/>
  <c r="HX85" i="4"/>
  <c r="HY85" i="4"/>
  <c r="HZ85" i="4"/>
  <c r="IA85" i="4"/>
  <c r="IB85" i="4"/>
  <c r="IC85" i="4"/>
  <c r="ID85" i="4"/>
  <c r="IE85" i="4"/>
  <c r="IF85" i="4"/>
  <c r="IG85" i="4"/>
  <c r="IH85" i="4"/>
  <c r="II85" i="4"/>
  <c r="IJ85" i="4"/>
  <c r="IK85" i="4"/>
  <c r="IL85" i="4"/>
  <c r="IM85" i="4"/>
  <c r="IN85" i="4"/>
  <c r="IO85" i="4"/>
  <c r="IP85" i="4"/>
  <c r="IQ85" i="4"/>
  <c r="IR85" i="4"/>
  <c r="IS85" i="4"/>
  <c r="IT85" i="4"/>
  <c r="IU85" i="4"/>
  <c r="IV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ET86" i="4"/>
  <c r="EU86" i="4"/>
  <c r="EV86" i="4"/>
  <c r="EW86" i="4"/>
  <c r="EX86" i="4"/>
  <c r="EY86" i="4"/>
  <c r="EZ86" i="4"/>
  <c r="FA86" i="4"/>
  <c r="FB86" i="4"/>
  <c r="FC86" i="4"/>
  <c r="FD86" i="4"/>
  <c r="FE86" i="4"/>
  <c r="FF86" i="4"/>
  <c r="FG86" i="4"/>
  <c r="FH86" i="4"/>
  <c r="FI86" i="4"/>
  <c r="FJ86" i="4"/>
  <c r="FK86" i="4"/>
  <c r="FL86" i="4"/>
  <c r="FM86" i="4"/>
  <c r="FN86" i="4"/>
  <c r="FO86" i="4"/>
  <c r="FP86" i="4"/>
  <c r="FQ86" i="4"/>
  <c r="FR86" i="4"/>
  <c r="FS86" i="4"/>
  <c r="FT86" i="4"/>
  <c r="FU86" i="4"/>
  <c r="FV86" i="4"/>
  <c r="FW86" i="4"/>
  <c r="FX86" i="4"/>
  <c r="FY86" i="4"/>
  <c r="FZ86" i="4"/>
  <c r="GA86" i="4"/>
  <c r="GB86" i="4"/>
  <c r="GC86" i="4"/>
  <c r="GD86" i="4"/>
  <c r="GE86" i="4"/>
  <c r="GF86" i="4"/>
  <c r="GG86" i="4"/>
  <c r="GH86" i="4"/>
  <c r="GI86" i="4"/>
  <c r="GJ86" i="4"/>
  <c r="GK86" i="4"/>
  <c r="GL86" i="4"/>
  <c r="GM86" i="4"/>
  <c r="GN86" i="4"/>
  <c r="GO86" i="4"/>
  <c r="GP86" i="4"/>
  <c r="GQ86" i="4"/>
  <c r="GR86" i="4"/>
  <c r="GS86" i="4"/>
  <c r="GT86" i="4"/>
  <c r="GU86" i="4"/>
  <c r="GV86" i="4"/>
  <c r="GW86" i="4"/>
  <c r="GX86" i="4"/>
  <c r="GY86" i="4"/>
  <c r="GZ86" i="4"/>
  <c r="HA86" i="4"/>
  <c r="HB86" i="4"/>
  <c r="HC86" i="4"/>
  <c r="HD86" i="4"/>
  <c r="HE86" i="4"/>
  <c r="HF86" i="4"/>
  <c r="HG86" i="4"/>
  <c r="HH86" i="4"/>
  <c r="HI86" i="4"/>
  <c r="HJ86" i="4"/>
  <c r="HK86" i="4"/>
  <c r="HL86" i="4"/>
  <c r="HM86" i="4"/>
  <c r="HN86" i="4"/>
  <c r="HO86" i="4"/>
  <c r="HP86" i="4"/>
  <c r="HQ86" i="4"/>
  <c r="HR86" i="4"/>
  <c r="HS86" i="4"/>
  <c r="HT86" i="4"/>
  <c r="HU86" i="4"/>
  <c r="HV86" i="4"/>
  <c r="HW86" i="4"/>
  <c r="HX86" i="4"/>
  <c r="HY86" i="4"/>
  <c r="HZ86" i="4"/>
  <c r="IA86" i="4"/>
  <c r="IB86" i="4"/>
  <c r="IC86" i="4"/>
  <c r="ID86" i="4"/>
  <c r="IE86" i="4"/>
  <c r="IF86" i="4"/>
  <c r="IG86" i="4"/>
  <c r="IH86" i="4"/>
  <c r="II86" i="4"/>
  <c r="IJ86" i="4"/>
  <c r="IK86" i="4"/>
  <c r="IL86" i="4"/>
  <c r="IM86" i="4"/>
  <c r="IN86" i="4"/>
  <c r="IO86" i="4"/>
  <c r="IP86" i="4"/>
  <c r="IQ86" i="4"/>
  <c r="IR86" i="4"/>
  <c r="IS86" i="4"/>
  <c r="IT86" i="4"/>
  <c r="IU86" i="4"/>
  <c r="IV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EW87" i="4"/>
  <c r="EX87" i="4"/>
  <c r="EY87" i="4"/>
  <c r="EZ87" i="4"/>
  <c r="FA87" i="4"/>
  <c r="FB87" i="4"/>
  <c r="FC87" i="4"/>
  <c r="FD87" i="4"/>
  <c r="FE87" i="4"/>
  <c r="FF87" i="4"/>
  <c r="FG87" i="4"/>
  <c r="FH87" i="4"/>
  <c r="FI87" i="4"/>
  <c r="FJ87" i="4"/>
  <c r="FK87" i="4"/>
  <c r="FL87" i="4"/>
  <c r="FM87" i="4"/>
  <c r="FN87" i="4"/>
  <c r="FO87" i="4"/>
  <c r="FP87" i="4"/>
  <c r="FQ87" i="4"/>
  <c r="FR87" i="4"/>
  <c r="FS87" i="4"/>
  <c r="FT87" i="4"/>
  <c r="FU87" i="4"/>
  <c r="FV87" i="4"/>
  <c r="FW87" i="4"/>
  <c r="FX87" i="4"/>
  <c r="FY87" i="4"/>
  <c r="FZ87" i="4"/>
  <c r="GA87" i="4"/>
  <c r="GB87" i="4"/>
  <c r="GC87" i="4"/>
  <c r="GD87" i="4"/>
  <c r="GE87" i="4"/>
  <c r="GF87" i="4"/>
  <c r="GG87" i="4"/>
  <c r="GH87" i="4"/>
  <c r="GI87" i="4"/>
  <c r="GJ87" i="4"/>
  <c r="GK87" i="4"/>
  <c r="GL87" i="4"/>
  <c r="GM87" i="4"/>
  <c r="GN87" i="4"/>
  <c r="GO87" i="4"/>
  <c r="GP87" i="4"/>
  <c r="GQ87" i="4"/>
  <c r="GR87" i="4"/>
  <c r="GS87" i="4"/>
  <c r="GT87" i="4"/>
  <c r="GU87" i="4"/>
  <c r="GV87" i="4"/>
  <c r="GW87" i="4"/>
  <c r="GX87" i="4"/>
  <c r="GY87" i="4"/>
  <c r="GZ87" i="4"/>
  <c r="HA87" i="4"/>
  <c r="HB87" i="4"/>
  <c r="HC87" i="4"/>
  <c r="HD87" i="4"/>
  <c r="HE87" i="4"/>
  <c r="HF87" i="4"/>
  <c r="HG87" i="4"/>
  <c r="HH87" i="4"/>
  <c r="HI87" i="4"/>
  <c r="HJ87" i="4"/>
  <c r="HK87" i="4"/>
  <c r="HL87" i="4"/>
  <c r="HM87" i="4"/>
  <c r="HN87" i="4"/>
  <c r="HO87" i="4"/>
  <c r="HP87" i="4"/>
  <c r="HQ87" i="4"/>
  <c r="HR87" i="4"/>
  <c r="HS87" i="4"/>
  <c r="HT87" i="4"/>
  <c r="HU87" i="4"/>
  <c r="HV87" i="4"/>
  <c r="HW87" i="4"/>
  <c r="HX87" i="4"/>
  <c r="HY87" i="4"/>
  <c r="HZ87" i="4"/>
  <c r="IA87" i="4"/>
  <c r="IB87" i="4"/>
  <c r="IC87" i="4"/>
  <c r="ID87" i="4"/>
  <c r="IE87" i="4"/>
  <c r="IF87" i="4"/>
  <c r="IG87" i="4"/>
  <c r="IH87" i="4"/>
  <c r="II87" i="4"/>
  <c r="IJ87" i="4"/>
  <c r="IK87" i="4"/>
  <c r="IL87" i="4"/>
  <c r="IM87" i="4"/>
  <c r="IN87" i="4"/>
  <c r="IO87" i="4"/>
  <c r="IP87" i="4"/>
  <c r="IQ87" i="4"/>
  <c r="IR87" i="4"/>
  <c r="IS87" i="4"/>
  <c r="IT87" i="4"/>
  <c r="IU87" i="4"/>
  <c r="IV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ET88" i="4"/>
  <c r="EU88" i="4"/>
  <c r="EV88" i="4"/>
  <c r="EW88" i="4"/>
  <c r="EX88" i="4"/>
  <c r="EY88" i="4"/>
  <c r="EZ88" i="4"/>
  <c r="FA88" i="4"/>
  <c r="FB88" i="4"/>
  <c r="FC88" i="4"/>
  <c r="FD88" i="4"/>
  <c r="FE88" i="4"/>
  <c r="FF88" i="4"/>
  <c r="FG88" i="4"/>
  <c r="FH88" i="4"/>
  <c r="FI88" i="4"/>
  <c r="FJ88" i="4"/>
  <c r="FK88" i="4"/>
  <c r="FL88" i="4"/>
  <c r="FM88" i="4"/>
  <c r="FN88" i="4"/>
  <c r="FO88" i="4"/>
  <c r="FP88" i="4"/>
  <c r="FQ88" i="4"/>
  <c r="FR88" i="4"/>
  <c r="FS88" i="4"/>
  <c r="FT88" i="4"/>
  <c r="FU88" i="4"/>
  <c r="FV88" i="4"/>
  <c r="FW88" i="4"/>
  <c r="FX88" i="4"/>
  <c r="FY88" i="4"/>
  <c r="FZ88" i="4"/>
  <c r="GA88" i="4"/>
  <c r="GB88" i="4"/>
  <c r="GC88" i="4"/>
  <c r="GD88" i="4"/>
  <c r="GE88" i="4"/>
  <c r="GF88" i="4"/>
  <c r="GG88" i="4"/>
  <c r="GH88" i="4"/>
  <c r="GI88" i="4"/>
  <c r="GJ88" i="4"/>
  <c r="GK88" i="4"/>
  <c r="GL88" i="4"/>
  <c r="GM88" i="4"/>
  <c r="GN88" i="4"/>
  <c r="GO88" i="4"/>
  <c r="GP88" i="4"/>
  <c r="GQ88" i="4"/>
  <c r="GR88" i="4"/>
  <c r="GS88" i="4"/>
  <c r="GT88" i="4"/>
  <c r="GU88" i="4"/>
  <c r="GV88" i="4"/>
  <c r="GW88" i="4"/>
  <c r="GX88" i="4"/>
  <c r="GY88" i="4"/>
  <c r="GZ88" i="4"/>
  <c r="HA88" i="4"/>
  <c r="HB88" i="4"/>
  <c r="HC88" i="4"/>
  <c r="HD88" i="4"/>
  <c r="HE88" i="4"/>
  <c r="HF88" i="4"/>
  <c r="HG88" i="4"/>
  <c r="HH88" i="4"/>
  <c r="HI88" i="4"/>
  <c r="HJ88" i="4"/>
  <c r="HK88" i="4"/>
  <c r="HL88" i="4"/>
  <c r="HM88" i="4"/>
  <c r="HN88" i="4"/>
  <c r="HO88" i="4"/>
  <c r="HP88" i="4"/>
  <c r="HQ88" i="4"/>
  <c r="HR88" i="4"/>
  <c r="HS88" i="4"/>
  <c r="HT88" i="4"/>
  <c r="HU88" i="4"/>
  <c r="HV88" i="4"/>
  <c r="HW88" i="4"/>
  <c r="HX88" i="4"/>
  <c r="HY88" i="4"/>
  <c r="HZ88" i="4"/>
  <c r="IA88" i="4"/>
  <c r="IB88" i="4"/>
  <c r="IC88" i="4"/>
  <c r="ID88" i="4"/>
  <c r="IE88" i="4"/>
  <c r="IF88" i="4"/>
  <c r="IG88" i="4"/>
  <c r="IH88" i="4"/>
  <c r="II88" i="4"/>
  <c r="IJ88" i="4"/>
  <c r="IK88" i="4"/>
  <c r="IL88" i="4"/>
  <c r="IM88" i="4"/>
  <c r="IN88" i="4"/>
  <c r="IO88" i="4"/>
  <c r="IP88" i="4"/>
  <c r="IQ88" i="4"/>
  <c r="IR88" i="4"/>
  <c r="IS88" i="4"/>
  <c r="IT88" i="4"/>
  <c r="IU88" i="4"/>
  <c r="IV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ET89" i="4"/>
  <c r="EU89" i="4"/>
  <c r="EV89" i="4"/>
  <c r="EW89" i="4"/>
  <c r="EX89" i="4"/>
  <c r="EY89" i="4"/>
  <c r="EZ89" i="4"/>
  <c r="FA89" i="4"/>
  <c r="FB89" i="4"/>
  <c r="FC89" i="4"/>
  <c r="FD89" i="4"/>
  <c r="FE89" i="4"/>
  <c r="FF89" i="4"/>
  <c r="FG89" i="4"/>
  <c r="FH89" i="4"/>
  <c r="FI89" i="4"/>
  <c r="FJ89" i="4"/>
  <c r="FK89" i="4"/>
  <c r="FL89" i="4"/>
  <c r="FM89" i="4"/>
  <c r="FN89" i="4"/>
  <c r="FO89" i="4"/>
  <c r="FP89" i="4"/>
  <c r="FQ89" i="4"/>
  <c r="FR89" i="4"/>
  <c r="FS89" i="4"/>
  <c r="FT89" i="4"/>
  <c r="FU89" i="4"/>
  <c r="FV89" i="4"/>
  <c r="FW89" i="4"/>
  <c r="FX89" i="4"/>
  <c r="FY89" i="4"/>
  <c r="FZ89" i="4"/>
  <c r="GA89" i="4"/>
  <c r="GB89" i="4"/>
  <c r="GC89" i="4"/>
  <c r="GD89" i="4"/>
  <c r="GE89" i="4"/>
  <c r="GF89" i="4"/>
  <c r="GG89" i="4"/>
  <c r="GH89" i="4"/>
  <c r="GI89" i="4"/>
  <c r="GJ89" i="4"/>
  <c r="GK89" i="4"/>
  <c r="GL89" i="4"/>
  <c r="GM89" i="4"/>
  <c r="GN89" i="4"/>
  <c r="GO89" i="4"/>
  <c r="GP89" i="4"/>
  <c r="GQ89" i="4"/>
  <c r="GR89" i="4"/>
  <c r="GS89" i="4"/>
  <c r="GT89" i="4"/>
  <c r="GU89" i="4"/>
  <c r="GV89" i="4"/>
  <c r="GW89" i="4"/>
  <c r="GX89" i="4"/>
  <c r="GY89" i="4"/>
  <c r="GZ89" i="4"/>
  <c r="HA89" i="4"/>
  <c r="HB89" i="4"/>
  <c r="HC89" i="4"/>
  <c r="HD89" i="4"/>
  <c r="HE89" i="4"/>
  <c r="HF89" i="4"/>
  <c r="HG89" i="4"/>
  <c r="HH89" i="4"/>
  <c r="HI89" i="4"/>
  <c r="HJ89" i="4"/>
  <c r="HK89" i="4"/>
  <c r="HL89" i="4"/>
  <c r="HM89" i="4"/>
  <c r="HN89" i="4"/>
  <c r="HO89" i="4"/>
  <c r="HP89" i="4"/>
  <c r="HQ89" i="4"/>
  <c r="HR89" i="4"/>
  <c r="HS89" i="4"/>
  <c r="HT89" i="4"/>
  <c r="HU89" i="4"/>
  <c r="HV89" i="4"/>
  <c r="HW89" i="4"/>
  <c r="HX89" i="4"/>
  <c r="HY89" i="4"/>
  <c r="HZ89" i="4"/>
  <c r="IA89" i="4"/>
  <c r="IB89" i="4"/>
  <c r="IC89" i="4"/>
  <c r="ID89" i="4"/>
  <c r="IE89" i="4"/>
  <c r="IF89" i="4"/>
  <c r="IG89" i="4"/>
  <c r="IH89" i="4"/>
  <c r="II89" i="4"/>
  <c r="IJ89" i="4"/>
  <c r="IK89" i="4"/>
  <c r="IL89" i="4"/>
  <c r="IM89" i="4"/>
  <c r="IN89" i="4"/>
  <c r="IO89" i="4"/>
  <c r="IP89" i="4"/>
  <c r="IQ89" i="4"/>
  <c r="IR89" i="4"/>
  <c r="IS89" i="4"/>
  <c r="IT89" i="4"/>
  <c r="IU89" i="4"/>
  <c r="IV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ES90" i="4"/>
  <c r="ET90" i="4"/>
  <c r="EU90" i="4"/>
  <c r="EV90" i="4"/>
  <c r="EW90" i="4"/>
  <c r="EX90" i="4"/>
  <c r="EY90" i="4"/>
  <c r="EZ90" i="4"/>
  <c r="FA90" i="4"/>
  <c r="FB90" i="4"/>
  <c r="FC90" i="4"/>
  <c r="FD90" i="4"/>
  <c r="FE90" i="4"/>
  <c r="FF90" i="4"/>
  <c r="FG90" i="4"/>
  <c r="FH90" i="4"/>
  <c r="FI90" i="4"/>
  <c r="FJ90" i="4"/>
  <c r="FK90" i="4"/>
  <c r="FL90" i="4"/>
  <c r="FM90" i="4"/>
  <c r="FN90" i="4"/>
  <c r="FO90" i="4"/>
  <c r="FP90" i="4"/>
  <c r="FQ90" i="4"/>
  <c r="FR90" i="4"/>
  <c r="FS90" i="4"/>
  <c r="FT90" i="4"/>
  <c r="FU90" i="4"/>
  <c r="FV90" i="4"/>
  <c r="FW90" i="4"/>
  <c r="FX90" i="4"/>
  <c r="FY90" i="4"/>
  <c r="FZ90" i="4"/>
  <c r="GA90" i="4"/>
  <c r="GB90" i="4"/>
  <c r="GC90" i="4"/>
  <c r="GD90" i="4"/>
  <c r="GE90" i="4"/>
  <c r="GF90" i="4"/>
  <c r="GG90" i="4"/>
  <c r="GH90" i="4"/>
  <c r="GI90" i="4"/>
  <c r="GJ90" i="4"/>
  <c r="GK90" i="4"/>
  <c r="GL90" i="4"/>
  <c r="GM90" i="4"/>
  <c r="GN90" i="4"/>
  <c r="GO90" i="4"/>
  <c r="GP90" i="4"/>
  <c r="GQ90" i="4"/>
  <c r="GR90" i="4"/>
  <c r="GS90" i="4"/>
  <c r="GT90" i="4"/>
  <c r="GU90" i="4"/>
  <c r="GV90" i="4"/>
  <c r="GW90" i="4"/>
  <c r="GX90" i="4"/>
  <c r="GY90" i="4"/>
  <c r="GZ90" i="4"/>
  <c r="HA90" i="4"/>
  <c r="HB90" i="4"/>
  <c r="HC90" i="4"/>
  <c r="HD90" i="4"/>
  <c r="HE90" i="4"/>
  <c r="HF90" i="4"/>
  <c r="HG90" i="4"/>
  <c r="HH90" i="4"/>
  <c r="HI90" i="4"/>
  <c r="HJ90" i="4"/>
  <c r="HK90" i="4"/>
  <c r="HL90" i="4"/>
  <c r="HM90" i="4"/>
  <c r="HN90" i="4"/>
  <c r="HO90" i="4"/>
  <c r="HP90" i="4"/>
  <c r="HQ90" i="4"/>
  <c r="HR90" i="4"/>
  <c r="HS90" i="4"/>
  <c r="HT90" i="4"/>
  <c r="HU90" i="4"/>
  <c r="HV90" i="4"/>
  <c r="HW90" i="4"/>
  <c r="HX90" i="4"/>
  <c r="HY90" i="4"/>
  <c r="HZ90" i="4"/>
  <c r="IA90" i="4"/>
  <c r="IB90" i="4"/>
  <c r="IC90" i="4"/>
  <c r="ID90" i="4"/>
  <c r="IE90" i="4"/>
  <c r="IF90" i="4"/>
  <c r="IG90" i="4"/>
  <c r="IH90" i="4"/>
  <c r="II90" i="4"/>
  <c r="IJ90" i="4"/>
  <c r="IK90" i="4"/>
  <c r="IL90" i="4"/>
  <c r="IM90" i="4"/>
  <c r="IN90" i="4"/>
  <c r="IO90" i="4"/>
  <c r="IP90" i="4"/>
  <c r="IQ90" i="4"/>
  <c r="IR90" i="4"/>
  <c r="IS90" i="4"/>
  <c r="IT90" i="4"/>
  <c r="IU90" i="4"/>
  <c r="IV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ES91" i="4"/>
  <c r="ET91" i="4"/>
  <c r="EU91" i="4"/>
  <c r="EV91" i="4"/>
  <c r="EW91" i="4"/>
  <c r="EX91" i="4"/>
  <c r="EY91" i="4"/>
  <c r="EZ91" i="4"/>
  <c r="FA91" i="4"/>
  <c r="FB91" i="4"/>
  <c r="FC91" i="4"/>
  <c r="FD91" i="4"/>
  <c r="FE91" i="4"/>
  <c r="FF91" i="4"/>
  <c r="FG91" i="4"/>
  <c r="FH91" i="4"/>
  <c r="FI91" i="4"/>
  <c r="FJ91" i="4"/>
  <c r="FK91" i="4"/>
  <c r="FL91" i="4"/>
  <c r="FM91" i="4"/>
  <c r="FN91" i="4"/>
  <c r="FO91" i="4"/>
  <c r="FP91" i="4"/>
  <c r="FQ91" i="4"/>
  <c r="FR91" i="4"/>
  <c r="FS91" i="4"/>
  <c r="FT91" i="4"/>
  <c r="FU91" i="4"/>
  <c r="FV91" i="4"/>
  <c r="FW91" i="4"/>
  <c r="FX91" i="4"/>
  <c r="FY91" i="4"/>
  <c r="FZ91" i="4"/>
  <c r="GA91" i="4"/>
  <c r="GB91" i="4"/>
  <c r="GC91" i="4"/>
  <c r="GD91" i="4"/>
  <c r="GE91" i="4"/>
  <c r="GF91" i="4"/>
  <c r="GG91" i="4"/>
  <c r="GH91" i="4"/>
  <c r="GI91" i="4"/>
  <c r="GJ91" i="4"/>
  <c r="GK91" i="4"/>
  <c r="GL91" i="4"/>
  <c r="GM91" i="4"/>
  <c r="GN91" i="4"/>
  <c r="GO91" i="4"/>
  <c r="GP91" i="4"/>
  <c r="GQ91" i="4"/>
  <c r="GR91" i="4"/>
  <c r="GS91" i="4"/>
  <c r="GT91" i="4"/>
  <c r="GU91" i="4"/>
  <c r="GV91" i="4"/>
  <c r="GW91" i="4"/>
  <c r="GX91" i="4"/>
  <c r="GY91" i="4"/>
  <c r="GZ91" i="4"/>
  <c r="HA91" i="4"/>
  <c r="HB91" i="4"/>
  <c r="HC91" i="4"/>
  <c r="HD91" i="4"/>
  <c r="HE91" i="4"/>
  <c r="HF91" i="4"/>
  <c r="HG91" i="4"/>
  <c r="HH91" i="4"/>
  <c r="HI91" i="4"/>
  <c r="HJ91" i="4"/>
  <c r="HK91" i="4"/>
  <c r="HL91" i="4"/>
  <c r="HM91" i="4"/>
  <c r="HN91" i="4"/>
  <c r="HO91" i="4"/>
  <c r="HP91" i="4"/>
  <c r="HQ91" i="4"/>
  <c r="HR91" i="4"/>
  <c r="HS91" i="4"/>
  <c r="HT91" i="4"/>
  <c r="HU91" i="4"/>
  <c r="HV91" i="4"/>
  <c r="HW91" i="4"/>
  <c r="HX91" i="4"/>
  <c r="HY91" i="4"/>
  <c r="HZ91" i="4"/>
  <c r="IA91" i="4"/>
  <c r="IB91" i="4"/>
  <c r="IC91" i="4"/>
  <c r="ID91" i="4"/>
  <c r="IE91" i="4"/>
  <c r="IF91" i="4"/>
  <c r="IG91" i="4"/>
  <c r="IH91" i="4"/>
  <c r="II91" i="4"/>
  <c r="IJ91" i="4"/>
  <c r="IK91" i="4"/>
  <c r="IL91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F52" i="4"/>
  <c r="G52" i="4"/>
  <c r="H52" i="4"/>
  <c r="I52" i="4"/>
  <c r="J52" i="4"/>
  <c r="K52" i="4"/>
  <c r="L52" i="4"/>
  <c r="M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EQ52" i="4"/>
  <c r="ER52" i="4"/>
  <c r="GK52" i="4"/>
  <c r="GL52" i="4"/>
  <c r="IE52" i="4"/>
  <c r="IF52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DS53" i="4"/>
  <c r="DT53" i="4"/>
  <c r="DU53" i="4"/>
  <c r="DV53" i="4"/>
  <c r="DW53" i="4"/>
  <c r="DX53" i="4"/>
  <c r="DY53" i="4"/>
  <c r="DZ53" i="4"/>
  <c r="EA53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BC52" i="4" l="1"/>
  <c r="BA52" i="4"/>
  <c r="AW52" i="4"/>
  <c r="AS52" i="4"/>
  <c r="AO52" i="4"/>
  <c r="AK52" i="4"/>
  <c r="AI52" i="4"/>
  <c r="AE52" i="4"/>
  <c r="AA52" i="4"/>
  <c r="W52" i="4"/>
  <c r="Q52" i="4"/>
  <c r="EP52" i="4"/>
  <c r="HV52" i="4"/>
  <c r="FX52" i="4"/>
  <c r="DZ52" i="4"/>
  <c r="HF52" i="4"/>
  <c r="FH52" i="4"/>
  <c r="DJ52" i="4"/>
  <c r="IN52" i="4"/>
  <c r="GP52" i="4"/>
  <c r="BE52" i="4"/>
  <c r="AY52" i="4"/>
  <c r="AU52" i="4"/>
  <c r="AQ52" i="4"/>
  <c r="AM52" i="4"/>
  <c r="AG52" i="4"/>
  <c r="AC52" i="4"/>
  <c r="Y52" i="4"/>
  <c r="S52" i="4"/>
  <c r="O52" i="4"/>
  <c r="GJ52" i="4"/>
  <c r="EL52" i="4"/>
  <c r="Y53" i="4"/>
  <c r="HR52" i="4"/>
  <c r="FT52" i="4"/>
  <c r="DV52" i="4"/>
  <c r="I53" i="4"/>
  <c r="HB52" i="4"/>
  <c r="FD52" i="4"/>
  <c r="DF52" i="4"/>
  <c r="IJ52" i="4"/>
  <c r="IO52" i="4" l="1"/>
  <c r="GU52" i="4"/>
  <c r="FA52" i="4"/>
  <c r="DG52" i="4"/>
  <c r="N53" i="4"/>
  <c r="HK52" i="4"/>
  <c r="FQ52" i="4"/>
  <c r="DW52" i="4"/>
  <c r="AD53" i="4"/>
  <c r="IA52" i="4"/>
  <c r="GG52" i="4"/>
  <c r="EM52" i="4"/>
  <c r="AC53" i="4"/>
  <c r="IP52" i="4"/>
  <c r="GV52" i="4"/>
  <c r="FB52" i="4"/>
  <c r="DH52" i="4"/>
  <c r="G53" i="4"/>
  <c r="HD52" i="4"/>
  <c r="FJ52" i="4"/>
  <c r="DP52" i="4"/>
  <c r="W53" i="4"/>
  <c r="HT52" i="4"/>
  <c r="FZ52" i="4"/>
  <c r="EF52" i="4"/>
  <c r="P52" i="4"/>
  <c r="AF52" i="4"/>
  <c r="AZ52" i="4"/>
  <c r="DN52" i="4"/>
  <c r="ED52" i="4"/>
  <c r="EV52" i="4"/>
  <c r="FL52" i="4"/>
  <c r="GB52" i="4"/>
  <c r="GT52" i="4"/>
  <c r="HJ52" i="4"/>
  <c r="HZ52" i="4"/>
  <c r="IR52" i="4"/>
  <c r="Q53" i="4"/>
  <c r="AG53" i="4"/>
  <c r="IK52" i="4"/>
  <c r="GQ52" i="4"/>
  <c r="EW52" i="4"/>
  <c r="DC52" i="4"/>
  <c r="F53" i="4"/>
  <c r="HC52" i="4"/>
  <c r="FI52" i="4"/>
  <c r="DO52" i="4"/>
  <c r="V53" i="4"/>
  <c r="HS52" i="4"/>
  <c r="FY52" i="4"/>
  <c r="EE52" i="4"/>
  <c r="U52" i="4"/>
  <c r="M53" i="4"/>
  <c r="IL52" i="4"/>
  <c r="GR52" i="4"/>
  <c r="EX52" i="4"/>
  <c r="DD52" i="4"/>
  <c r="O53" i="4"/>
  <c r="HL52" i="4"/>
  <c r="FR52" i="4"/>
  <c r="DX52" i="4"/>
  <c r="AA53" i="4"/>
  <c r="HX52" i="4"/>
  <c r="GD52" i="4"/>
  <c r="EJ52" i="4"/>
  <c r="T52" i="4"/>
  <c r="AJ52" i="4"/>
  <c r="AV52" i="4"/>
  <c r="IM52" i="4"/>
  <c r="GS52" i="4"/>
  <c r="EY52" i="4"/>
  <c r="DE52" i="4"/>
  <c r="IU52" i="4"/>
  <c r="HA52" i="4"/>
  <c r="FG52" i="4"/>
  <c r="DM52" i="4"/>
  <c r="P53" i="4"/>
  <c r="HM52" i="4"/>
  <c r="FS52" i="4"/>
  <c r="DY52" i="4"/>
  <c r="AB53" i="4"/>
  <c r="HY52" i="4"/>
  <c r="GE52" i="4"/>
  <c r="EK52" i="4"/>
  <c r="DB52" i="4"/>
  <c r="EH52" i="4"/>
  <c r="EZ52" i="4"/>
  <c r="FP52" i="4"/>
  <c r="GX52" i="4"/>
  <c r="HN52" i="4"/>
  <c r="ID52" i="4"/>
  <c r="IV52" i="4"/>
  <c r="U53" i="4"/>
  <c r="IG52" i="4"/>
  <c r="GM52" i="4"/>
  <c r="ES52" i="4"/>
  <c r="CY52" i="4"/>
  <c r="IS52" i="4"/>
  <c r="GY52" i="4"/>
  <c r="FE52" i="4"/>
  <c r="DK52" i="4"/>
  <c r="J53" i="4"/>
  <c r="HG52" i="4"/>
  <c r="FM52" i="4"/>
  <c r="DS52" i="4"/>
  <c r="R53" i="4"/>
  <c r="HO52" i="4"/>
  <c r="FU52" i="4"/>
  <c r="EA52" i="4"/>
  <c r="Z53" i="4"/>
  <c r="HW52" i="4"/>
  <c r="GC52" i="4"/>
  <c r="EI52" i="4"/>
  <c r="IH52" i="4"/>
  <c r="GN52" i="4"/>
  <c r="ET52" i="4"/>
  <c r="CZ52" i="4"/>
  <c r="IT52" i="4"/>
  <c r="GZ52" i="4"/>
  <c r="FF52" i="4"/>
  <c r="DL52" i="4"/>
  <c r="K53" i="4"/>
  <c r="HH52" i="4"/>
  <c r="FN52" i="4"/>
  <c r="DT52" i="4"/>
  <c r="S53" i="4"/>
  <c r="HP52" i="4"/>
  <c r="FV52" i="4"/>
  <c r="EB52" i="4"/>
  <c r="AE53" i="4"/>
  <c r="IB52" i="4"/>
  <c r="GH52" i="4"/>
  <c r="EN52" i="4"/>
  <c r="X52" i="4"/>
  <c r="AB52" i="4"/>
  <c r="AN52" i="4"/>
  <c r="AR52" i="4"/>
  <c r="BD52" i="4"/>
  <c r="II52" i="4"/>
  <c r="GO52" i="4"/>
  <c r="EU52" i="4"/>
  <c r="DA52" i="4"/>
  <c r="IQ52" i="4"/>
  <c r="GW52" i="4"/>
  <c r="FC52" i="4"/>
  <c r="DI52" i="4"/>
  <c r="H53" i="4"/>
  <c r="HE52" i="4"/>
  <c r="FK52" i="4"/>
  <c r="DQ52" i="4"/>
  <c r="L53" i="4"/>
  <c r="HI52" i="4"/>
  <c r="FO52" i="4"/>
  <c r="DU52" i="4"/>
  <c r="T53" i="4"/>
  <c r="HQ52" i="4"/>
  <c r="FW52" i="4"/>
  <c r="EC52" i="4"/>
  <c r="X53" i="4"/>
  <c r="HU52" i="4"/>
  <c r="GA52" i="4"/>
  <c r="EG52" i="4"/>
  <c r="AF53" i="4"/>
  <c r="IC52" i="4"/>
  <c r="GI52" i="4"/>
  <c r="EO52" i="4"/>
  <c r="N52" i="4"/>
  <c r="R52" i="4"/>
  <c r="V52" i="4"/>
  <c r="Z52" i="4"/>
  <c r="AD52" i="4"/>
  <c r="AH52" i="4"/>
  <c r="AL52" i="4"/>
  <c r="AP52" i="4"/>
  <c r="AT52" i="4"/>
  <c r="AX52" i="4"/>
  <c r="BB52" i="4"/>
  <c r="DN53" i="4" l="1"/>
  <c r="GF52" i="4"/>
  <c r="CT53" i="4"/>
  <c r="DR52" i="4"/>
  <c r="CL53" i="4"/>
  <c r="DJ53" i="4"/>
  <c r="DR53" i="4"/>
  <c r="CX53" i="4"/>
  <c r="DB53" i="4"/>
  <c r="CH53" i="4"/>
  <c r="DM53" i="4"/>
  <c r="DA53" i="4"/>
  <c r="CO53" i="4"/>
  <c r="CG53" i="4"/>
  <c r="DL53" i="4"/>
  <c r="CZ53" i="4"/>
  <c r="CF53" i="4"/>
  <c r="DG53" i="4"/>
  <c r="CQ53" i="4"/>
  <c r="CE53" i="4"/>
  <c r="DH53" i="4"/>
  <c r="CR53" i="4"/>
  <c r="CJ53" i="4"/>
  <c r="DP53" i="4"/>
  <c r="DD53" i="4"/>
  <c r="CV53" i="4"/>
  <c r="CN53" i="4"/>
  <c r="CB53" i="4"/>
  <c r="CD53" i="4"/>
  <c r="DQ53" i="4"/>
  <c r="DI53" i="4"/>
  <c r="DE53" i="4"/>
  <c r="CW53" i="4"/>
  <c r="CS53" i="4"/>
  <c r="CK53" i="4"/>
  <c r="CC53" i="4"/>
  <c r="DK53" i="4"/>
  <c r="DC53" i="4"/>
  <c r="CU53" i="4"/>
  <c r="CM53" i="4"/>
  <c r="CA53" i="4"/>
  <c r="DF53" i="4"/>
  <c r="DO53" i="4"/>
  <c r="CY53" i="4"/>
  <c r="CI53" i="4"/>
  <c r="CP53" i="4"/>
  <c r="DX14" i="4" l="1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F13" i="4" l="1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F12" i="4" l="1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F11" i="4" l="1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GX11" i="4"/>
  <c r="GY11" i="4"/>
  <c r="GZ11" i="4"/>
  <c r="GO11" i="4"/>
  <c r="GP11" i="4"/>
  <c r="GQ11" i="4"/>
  <c r="GR11" i="4"/>
  <c r="GS11" i="4"/>
  <c r="GT11" i="4"/>
  <c r="GU11" i="4"/>
  <c r="GV11" i="4"/>
  <c r="GW11" i="4"/>
  <c r="EJ10" i="4" l="1"/>
  <c r="EF10" i="4"/>
  <c r="ED10" i="4"/>
  <c r="EB10" i="4"/>
  <c r="DX10" i="4"/>
  <c r="DV10" i="4"/>
  <c r="DT10" i="4"/>
  <c r="DP10" i="4"/>
  <c r="EH10" i="4"/>
  <c r="DZ10" i="4"/>
  <c r="DR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Q10" i="4"/>
  <c r="DS10" i="4"/>
  <c r="DU10" i="4"/>
  <c r="DW10" i="4"/>
  <c r="DY10" i="4"/>
  <c r="EA10" i="4"/>
  <c r="EC10" i="4"/>
  <c r="EE10" i="4"/>
  <c r="EG10" i="4"/>
  <c r="EI10" i="4"/>
  <c r="EK10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F9" i="4" l="1"/>
  <c r="G9" i="4"/>
  <c r="H9" i="4"/>
  <c r="I9" i="4"/>
  <c r="J9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F6" i="4" l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BR5" i="4" l="1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N5" i="4" l="1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F5" i="4" l="1"/>
  <c r="G5" i="4"/>
  <c r="H5" i="4"/>
  <c r="I5" i="4"/>
  <c r="J5" i="4"/>
  <c r="K5" i="4"/>
  <c r="L5" i="4"/>
  <c r="M5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F2" i="4" l="1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HN4" i="4" l="1"/>
  <c r="HO4" i="4"/>
  <c r="HP4" i="4"/>
  <c r="HQ4" i="4"/>
  <c r="GY4" i="4" l="1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GX4" i="4"/>
</calcChain>
</file>

<file path=xl/sharedStrings.xml><?xml version="1.0" encoding="utf-8"?>
<sst xmlns="http://schemas.openxmlformats.org/spreadsheetml/2006/main" count="68" uniqueCount="68">
  <si>
    <t>iOS</t>
  </si>
  <si>
    <t>Android</t>
  </si>
  <si>
    <t>J2SE</t>
  </si>
  <si>
    <t>J2EE</t>
  </si>
  <si>
    <t>J2ME</t>
  </si>
  <si>
    <t>SIM javalets</t>
  </si>
  <si>
    <t>D%$&amp;01_1317238d937d40eca8641c73d78c75ca</t>
  </si>
  <si>
    <t>Division R&amp;D_4756_FRANCE TELECOM_Windows (32-bit) NT 6.01_UK-ILAB-THUHUY_DTJX6443$$$24072013</t>
  </si>
  <si>
    <t>"@[y!1"</t>
  </si>
  <si>
    <t>Database(mysql,SQL server NoSQL)</t>
  </si>
  <si>
    <t>HTML5(inc JS, CSS)</t>
  </si>
  <si>
    <t>Rafel Uddin_6126_FRANCE TELECOM_Windows (32-bit) NT 6.01_UK-ILAB-RAFUDD2_TVCW5524$$$30082013</t>
  </si>
  <si>
    <t>"UFW!859"</t>
  </si>
  <si>
    <t>Division R&amp;D_6024_FRANCE TELECOM_Windows (32-bit) NT 6.01_UK-ILAB-VERRAJ_dnkg4351$$$05092013</t>
  </si>
  <si>
    <t>"Z?)!822"</t>
  </si>
  <si>
    <t>C Lobodzinski_6024_FRANCE TELECOM_Windows (32-bit) NT 6.01_UK-ILAB-CHRLOB_qhhw4622$$$27092013</t>
  </si>
  <si>
    <t>"bXY!1132"</t>
  </si>
  <si>
    <t>Scripting languages (python/bash/js/ruby...)</t>
  </si>
  <si>
    <t>Spring Framework</t>
  </si>
  <si>
    <t>ORM Frameworks (Hibernate/JPA)</t>
  </si>
  <si>
    <t>MVC Frameworks (JSF,Struts)</t>
  </si>
  <si>
    <t>Web Services (REST/SOAP)</t>
  </si>
  <si>
    <t>Unity3D/ 3D dev</t>
  </si>
  <si>
    <t>OpenGL / WebGL</t>
  </si>
  <si>
    <t>Node.js</t>
  </si>
  <si>
    <t>Division R&amp;D_7104_FRANCE TELECOM_Windows (32-bit) NT 6.01_UK-ILAB-VERRAJ_dnkg4351$$$30092013</t>
  </si>
  <si>
    <t>"V9[!588"</t>
  </si>
  <si>
    <t>Rafel Uddin_7109_FRANCE TELECOM_Windows (32-bit) NT 6.01_UK-ILAB-RAFUDD2_tvcw5524$$$09122013</t>
  </si>
  <si>
    <t>"dm/!18"</t>
  </si>
  <si>
    <t>Security Hardware (TEE)</t>
  </si>
  <si>
    <t>Network Security (f/walls, VPN, etc)</t>
  </si>
  <si>
    <t>ID &amp; Access Management</t>
  </si>
  <si>
    <t>Device Virtualisation</t>
  </si>
  <si>
    <t>NFC/RFID/ Contactless</t>
  </si>
  <si>
    <t>SIM/ Smartcard</t>
  </si>
  <si>
    <t>Big Data</t>
  </si>
  <si>
    <t>Security Testing/ Vuln. Research</t>
  </si>
  <si>
    <t>Monitoring &amp; Auditing</t>
  </si>
  <si>
    <t>telco exchange switch operation and management (ericsson and Siemens switches)</t>
  </si>
  <si>
    <t xml:space="preserve">Video codec expertise: HEVC, MPEG4, H.264, SVC (encoding, decoding, transmission compression) </t>
  </si>
  <si>
    <t>communication protocol compression (e.g. robust header compression IETF standard)</t>
  </si>
  <si>
    <t>Peer to peer protocols (Wi-Fi-direct, DLNA, UPnP, BT, NFC)</t>
  </si>
  <si>
    <t>IMS protocol knowledge</t>
  </si>
  <si>
    <t>Cloud infrastructure models and middleware</t>
  </si>
  <si>
    <t xml:space="preserve">Data provenance, provenance-aware policy language </t>
  </si>
  <si>
    <t>VoIP Enterprise telephony (unified communication CISCO platform)</t>
  </si>
  <si>
    <t>Fixed line switch network management</t>
  </si>
  <si>
    <t>Smart metering</t>
  </si>
  <si>
    <t>No knowledge</t>
  </si>
  <si>
    <t>Some experience but wouldn't feel comfortable leading a work package in that area</t>
  </si>
  <si>
    <t>Confident to lead work package without support</t>
  </si>
  <si>
    <t>Ability to assume a technical lead role. Could qualify for 'expert community'. Ability to train others or speak publically, potentially at conferences</t>
  </si>
  <si>
    <t>C/C++</t>
  </si>
  <si>
    <t>Qt</t>
  </si>
  <si>
    <t>Windows phone or C sharp</t>
  </si>
  <si>
    <t>XMPP</t>
  </si>
  <si>
    <t>RCS</t>
  </si>
  <si>
    <t>web RTC</t>
  </si>
  <si>
    <t>Crypto / Security Protocols</t>
  </si>
  <si>
    <t>Definitions</t>
  </si>
  <si>
    <t>None:</t>
  </si>
  <si>
    <t>Novice:</t>
  </si>
  <si>
    <t>Proficient:</t>
  </si>
  <si>
    <t>Expert:</t>
  </si>
  <si>
    <t>Technical Skill</t>
  </si>
  <si>
    <t>TD
Priority weighting</t>
  </si>
  <si>
    <t>Division R&amp;D_4756_FRANCE TELECOM_Windows (32-bit) NT 6.01_UK-ILAB-KISRUT_vbjw3886$$$26062014</t>
  </si>
  <si>
    <t>"`FU!19442"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</si>
</sst>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0" fontId="3" fillId="0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horizontal="right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03C"/>
      <color rgb="FFF7994B"/>
      <color rgb="FFF6882E"/>
      <color rgb="FFCEDDAB"/>
      <color rgb="FFAFC8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workbookViewId="0"/>
  </sheetViews>
  <sheetFormatPr defaultRowHeight="15" x14ac:dyDescent="0.25"/>
  <sheetData>
    <row r="1" spans="1:256" x14ac:dyDescent="0.25">
      <c r="A1" t="s">
        <v>6</v>
      </c>
      <c r="F1" t="e">
        <f>#REF!*"bXY!%"</f>
        <v>#REF!</v>
      </c>
      <c r="G1" t="e">
        <f>#REF!*"bXY!&amp;"</f>
        <v>#REF!</v>
      </c>
      <c r="H1" t="e">
        <f>#REF!*"bXY!'"</f>
        <v>#REF!</v>
      </c>
      <c r="I1" t="e">
        <f>#REF!*"bXY!("</f>
        <v>#REF!</v>
      </c>
      <c r="J1" t="e">
        <f>#REF!*"bXY!)"</f>
        <v>#REF!</v>
      </c>
      <c r="K1" t="e">
        <f>#REF!*"bXY!."</f>
        <v>#REF!</v>
      </c>
      <c r="L1" t="e">
        <f>#REF!*"bXY!/"</f>
        <v>#REF!</v>
      </c>
      <c r="M1" t="e">
        <f>#REF!*"bXY!0"</f>
        <v>#REF!</v>
      </c>
      <c r="N1" t="e">
        <f>#REF!*"bXY!1"</f>
        <v>#REF!</v>
      </c>
      <c r="O1" t="e">
        <f>#REF!*"bXY!2"</f>
        <v>#REF!</v>
      </c>
      <c r="P1" t="e">
        <f>#REF!*"bXY!3"</f>
        <v>#REF!</v>
      </c>
      <c r="Q1" t="e">
        <f>#REF!*"bXY!4"</f>
        <v>#REF!</v>
      </c>
      <c r="R1" t="e">
        <f>#REF!*"bXY!5"</f>
        <v>#REF!</v>
      </c>
      <c r="S1" t="e">
        <f>#REF!*"bXY!6"</f>
        <v>#REF!</v>
      </c>
      <c r="T1" t="e">
        <f>#REF!*"bXY!7"</f>
        <v>#REF!</v>
      </c>
      <c r="U1" t="e">
        <f>#REF!*"bXY!8"</f>
        <v>#REF!</v>
      </c>
      <c r="V1" t="e">
        <f>#REF!*"bXY!9"</f>
        <v>#REF!</v>
      </c>
      <c r="W1" t="e">
        <f>#REF!*"bXY!:"</f>
        <v>#REF!</v>
      </c>
      <c r="X1" t="e">
        <f>#REF!*"bXY!;"</f>
        <v>#REF!</v>
      </c>
      <c r="Y1" t="e">
        <f>#REF!*"bXY!&lt;"</f>
        <v>#REF!</v>
      </c>
      <c r="Z1" t="e">
        <f>#REF!*"bXY!="</f>
        <v>#REF!</v>
      </c>
      <c r="AA1" t="e">
        <f>#REF!*"bXY!&gt;"</f>
        <v>#REF!</v>
      </c>
      <c r="AB1" t="e">
        <f>#REF!*"bXY!?"</f>
        <v>#REF!</v>
      </c>
      <c r="AC1" t="e">
        <f>#REF!*"bXY!@"</f>
        <v>#REF!</v>
      </c>
      <c r="AD1" t="e">
        <f>#REF!*"bXY!A"</f>
        <v>#REF!</v>
      </c>
      <c r="AE1" t="e">
        <f>#REF!*"bXY!B"</f>
        <v>#REF!</v>
      </c>
      <c r="AF1" t="e">
        <f>#REF!*"bXY!C"</f>
        <v>#REF!</v>
      </c>
      <c r="AG1" t="e">
        <f>#REF!*"bXY!D"</f>
        <v>#REF!</v>
      </c>
      <c r="AH1" t="e">
        <f>#REF!*"bXY!E"</f>
        <v>#REF!</v>
      </c>
      <c r="AI1" t="e">
        <f>#REF!*"bXY!F"</f>
        <v>#REF!</v>
      </c>
      <c r="AJ1" t="e">
        <f>#REF!*"bXY!G"</f>
        <v>#REF!</v>
      </c>
      <c r="AK1" t="e">
        <f>#REF!*"bXY!H"</f>
        <v>#REF!</v>
      </c>
      <c r="AL1" t="e">
        <f>#REF!*"bXY!I"</f>
        <v>#REF!</v>
      </c>
      <c r="AM1" t="e">
        <f>#REF!*"bXY!J"</f>
        <v>#REF!</v>
      </c>
      <c r="AN1" t="e">
        <f>#REF!*"bXY!K"</f>
        <v>#REF!</v>
      </c>
      <c r="AO1" t="e">
        <f>#REF!*"bXY!L"</f>
        <v>#REF!</v>
      </c>
      <c r="AP1" t="e">
        <f>#REF!*"bXY!M"</f>
        <v>#REF!</v>
      </c>
      <c r="AQ1" t="e">
        <f>#REF!*"bXY!N"</f>
        <v>#REF!</v>
      </c>
      <c r="AR1" t="e">
        <f>#REF!*"bXY!O"</f>
        <v>#REF!</v>
      </c>
      <c r="AS1" t="e">
        <f>#REF!*"bXY!P"</f>
        <v>#REF!</v>
      </c>
      <c r="AT1" t="e">
        <f>#REF!*"bXY!Q"</f>
        <v>#REF!</v>
      </c>
      <c r="AU1" t="e">
        <f>#REF!*"bXY!R"</f>
        <v>#REF!</v>
      </c>
      <c r="AV1" t="e">
        <f>#REF!*"bXY!S"</f>
        <v>#REF!</v>
      </c>
      <c r="AW1" t="e">
        <f>#REF!*"bXY!T"</f>
        <v>#REF!</v>
      </c>
      <c r="AX1" t="e">
        <f>#REF!*"bXY!U"</f>
        <v>#REF!</v>
      </c>
      <c r="AY1" t="e">
        <f>#REF!*"bXY!V"</f>
        <v>#REF!</v>
      </c>
      <c r="AZ1" t="e">
        <f>#REF!*"bXY!W"</f>
        <v>#REF!</v>
      </c>
      <c r="BA1" t="e">
        <f>#REF!*"bXY!X"</f>
        <v>#REF!</v>
      </c>
      <c r="BB1" t="e">
        <f>#REF!*"bXY!Y"</f>
        <v>#REF!</v>
      </c>
      <c r="BC1" t="e">
        <f>#REF!*"bXY!Z"</f>
        <v>#REF!</v>
      </c>
      <c r="BD1" t="e">
        <f>#REF!*"bXY!["</f>
        <v>#REF!</v>
      </c>
      <c r="BE1" t="e">
        <f>#REF!*"bXY!\"</f>
        <v>#REF!</v>
      </c>
      <c r="BF1" t="e">
        <f>#REF!*"bXY!]"</f>
        <v>#REF!</v>
      </c>
      <c r="BG1" t="e">
        <f>#REF!*"bXY!^"</f>
        <v>#REF!</v>
      </c>
      <c r="BH1" t="e">
        <f>#REF!*"bXY!_"</f>
        <v>#REF!</v>
      </c>
      <c r="BI1" t="e">
        <f>#REF!*"bXY!`"</f>
        <v>#REF!</v>
      </c>
      <c r="BJ1" t="e">
        <f>#REF!*"bXY!a"</f>
        <v>#REF!</v>
      </c>
      <c r="BK1" t="e">
        <f>#REF!*"bXY!b"</f>
        <v>#REF!</v>
      </c>
      <c r="BL1" t="e">
        <f>#REF!*"bXY!c"</f>
        <v>#REF!</v>
      </c>
      <c r="BM1" t="e">
        <f>#REF!*"bXY!d"</f>
        <v>#REF!</v>
      </c>
      <c r="BN1" t="e">
        <f>#REF!*"bXY!e"</f>
        <v>#REF!</v>
      </c>
      <c r="BO1" t="e">
        <f>#REF!*"bXY!f"</f>
        <v>#REF!</v>
      </c>
      <c r="BP1" t="e">
        <f>#REF!*"bXY!g"</f>
        <v>#REF!</v>
      </c>
      <c r="BQ1" t="e">
        <f>#REF!*"bXY!h"</f>
        <v>#REF!</v>
      </c>
      <c r="BR1" t="e">
        <f>#REF!*"bXY!i"</f>
        <v>#REF!</v>
      </c>
      <c r="BS1" t="e">
        <f>#REF!*"bXY!j"</f>
        <v>#REF!</v>
      </c>
      <c r="BT1" t="e">
        <f>#REF!*"bXY!k"</f>
        <v>#REF!</v>
      </c>
      <c r="BU1" t="e">
        <f>#REF!*"bXY!l"</f>
        <v>#REF!</v>
      </c>
      <c r="BV1" t="e">
        <f>#REF!*"bXY!m"</f>
        <v>#REF!</v>
      </c>
      <c r="BW1" t="e">
        <f>#REF!*"bXY!n"</f>
        <v>#REF!</v>
      </c>
      <c r="BX1" t="e">
        <f>#REF!*"bXY!o"</f>
        <v>#REF!</v>
      </c>
      <c r="BY1" t="e">
        <f>#REF!*"bXY!p"</f>
        <v>#REF!</v>
      </c>
      <c r="BZ1" t="e">
        <f>#REF!*"bXY!q"</f>
        <v>#REF!</v>
      </c>
      <c r="CA1" t="e">
        <f>#REF!*"bXY!r"</f>
        <v>#REF!</v>
      </c>
      <c r="CB1" t="e">
        <f>#REF!-"bXY!s"</f>
        <v>#REF!</v>
      </c>
      <c r="CC1" t="e">
        <f>#REF!-"bXY!t"</f>
        <v>#REF!</v>
      </c>
      <c r="CD1" t="e">
        <f>#REF!-"bXY!u"</f>
        <v>#REF!</v>
      </c>
      <c r="CE1" t="e">
        <f>#REF!-"bXY!v"</f>
        <v>#REF!</v>
      </c>
      <c r="CF1" t="e">
        <f>#REF!-"bXY!w"</f>
        <v>#REF!</v>
      </c>
      <c r="CG1" t="e">
        <f>#REF!-"bXY!x"</f>
        <v>#REF!</v>
      </c>
      <c r="CH1" t="e">
        <f>#REF!-"bXY!y"</f>
        <v>#REF!</v>
      </c>
      <c r="CI1" t="e">
        <f>#REF!-"bXY!z"</f>
        <v>#REF!</v>
      </c>
      <c r="CJ1" t="e">
        <f>#REF!-"bXY!{"</f>
        <v>#REF!</v>
      </c>
      <c r="CK1" t="e">
        <f>#REF!-"bXY!|"</f>
        <v>#REF!</v>
      </c>
      <c r="CL1" t="e">
        <f>#REF!-"bXY!}"</f>
        <v>#REF!</v>
      </c>
      <c r="CM1" t="e">
        <f>#REF!-"bXY!~"</f>
        <v>#REF!</v>
      </c>
      <c r="CN1" t="e">
        <f>#REF!-"bXY!$#"</f>
        <v>#REF!</v>
      </c>
      <c r="CO1" t="e">
        <f>#REF!-"bXY!$$"</f>
        <v>#REF!</v>
      </c>
      <c r="CP1" t="e">
        <f>#REF!-"bXY!$%"</f>
        <v>#REF!</v>
      </c>
      <c r="CQ1" t="e">
        <f>#REF!-"bXY!$&amp;"</f>
        <v>#REF!</v>
      </c>
      <c r="CR1" t="e">
        <f>#REF!-"bXY!$'"</f>
        <v>#REF!</v>
      </c>
      <c r="CS1" t="e">
        <f>#REF!-"bXY!$("</f>
        <v>#REF!</v>
      </c>
      <c r="CT1" t="e">
        <f>#REF!-"bXY!$)"</f>
        <v>#REF!</v>
      </c>
      <c r="CU1" t="e">
        <f>#REF!-"bXY!$."</f>
        <v>#REF!</v>
      </c>
      <c r="CV1" t="e">
        <f>#REF!-"bXY!$/"</f>
        <v>#REF!</v>
      </c>
      <c r="CW1" t="e">
        <f>#REF!-"bXY!$0"</f>
        <v>#REF!</v>
      </c>
      <c r="CX1" t="e">
        <f>#REF!-"bXY!$1"</f>
        <v>#REF!</v>
      </c>
      <c r="CY1" t="e">
        <f>#REF!-"bXY!$2"</f>
        <v>#REF!</v>
      </c>
      <c r="CZ1" t="e">
        <f>#REF!-"bXY!$3"</f>
        <v>#REF!</v>
      </c>
      <c r="DA1" t="e">
        <f>#REF!-"bXY!$4"</f>
        <v>#REF!</v>
      </c>
      <c r="DB1" t="e">
        <f>#REF!-"bXY!$5"</f>
        <v>#REF!</v>
      </c>
      <c r="DC1" t="e">
        <f>#REF!-"bXY!$6"</f>
        <v>#REF!</v>
      </c>
      <c r="DD1" t="e">
        <f>#REF!-"bXY!$7"</f>
        <v>#REF!</v>
      </c>
      <c r="DE1" t="e">
        <f>#REF!-"bXY!$8"</f>
        <v>#REF!</v>
      </c>
      <c r="DF1" t="e">
        <f>#REF!-"bXY!$9"</f>
        <v>#REF!</v>
      </c>
      <c r="DG1" t="e">
        <f>#REF!-"bXY!$:"</f>
        <v>#REF!</v>
      </c>
      <c r="DH1" t="e">
        <f>#REF!-"bXY!$;"</f>
        <v>#REF!</v>
      </c>
      <c r="DI1" t="e">
        <f>#REF!-"bXY!$&lt;"</f>
        <v>#REF!</v>
      </c>
      <c r="DJ1" t="e">
        <f>#REF!-"bXY!$="</f>
        <v>#REF!</v>
      </c>
      <c r="DK1" t="e">
        <f>#REF!-"bXY!$&gt;"</f>
        <v>#REF!</v>
      </c>
      <c r="DL1" t="e">
        <f>#REF!-"bXY!$?"</f>
        <v>#REF!</v>
      </c>
      <c r="DM1" t="e">
        <f>#REF!-"bXY!$@"</f>
        <v>#REF!</v>
      </c>
      <c r="DN1" t="e">
        <f>#REF!-"bXY!$A"</f>
        <v>#REF!</v>
      </c>
      <c r="DO1" t="e">
        <f>#REF!-"bXY!$B"</f>
        <v>#REF!</v>
      </c>
      <c r="DP1" t="e">
        <f>#REF!-"bXY!$C"</f>
        <v>#REF!</v>
      </c>
      <c r="DQ1" t="e">
        <f>#REF!-"bXY!$D"</f>
        <v>#REF!</v>
      </c>
      <c r="DR1" t="e">
        <f>#REF!-"bXY!$E"</f>
        <v>#REF!</v>
      </c>
      <c r="DS1" t="e">
        <f>#REF!-"bXY!$F"</f>
        <v>#REF!</v>
      </c>
      <c r="DT1" t="e">
        <f>#REF!-"bXY!$G"</f>
        <v>#REF!</v>
      </c>
      <c r="DU1" t="e">
        <f>#REF!-"bXY!$H"</f>
        <v>#REF!</v>
      </c>
      <c r="DV1" t="e">
        <f>#REF!-"bXY!$I"</f>
        <v>#REF!</v>
      </c>
      <c r="DW1" t="e">
        <f>#REF!-"bXY!$J"</f>
        <v>#REF!</v>
      </c>
      <c r="DX1" t="e">
        <f>#REF!-"bXY!$K"</f>
        <v>#REF!</v>
      </c>
      <c r="DY1" t="e">
        <f>#REF!-"bXY!$L"</f>
        <v>#REF!</v>
      </c>
      <c r="DZ1" t="e">
        <f>#REF!-"bXY!$M"</f>
        <v>#REF!</v>
      </c>
      <c r="EA1" t="e">
        <f>#REF!-"bXY!$N"</f>
        <v>#REF!</v>
      </c>
      <c r="EB1" t="e">
        <f>#REF!-"bXY!$O"</f>
        <v>#REF!</v>
      </c>
      <c r="EC1" t="e">
        <f>#REF!-"bXY!$P"</f>
        <v>#REF!</v>
      </c>
      <c r="ED1" t="e">
        <f>#REF!-"bXY!$Q"</f>
        <v>#REF!</v>
      </c>
      <c r="EE1" t="e">
        <f>#REF!-"bXY!$R"</f>
        <v>#REF!</v>
      </c>
      <c r="EF1" t="e">
        <f>#REF!-"bXY!$S"</f>
        <v>#REF!</v>
      </c>
      <c r="EG1" t="e">
        <f>#REF!-"bXY!$T"</f>
        <v>#REF!</v>
      </c>
      <c r="EH1" t="e">
        <f>#REF!-"bXY!$U"</f>
        <v>#REF!</v>
      </c>
      <c r="EI1" t="e">
        <f>#REF!-"bXY!$V"</f>
        <v>#REF!</v>
      </c>
      <c r="EJ1" t="e">
        <f>#REF!-"bXY!$W"</f>
        <v>#REF!</v>
      </c>
      <c r="EK1" t="e">
        <f>#REF!-"bXY!$X"</f>
        <v>#REF!</v>
      </c>
      <c r="EL1" t="e">
        <f>#REF!-"bXY!$Y"</f>
        <v>#REF!</v>
      </c>
      <c r="EM1" t="e">
        <f>#REF!-"bXY!$Z"</f>
        <v>#REF!</v>
      </c>
      <c r="EN1" t="e">
        <f>#REF!-"bXY!$["</f>
        <v>#REF!</v>
      </c>
      <c r="EO1" t="e">
        <f>#REF!-"bXY!$\"</f>
        <v>#REF!</v>
      </c>
      <c r="EP1" t="e">
        <f>#REF!-"bXY!$]"</f>
        <v>#REF!</v>
      </c>
      <c r="EQ1" t="e">
        <f>#REF!-"bXY!$^"</f>
        <v>#REF!</v>
      </c>
      <c r="ER1" t="e">
        <f>#REF!-"bXY!$_"</f>
        <v>#REF!</v>
      </c>
      <c r="ES1" t="e">
        <f>#REF!-"bXY!$`"</f>
        <v>#REF!</v>
      </c>
      <c r="ET1" t="e">
        <f>#REF!-"bXY!$a"</f>
        <v>#REF!</v>
      </c>
      <c r="EU1" t="e">
        <f>#REF!-"bXY!$b"</f>
        <v>#REF!</v>
      </c>
      <c r="EV1" t="e">
        <f>#REF!-"bXY!$c"</f>
        <v>#REF!</v>
      </c>
      <c r="EW1" t="e">
        <f>#REF!-"bXY!$d"</f>
        <v>#REF!</v>
      </c>
      <c r="EX1" t="e">
        <f>#REF!-"bXY!$e"</f>
        <v>#REF!</v>
      </c>
      <c r="EY1" t="e">
        <f>#REF!-"bXY!$f"</f>
        <v>#REF!</v>
      </c>
      <c r="EZ1" t="e">
        <f>#REF!-"bXY!$g"</f>
        <v>#REF!</v>
      </c>
      <c r="FA1" t="e">
        <f>#REF!-"bXY!$h"</f>
        <v>#REF!</v>
      </c>
      <c r="FB1" t="e">
        <f>#REF!-"bXY!$i"</f>
        <v>#REF!</v>
      </c>
      <c r="FC1" t="e">
        <f>#REF!-"bXY!$j"</f>
        <v>#REF!</v>
      </c>
      <c r="FD1" t="e">
        <f>#REF!-"bXY!$k"</f>
        <v>#REF!</v>
      </c>
      <c r="FE1" t="e">
        <f>#REF!-"bXY!$l"</f>
        <v>#REF!</v>
      </c>
      <c r="FF1" t="e">
        <f>#REF!-"bXY!$m"</f>
        <v>#REF!</v>
      </c>
      <c r="FG1" t="e">
        <f>#REF!-"bXY!$n"</f>
        <v>#REF!</v>
      </c>
      <c r="FH1" t="e">
        <f>#REF!-"bXY!$o"</f>
        <v>#REF!</v>
      </c>
      <c r="FI1" t="e">
        <f>#REF!-"bXY!$p"</f>
        <v>#REF!</v>
      </c>
      <c r="FJ1" t="e">
        <f>#REF!-"bXY!$q"</f>
        <v>#REF!</v>
      </c>
      <c r="FK1" t="e">
        <f>#REF!-"bXY!$r"</f>
        <v>#REF!</v>
      </c>
      <c r="FL1" t="e">
        <f>#REF!-"bXY!$s"</f>
        <v>#REF!</v>
      </c>
      <c r="FM1" t="e">
        <f>#REF!-"bXY!$t"</f>
        <v>#REF!</v>
      </c>
      <c r="FN1" t="e">
        <f>#REF!-"bXY!$u"</f>
        <v>#REF!</v>
      </c>
      <c r="FO1" t="e">
        <f>#REF!-"bXY!$v"</f>
        <v>#REF!</v>
      </c>
      <c r="FP1" t="e">
        <f>#REF!-"bXY!$w"</f>
        <v>#REF!</v>
      </c>
      <c r="FQ1" t="e">
        <f>#REF!-"bXY!$x"</f>
        <v>#REF!</v>
      </c>
      <c r="FR1" t="e">
        <f>#REF!-"bXY!$y"</f>
        <v>#REF!</v>
      </c>
      <c r="FS1" t="e">
        <f>#REF!-"bXY!$z"</f>
        <v>#REF!</v>
      </c>
      <c r="FT1" t="e">
        <f>#REF!-"bXY!${"</f>
        <v>#REF!</v>
      </c>
      <c r="FU1" t="e">
        <f>#REF!-"bXY!$|"</f>
        <v>#REF!</v>
      </c>
      <c r="FV1" t="e">
        <f>#REF!-"bXY!$}"</f>
        <v>#REF!</v>
      </c>
      <c r="FW1" t="e">
        <f>#REF!-"bXY!$~"</f>
        <v>#REF!</v>
      </c>
      <c r="FX1" t="e">
        <f>#REF!-"bXY!%#"</f>
        <v>#REF!</v>
      </c>
      <c r="FY1" t="e">
        <f>#REF!-"bXY!%$"</f>
        <v>#REF!</v>
      </c>
      <c r="FZ1" t="e">
        <f>#REF!-"bXY!%%"</f>
        <v>#REF!</v>
      </c>
      <c r="GA1" t="e">
        <f>#REF!-"bXY!%&amp;"</f>
        <v>#REF!</v>
      </c>
      <c r="GB1" t="e">
        <f>#REF!-"bXY!%'"</f>
        <v>#REF!</v>
      </c>
      <c r="GC1" t="e">
        <f>#REF!-"bXY!%("</f>
        <v>#REF!</v>
      </c>
      <c r="GD1" t="e">
        <f>#REF!-"bXY!%)"</f>
        <v>#REF!</v>
      </c>
      <c r="GE1" t="e">
        <f>#REF!-"bXY!%."</f>
        <v>#REF!</v>
      </c>
      <c r="GF1" t="e">
        <f>#REF!-"bXY!%/"</f>
        <v>#REF!</v>
      </c>
      <c r="GG1" t="e">
        <f>#REF!-"bXY!%0"</f>
        <v>#REF!</v>
      </c>
      <c r="GH1" t="e">
        <f>#REF!-"bXY!%1"</f>
        <v>#REF!</v>
      </c>
      <c r="GI1" t="e">
        <f>#REF!-"bXY!%2"</f>
        <v>#REF!</v>
      </c>
      <c r="GJ1" t="e">
        <f>#REF!-"bXY!%3"</f>
        <v>#REF!</v>
      </c>
      <c r="GK1" t="e">
        <f>#REF!-"bXY!%4"</f>
        <v>#REF!</v>
      </c>
      <c r="GL1" t="e">
        <f>#REF!-"bXY!%5"</f>
        <v>#REF!</v>
      </c>
      <c r="GM1" t="e">
        <f>#REF!-"bXY!%6"</f>
        <v>#REF!</v>
      </c>
      <c r="GN1" t="e">
        <f>#REF!-"bXY!%7"</f>
        <v>#REF!</v>
      </c>
      <c r="GO1" t="e">
        <f>#REF!-"bXY!%8"</f>
        <v>#REF!</v>
      </c>
      <c r="GP1" t="e">
        <f>#REF!-"bXY!%9"</f>
        <v>#REF!</v>
      </c>
      <c r="GQ1" t="e">
        <f>#REF!-"bXY!%:"</f>
        <v>#REF!</v>
      </c>
      <c r="GR1" t="e">
        <f>#REF!-"bXY!%;"</f>
        <v>#REF!</v>
      </c>
      <c r="GS1" t="e">
        <f>#REF!-"bXY!%&lt;"</f>
        <v>#REF!</v>
      </c>
      <c r="GT1" t="e">
        <f>#REF!-"bXY!%="</f>
        <v>#REF!</v>
      </c>
      <c r="GU1" t="e">
        <f>#REF!-"bXY!%&gt;"</f>
        <v>#REF!</v>
      </c>
      <c r="GV1" t="e">
        <f>#REF!-"bXY!%?"</f>
        <v>#REF!</v>
      </c>
      <c r="GW1" t="e">
        <f>#REF!-"bXY!%@"</f>
        <v>#REF!</v>
      </c>
      <c r="GX1" t="e">
        <f>#REF!-"bXY!%A"</f>
        <v>#REF!</v>
      </c>
      <c r="GY1" t="e">
        <f>#REF!-"bXY!%B"</f>
        <v>#REF!</v>
      </c>
      <c r="GZ1" t="e">
        <f>#REF!-"bXY!%C"</f>
        <v>#REF!</v>
      </c>
      <c r="HA1" t="e">
        <f>#REF!-"bXY!%D"</f>
        <v>#REF!</v>
      </c>
      <c r="HB1" t="e">
        <f>#REF!-"bXY!%E"</f>
        <v>#REF!</v>
      </c>
      <c r="HC1" t="e">
        <f>#REF!-"bXY!%F"</f>
        <v>#REF!</v>
      </c>
      <c r="HD1" t="e">
        <f>#REF!-"bXY!%G"</f>
        <v>#REF!</v>
      </c>
      <c r="HE1" t="e">
        <f>#REF!-"bXY!%H"</f>
        <v>#REF!</v>
      </c>
      <c r="HF1" t="e">
        <f>#REF!-"bXY!%I"</f>
        <v>#REF!</v>
      </c>
      <c r="HG1" t="e">
        <f>#REF!-"bXY!%J"</f>
        <v>#REF!</v>
      </c>
      <c r="HH1" t="e">
        <f>#REF!-"bXY!%K"</f>
        <v>#REF!</v>
      </c>
      <c r="HI1" t="e">
        <f>#REF!-"bXY!%L"</f>
        <v>#REF!</v>
      </c>
      <c r="HJ1" t="e">
        <f>#REF!-"bXY!%M"</f>
        <v>#REF!</v>
      </c>
      <c r="HK1" t="e">
        <f>#REF!-"bXY!%N"</f>
        <v>#REF!</v>
      </c>
      <c r="HL1" t="e">
        <f>#REF!-"bXY!%O"</f>
        <v>#REF!</v>
      </c>
      <c r="HM1" t="e">
        <f>#REF!-"bXY!%P"</f>
        <v>#REF!</v>
      </c>
      <c r="HN1" t="e">
        <f>#REF!-"bXY!%Q"</f>
        <v>#REF!</v>
      </c>
      <c r="HO1" t="e">
        <f>#REF!-"bXY!%R"</f>
        <v>#REF!</v>
      </c>
      <c r="HP1" t="e">
        <f>#REF!-"bXY!%S"</f>
        <v>#REF!</v>
      </c>
      <c r="HQ1" t="e">
        <f>#REF!-"bXY!%T"</f>
        <v>#REF!</v>
      </c>
      <c r="HR1" t="e">
        <f>#REF!-"bXY!%U"</f>
        <v>#REF!</v>
      </c>
      <c r="HS1" t="e">
        <f>#REF!-"bXY!%V"</f>
        <v>#REF!</v>
      </c>
      <c r="HT1" t="e">
        <f>#REF!-"bXY!%W"</f>
        <v>#REF!</v>
      </c>
      <c r="HU1" t="e">
        <f>#REF!-"bXY!%X"</f>
        <v>#REF!</v>
      </c>
      <c r="HV1" t="e">
        <f>#REF!-"bXY!%Y"</f>
        <v>#REF!</v>
      </c>
      <c r="HW1" t="e">
        <f>#REF!-"bXY!%Z"</f>
        <v>#REF!</v>
      </c>
      <c r="HX1" t="e">
        <f>#REF!-"bXY!%["</f>
        <v>#REF!</v>
      </c>
      <c r="HY1" t="e">
        <f>#REF!-"bXY!%\"</f>
        <v>#REF!</v>
      </c>
      <c r="HZ1" t="e">
        <f>#REF!-"bXY!%]"</f>
        <v>#REF!</v>
      </c>
      <c r="IA1" t="e">
        <f>#REF!-"bXY!%^"</f>
        <v>#REF!</v>
      </c>
      <c r="IB1" t="e">
        <f>#REF!-"bXY!%_"</f>
        <v>#REF!</v>
      </c>
      <c r="IC1" t="e">
        <f>#REF!-"bXY!%`"</f>
        <v>#REF!</v>
      </c>
      <c r="ID1" t="e">
        <f>#REF!-"bXY!%a"</f>
        <v>#REF!</v>
      </c>
      <c r="IE1" t="e">
        <f>#REF!-"bXY!%b"</f>
        <v>#REF!</v>
      </c>
      <c r="IF1" t="e">
        <f>#REF!-"bXY!%c"</f>
        <v>#REF!</v>
      </c>
      <c r="IG1" t="e">
        <f>#REF!-"bXY!%d"</f>
        <v>#REF!</v>
      </c>
      <c r="IH1" t="e">
        <f>#REF!-"bXY!%e"</f>
        <v>#REF!</v>
      </c>
      <c r="II1" t="e">
        <f>#REF!-"bXY!%f"</f>
        <v>#REF!</v>
      </c>
      <c r="IJ1" t="e">
        <f>#REF!-"bXY!%g"</f>
        <v>#REF!</v>
      </c>
      <c r="IK1" t="e">
        <f>#REF!-"bXY!%h"</f>
        <v>#REF!</v>
      </c>
      <c r="IL1" t="e">
        <f>#REF!-"bXY!%i"</f>
        <v>#REF!</v>
      </c>
      <c r="IM1" t="e">
        <f>#REF!-"bXY!%j"</f>
        <v>#REF!</v>
      </c>
      <c r="IN1" t="e">
        <f>#REF!-"bXY!%k"</f>
        <v>#REF!</v>
      </c>
      <c r="IO1" t="e">
        <f>#REF!-"bXY!%l"</f>
        <v>#REF!</v>
      </c>
      <c r="IP1" t="e">
        <f>#REF!-"bXY!%m"</f>
        <v>#REF!</v>
      </c>
      <c r="IQ1" t="e">
        <f>#REF!-"bXY!%n"</f>
        <v>#REF!</v>
      </c>
      <c r="IR1" t="e">
        <f>#REF!-"bXY!%o"</f>
        <v>#REF!</v>
      </c>
      <c r="IS1" t="e">
        <f>#REF!-"bXY!%p"</f>
        <v>#REF!</v>
      </c>
      <c r="IT1" t="e">
        <f>#REF!-"bXY!%q"</f>
        <v>#REF!</v>
      </c>
      <c r="IU1" t="e">
        <f>#REF!-"bXY!%r"</f>
        <v>#REF!</v>
      </c>
      <c r="IV1" t="e">
        <f>#REF!-"bXY!%s"</f>
        <v>#REF!</v>
      </c>
    </row>
    <row r="2" spans="1:256" x14ac:dyDescent="0.25">
      <c r="A2" t="s">
        <v>15</v>
      </c>
      <c r="F2" t="e">
        <f>#REF!-"bXY!%t"</f>
        <v>#REF!</v>
      </c>
      <c r="G2" t="e">
        <f>#REF!-"bXY!%u"</f>
        <v>#REF!</v>
      </c>
      <c r="H2" t="e">
        <f>#REF!-"bXY!%v"</f>
        <v>#REF!</v>
      </c>
      <c r="I2" t="e">
        <f>#REF!-"bXY!%w"</f>
        <v>#REF!</v>
      </c>
      <c r="J2" t="e">
        <f>#REF!-"bXY!%x"</f>
        <v>#REF!</v>
      </c>
      <c r="K2" t="e">
        <f>#REF!-"bXY!%y"</f>
        <v>#REF!</v>
      </c>
      <c r="L2" t="e">
        <f>#REF!-"bXY!%z"</f>
        <v>#REF!</v>
      </c>
      <c r="M2" t="e">
        <f>#REF!-"bXY!%{"</f>
        <v>#REF!</v>
      </c>
      <c r="N2" t="e">
        <f>#REF!-"bXY!%|"</f>
        <v>#REF!</v>
      </c>
      <c r="O2" t="e">
        <f>#REF!-"bXY!%}"</f>
        <v>#REF!</v>
      </c>
      <c r="P2" t="e">
        <f>#REF!-"bXY!%~"</f>
        <v>#REF!</v>
      </c>
      <c r="Q2" t="e">
        <f>#REF!-"bXY!&amp;#"</f>
        <v>#REF!</v>
      </c>
      <c r="R2" t="e">
        <f>#REF!-"bXY!&amp;$"</f>
        <v>#REF!</v>
      </c>
      <c r="S2" t="e">
        <f>#REF!-"bXY!&amp;%"</f>
        <v>#REF!</v>
      </c>
      <c r="T2" t="e">
        <f>#REF!-"bXY!&amp;&amp;"</f>
        <v>#REF!</v>
      </c>
      <c r="U2" t="e">
        <f>#REF!-"bXY!&amp;'"</f>
        <v>#REF!</v>
      </c>
      <c r="V2" t="e">
        <f>#REF!-"bXY!&amp;("</f>
        <v>#REF!</v>
      </c>
      <c r="W2" t="e">
        <f>#REF!-"bXY!&amp;)"</f>
        <v>#REF!</v>
      </c>
      <c r="X2" t="e">
        <f>#REF!-"bXY!&amp;."</f>
        <v>#REF!</v>
      </c>
      <c r="Y2" t="e">
        <f>#REF!-"bXY!&amp;/"</f>
        <v>#REF!</v>
      </c>
      <c r="Z2" t="e">
        <f>#REF!-"bXY!&amp;0"</f>
        <v>#REF!</v>
      </c>
      <c r="AA2" t="e">
        <f>#REF!-"bXY!&amp;1"</f>
        <v>#REF!</v>
      </c>
      <c r="AB2" t="e">
        <f>#REF!-"bXY!&amp;2"</f>
        <v>#REF!</v>
      </c>
      <c r="AC2" t="e">
        <f>#REF!-"bXY!&amp;3"</f>
        <v>#REF!</v>
      </c>
      <c r="AD2" t="e">
        <f>#REF!-"bXY!&amp;4"</f>
        <v>#REF!</v>
      </c>
      <c r="AE2" t="e">
        <f>#REF!-"bXY!&amp;5"</f>
        <v>#REF!</v>
      </c>
      <c r="AF2" t="e">
        <f>#REF!-"bXY!&amp;6"</f>
        <v>#REF!</v>
      </c>
      <c r="AG2" t="e">
        <f>#REF!-"bXY!&amp;7"</f>
        <v>#REF!</v>
      </c>
      <c r="AH2" t="e">
        <f>#REF!-"bXY!&amp;8"</f>
        <v>#REF!</v>
      </c>
      <c r="AI2" t="e">
        <f>#REF!-"bXY!&amp;9"</f>
        <v>#REF!</v>
      </c>
      <c r="AJ2" t="e">
        <f>#REF!-"bXY!&amp;:"</f>
        <v>#REF!</v>
      </c>
      <c r="AK2" t="e">
        <f>#REF!-"bXY!&amp;;"</f>
        <v>#REF!</v>
      </c>
      <c r="AL2" t="e">
        <f>#REF!-"bXY!&amp;&lt;"</f>
        <v>#REF!</v>
      </c>
      <c r="AM2" t="e">
        <f>#REF!-"bXY!&amp;="</f>
        <v>#REF!</v>
      </c>
      <c r="AN2" t="e">
        <f>#REF!-"bXY!&amp;&gt;"</f>
        <v>#REF!</v>
      </c>
      <c r="AO2" t="e">
        <f>#REF!-"bXY!&amp;?"</f>
        <v>#REF!</v>
      </c>
      <c r="AP2" t="e">
        <f>#REF!-"bXY!&amp;@"</f>
        <v>#REF!</v>
      </c>
      <c r="AQ2" t="e">
        <f>#REF!-"bXY!&amp;A"</f>
        <v>#REF!</v>
      </c>
      <c r="AR2" t="e">
        <f>#REF!-"bXY!&amp;B"</f>
        <v>#REF!</v>
      </c>
      <c r="AS2" t="e">
        <f>#REF!-"bXY!&amp;C"</f>
        <v>#REF!</v>
      </c>
      <c r="AT2" t="e">
        <f>#REF!-"bXY!&amp;D"</f>
        <v>#REF!</v>
      </c>
      <c r="AU2" t="e">
        <f>#REF!-"bXY!&amp;E"</f>
        <v>#REF!</v>
      </c>
      <c r="AV2" t="e">
        <f>#REF!-"bXY!&amp;F"</f>
        <v>#REF!</v>
      </c>
      <c r="AW2" t="e">
        <f>#REF!-"bXY!&amp;G"</f>
        <v>#REF!</v>
      </c>
      <c r="AX2" t="e">
        <f>#REF!-"bXY!&amp;H"</f>
        <v>#REF!</v>
      </c>
      <c r="AY2" t="e">
        <f>#REF!-"bXY!&amp;I"</f>
        <v>#REF!</v>
      </c>
      <c r="AZ2" t="e">
        <f>#REF!-"bXY!&amp;J"</f>
        <v>#REF!</v>
      </c>
      <c r="BA2" t="e">
        <f>#REF!-"bXY!&amp;K"</f>
        <v>#REF!</v>
      </c>
      <c r="BB2" t="e">
        <f>#REF!-"bXY!&amp;L"</f>
        <v>#REF!</v>
      </c>
      <c r="BC2" t="e">
        <f>#REF!-"bXY!&amp;M"</f>
        <v>#REF!</v>
      </c>
      <c r="BD2" t="e">
        <f>#REF!-"bXY!&amp;N"</f>
        <v>#REF!</v>
      </c>
      <c r="BE2" t="e">
        <f>#REF!-"bXY!&amp;O"</f>
        <v>#REF!</v>
      </c>
      <c r="BF2" t="e">
        <f>#REF!-"bXY!&amp;P"</f>
        <v>#REF!</v>
      </c>
      <c r="BG2" t="e">
        <f>#REF!-"bXY!&amp;Q"</f>
        <v>#REF!</v>
      </c>
      <c r="BH2" t="e">
        <f>#REF!-"bXY!&amp;R"</f>
        <v>#REF!</v>
      </c>
      <c r="BI2" t="e">
        <f>#REF!+"bXY!&amp;S"</f>
        <v>#REF!</v>
      </c>
      <c r="BJ2" t="e">
        <f>#REF!+"bXY!&amp;T"</f>
        <v>#REF!</v>
      </c>
      <c r="BK2" t="e">
        <f>#REF!+"bXY!&amp;U"</f>
        <v>#REF!</v>
      </c>
      <c r="BL2" t="e">
        <f>#REF!+"bXY!&amp;V"</f>
        <v>#REF!</v>
      </c>
      <c r="BM2" t="e">
        <f>#REF!+"bXY!&amp;W"</f>
        <v>#REF!</v>
      </c>
      <c r="BN2" t="e">
        <f>#REF!+"bXY!&amp;X"</f>
        <v>#REF!</v>
      </c>
      <c r="BO2" t="e">
        <f>#REF!+"bXY!&amp;Y"</f>
        <v>#REF!</v>
      </c>
      <c r="BP2" t="e">
        <f>#REF!+"bXY!&amp;Z"</f>
        <v>#REF!</v>
      </c>
      <c r="BQ2" t="e">
        <f>#REF!+"bXY!&amp;["</f>
        <v>#REF!</v>
      </c>
      <c r="BR2" t="e">
        <f>#REF!+"bXY!&amp;\"</f>
        <v>#REF!</v>
      </c>
      <c r="BS2" t="e">
        <f>#REF!+"bXY!&amp;]"</f>
        <v>#REF!</v>
      </c>
      <c r="BT2" t="e">
        <f>#REF!+"bXY!&amp;^"</f>
        <v>#REF!</v>
      </c>
      <c r="BU2" t="e">
        <f>#REF!+"bXY!&amp;_"</f>
        <v>#REF!</v>
      </c>
      <c r="BV2" t="e">
        <f>#REF!+"bXY!&amp;`"</f>
        <v>#REF!</v>
      </c>
      <c r="BW2" t="e">
        <f>#REF!+"bXY!&amp;a"</f>
        <v>#REF!</v>
      </c>
      <c r="BX2" t="e">
        <f>#REF!+"bXY!&amp;b"</f>
        <v>#REF!</v>
      </c>
      <c r="BY2" t="e">
        <f>#REF!+"bXY!&amp;c"</f>
        <v>#REF!</v>
      </c>
      <c r="BZ2" t="e">
        <f>#REF!+"bXY!&amp;d"</f>
        <v>#REF!</v>
      </c>
      <c r="CA2" t="e">
        <f>#REF!+"bXY!&amp;e"</f>
        <v>#REF!</v>
      </c>
      <c r="CB2" t="e">
        <f>#REF!+"bXY!&amp;f"</f>
        <v>#REF!</v>
      </c>
      <c r="CC2" t="e">
        <f>#REF!+"bXY!&amp;g"</f>
        <v>#REF!</v>
      </c>
      <c r="CD2" t="e">
        <f>#REF!+"bXY!&amp;h"</f>
        <v>#REF!</v>
      </c>
      <c r="CE2" t="e">
        <f>#REF!+"bXY!&amp;i"</f>
        <v>#REF!</v>
      </c>
      <c r="CF2" t="e">
        <f>#REF!+"bXY!&amp;j"</f>
        <v>#REF!</v>
      </c>
      <c r="CG2" t="e">
        <f>#REF!+"bXY!&amp;k"</f>
        <v>#REF!</v>
      </c>
      <c r="CH2" t="e">
        <f>#REF!+"bXY!&amp;l"</f>
        <v>#REF!</v>
      </c>
      <c r="CI2" t="e">
        <f>#REF!+"bXY!&amp;m"</f>
        <v>#REF!</v>
      </c>
      <c r="CJ2" t="e">
        <f>#REF!+"bXY!&amp;n"</f>
        <v>#REF!</v>
      </c>
      <c r="CK2" t="e">
        <f>#REF!+"bXY!&amp;o"</f>
        <v>#REF!</v>
      </c>
      <c r="CL2" t="e">
        <f>#REF!+"bXY!&amp;p"</f>
        <v>#REF!</v>
      </c>
      <c r="CM2" t="e">
        <f>#REF!+"bXY!&amp;q"</f>
        <v>#REF!</v>
      </c>
      <c r="CN2" t="e">
        <f>#REF!+"bXY!&amp;r"</f>
        <v>#REF!</v>
      </c>
      <c r="CO2" t="e">
        <f>#REF!+"bXY!&amp;s"</f>
        <v>#REF!</v>
      </c>
      <c r="CP2" t="e">
        <f>#REF!+"bXY!&amp;t"</f>
        <v>#REF!</v>
      </c>
      <c r="CQ2" t="e">
        <f>#REF!+"bXY!&amp;u"</f>
        <v>#REF!</v>
      </c>
      <c r="CR2" t="e">
        <f>#REF!+"bXY!&amp;v"</f>
        <v>#REF!</v>
      </c>
      <c r="CS2" t="e">
        <f>#REF!+"bXY!&amp;w"</f>
        <v>#REF!</v>
      </c>
      <c r="CT2" t="e">
        <f>#REF!+"bXY!&amp;x"</f>
        <v>#REF!</v>
      </c>
      <c r="CU2" t="e">
        <f>#REF!+"bXY!&amp;y"</f>
        <v>#REF!</v>
      </c>
      <c r="CV2" t="e">
        <f>#REF!+"bXY!&amp;z"</f>
        <v>#REF!</v>
      </c>
      <c r="CW2" t="e">
        <f>#REF!+"bXY!&amp;{"</f>
        <v>#REF!</v>
      </c>
      <c r="CX2" t="e">
        <f>#REF!+"bXY!&amp;|"</f>
        <v>#REF!</v>
      </c>
      <c r="CY2" t="e">
        <f>#REF!+"bXY!&amp;}"</f>
        <v>#REF!</v>
      </c>
      <c r="CZ2" t="e">
        <f>#REF!+"bXY!&amp;~"</f>
        <v>#REF!</v>
      </c>
      <c r="DA2" t="e">
        <f>#REF!+"bXY!'#"</f>
        <v>#REF!</v>
      </c>
      <c r="DB2" t="e">
        <f>#REF!+"bXY!'$"</f>
        <v>#REF!</v>
      </c>
      <c r="DC2" t="e">
        <f>#REF!+"bXY!'%"</f>
        <v>#REF!</v>
      </c>
      <c r="DD2" t="e">
        <f>#REF!+"bXY!'&amp;"</f>
        <v>#REF!</v>
      </c>
      <c r="DE2" t="e">
        <f>#REF!+"bXY!''"</f>
        <v>#REF!</v>
      </c>
      <c r="DF2" t="e">
        <f>#REF!+"bXY!'("</f>
        <v>#REF!</v>
      </c>
      <c r="DG2" t="e">
        <f>#REF!+"bXY!')"</f>
        <v>#REF!</v>
      </c>
      <c r="DH2" t="e">
        <f>#REF!+"bXY!'."</f>
        <v>#REF!</v>
      </c>
      <c r="DI2" t="e">
        <f>#REF!+"bXY!'/"</f>
        <v>#REF!</v>
      </c>
      <c r="DJ2" t="e">
        <f>#REF!+"bXY!'0"</f>
        <v>#REF!</v>
      </c>
      <c r="DK2" t="e">
        <f>#REF!+"bXY!'1"</f>
        <v>#REF!</v>
      </c>
      <c r="DL2" t="e">
        <f>#REF!+"bXY!'2"</f>
        <v>#REF!</v>
      </c>
      <c r="DM2" t="e">
        <f>#REF!+"bXY!'3"</f>
        <v>#REF!</v>
      </c>
      <c r="DN2" t="e">
        <f>#REF!+"bXY!'4"</f>
        <v>#REF!</v>
      </c>
      <c r="DO2" t="e">
        <f>#REF!+"bXY!'5"</f>
        <v>#REF!</v>
      </c>
      <c r="DP2" t="e">
        <f>#REF!+"bXY!'6"</f>
        <v>#REF!</v>
      </c>
      <c r="DQ2" t="e">
        <f>#REF!+"bXY!'7"</f>
        <v>#REF!</v>
      </c>
      <c r="DR2" t="e">
        <f>#REF!+"bXY!'8"</f>
        <v>#REF!</v>
      </c>
      <c r="DS2" t="e">
        <f>#REF!+"bXY!'9"</f>
        <v>#REF!</v>
      </c>
      <c r="DT2" t="e">
        <f>#REF!+"bXY!':"</f>
        <v>#REF!</v>
      </c>
      <c r="DU2" t="e">
        <f>#REF!+"bXY!';"</f>
        <v>#REF!</v>
      </c>
      <c r="DV2" t="e">
        <f>#REF!+"bXY!'&lt;"</f>
        <v>#REF!</v>
      </c>
      <c r="DW2" t="e">
        <f>#REF!+"bXY!'="</f>
        <v>#REF!</v>
      </c>
      <c r="DX2" t="e">
        <f>#REF!+"bXY!'&gt;"</f>
        <v>#REF!</v>
      </c>
      <c r="DY2" t="e">
        <f>#REF!+"bXY!'?"</f>
        <v>#REF!</v>
      </c>
      <c r="DZ2" t="e">
        <f>#REF!+"bXY!'@"</f>
        <v>#REF!</v>
      </c>
      <c r="EA2" t="e">
        <f>#REF!+"bXY!'A"</f>
        <v>#REF!</v>
      </c>
      <c r="EB2" t="e">
        <f>#REF!+"bXY!'B"</f>
        <v>#REF!</v>
      </c>
      <c r="EC2" t="e">
        <f>#REF!+"bXY!'C"</f>
        <v>#REF!</v>
      </c>
      <c r="ED2" t="e">
        <f>#REF!+"bXY!'D"</f>
        <v>#REF!</v>
      </c>
      <c r="EE2" t="e">
        <f>#REF!+"bXY!'E"</f>
        <v>#REF!</v>
      </c>
      <c r="EF2" t="e">
        <f>#REF!+"bXY!'F"</f>
        <v>#REF!</v>
      </c>
      <c r="EG2" t="e">
        <f>#REF!+"bXY!'G"</f>
        <v>#REF!</v>
      </c>
      <c r="EH2" t="e">
        <f>#REF!+"bXY!'H"</f>
        <v>#REF!</v>
      </c>
      <c r="EI2" t="e">
        <f>#REF!+"bXY!'I"</f>
        <v>#REF!</v>
      </c>
      <c r="EJ2" t="e">
        <f>#REF!+"bXY!'J"</f>
        <v>#REF!</v>
      </c>
      <c r="EK2" t="e">
        <f>#REF!+"bXY!'K"</f>
        <v>#REF!</v>
      </c>
      <c r="EL2" t="e">
        <f>#REF!+"bXY!'L"</f>
        <v>#REF!</v>
      </c>
      <c r="EM2" t="e">
        <f>#REF!+"bXY!'M"</f>
        <v>#REF!</v>
      </c>
      <c r="EN2" t="e">
        <f>#REF!+"bXY!'N"</f>
        <v>#REF!</v>
      </c>
      <c r="EO2" t="e">
        <f>#REF!+"bXY!'O"</f>
        <v>#REF!</v>
      </c>
      <c r="EP2" t="e">
        <f>#REF!+"bXY!'P"</f>
        <v>#REF!</v>
      </c>
      <c r="EQ2" t="e">
        <f>#REF!+"bXY!'Q"</f>
        <v>#REF!</v>
      </c>
      <c r="ER2" t="e">
        <f>#REF!+"bXY!'R"</f>
        <v>#REF!</v>
      </c>
      <c r="ES2" t="e">
        <f>#REF!+"bXY!'S"</f>
        <v>#REF!</v>
      </c>
      <c r="ET2" t="e">
        <f>#REF!+"bXY!'T"</f>
        <v>#REF!</v>
      </c>
      <c r="EU2" t="e">
        <f>#REF!+"bXY!'U"</f>
        <v>#REF!</v>
      </c>
      <c r="EV2" t="e">
        <f>#REF!+"bXY!'V"</f>
        <v>#REF!</v>
      </c>
      <c r="EW2" t="e">
        <f>#REF!+"bXY!'W"</f>
        <v>#REF!</v>
      </c>
      <c r="EX2" t="e">
        <f>#REF!+"bXY!'X"</f>
        <v>#REF!</v>
      </c>
      <c r="EY2" t="e">
        <f>#REF!+"bXY!'Y"</f>
        <v>#REF!</v>
      </c>
      <c r="EZ2" t="e">
        <f>#REF!+"bXY!'Z"</f>
        <v>#REF!</v>
      </c>
      <c r="FA2" t="e">
        <f>#REF!+"bXY!'["</f>
        <v>#REF!</v>
      </c>
      <c r="FB2" t="e">
        <f>#REF!+"bXY!'\"</f>
        <v>#REF!</v>
      </c>
      <c r="FC2" t="e">
        <f>#REF!+"bXY!']"</f>
        <v>#REF!</v>
      </c>
      <c r="FD2" t="e">
        <f>#REF!+"bXY!'^"</f>
        <v>#REF!</v>
      </c>
      <c r="FE2" t="e">
        <f>#REF!+"bXY!'_"</f>
        <v>#REF!</v>
      </c>
      <c r="FF2" t="e">
        <f>#REF!+"bXY!'`"</f>
        <v>#REF!</v>
      </c>
      <c r="FG2" t="e">
        <f>#REF!+"bXY!'a"</f>
        <v>#REF!</v>
      </c>
      <c r="FH2" t="e">
        <f>#REF!+"bXY!'b"</f>
        <v>#REF!</v>
      </c>
      <c r="FI2" t="e">
        <f>#REF!+"bXY!'c"</f>
        <v>#REF!</v>
      </c>
      <c r="FJ2" t="e">
        <f>#REF!+"bXY!'d"</f>
        <v>#REF!</v>
      </c>
      <c r="FK2" t="e">
        <f>#REF!+"bXY!'e"</f>
        <v>#REF!</v>
      </c>
      <c r="FL2" t="e">
        <f>#REF!+"bXY!'f"</f>
        <v>#REF!</v>
      </c>
      <c r="FM2" t="e">
        <f>#REF!+"bXY!'g"</f>
        <v>#REF!</v>
      </c>
      <c r="FN2" t="e">
        <f>#REF!+"bXY!'h"</f>
        <v>#REF!</v>
      </c>
      <c r="FO2" t="e">
        <f>#REF!+"bXY!'i"</f>
        <v>#REF!</v>
      </c>
      <c r="FP2" t="e">
        <f>#REF!+"bXY!'j"</f>
        <v>#REF!</v>
      </c>
      <c r="FQ2" t="e">
        <f>#REF!+"bXY!'k"</f>
        <v>#REF!</v>
      </c>
      <c r="FR2" t="e">
        <f>#REF!+"bXY!'l"</f>
        <v>#REF!</v>
      </c>
      <c r="FS2" t="e">
        <f>#REF!+"bXY!'m"</f>
        <v>#REF!</v>
      </c>
      <c r="FT2" t="e">
        <f>#REF!+"bXY!'n"</f>
        <v>#REF!</v>
      </c>
      <c r="FU2" t="e">
        <f>#REF!+"bXY!'o"</f>
        <v>#REF!</v>
      </c>
      <c r="FV2" t="e">
        <f>#REF!+"bXY!'p"</f>
        <v>#REF!</v>
      </c>
      <c r="FW2" t="e">
        <f>#REF!+"bXY!'q"</f>
        <v>#REF!</v>
      </c>
      <c r="FX2" t="e">
        <f>#REF!+"bXY!'r"</f>
        <v>#REF!</v>
      </c>
      <c r="FY2" t="e">
        <f>#REF!+"bXY!'s"</f>
        <v>#REF!</v>
      </c>
      <c r="FZ2" t="e">
        <f>#REF!+"bXY!'t"</f>
        <v>#REF!</v>
      </c>
      <c r="GA2" t="e">
        <f>#REF!+"bXY!'u"</f>
        <v>#REF!</v>
      </c>
      <c r="GB2" t="e">
        <f>#REF!+"bXY!'v"</f>
        <v>#REF!</v>
      </c>
      <c r="GC2" t="e">
        <f>#REF!+"bXY!'w"</f>
        <v>#REF!</v>
      </c>
      <c r="GD2" t="e">
        <f>#REF!+"bXY!'x"</f>
        <v>#REF!</v>
      </c>
      <c r="GE2" t="e">
        <f>#REF!+"bXY!'y"</f>
        <v>#REF!</v>
      </c>
      <c r="GF2" t="e">
        <f>#REF!+"bXY!'z"</f>
        <v>#REF!</v>
      </c>
      <c r="GG2" t="e">
        <f>#REF!+"bXY!'{"</f>
        <v>#REF!</v>
      </c>
      <c r="GH2" t="e">
        <f>#REF!+"bXY!'|"</f>
        <v>#REF!</v>
      </c>
      <c r="GI2" t="e">
        <f>#REF!+"bXY!'}"</f>
        <v>#REF!</v>
      </c>
      <c r="GJ2" t="e">
        <f>#REF!+"bXY!'~"</f>
        <v>#REF!</v>
      </c>
      <c r="GK2" t="e">
        <f>#REF!+"bXY!(#"</f>
        <v>#REF!</v>
      </c>
      <c r="GL2" t="e">
        <f>#REF!+"bXY!($"</f>
        <v>#REF!</v>
      </c>
      <c r="GM2" t="e">
        <f>#REF!+"bXY!(%"</f>
        <v>#REF!</v>
      </c>
      <c r="GN2" t="e">
        <f>#REF!+"bXY!(&amp;"</f>
        <v>#REF!</v>
      </c>
      <c r="GO2" t="e">
        <f>#REF!+"bXY!('"</f>
        <v>#REF!</v>
      </c>
      <c r="GP2" t="e">
        <f>#REF!+"bXY!(("</f>
        <v>#REF!</v>
      </c>
      <c r="GQ2" t="e">
        <f>#REF!+"bXY!()"</f>
        <v>#REF!</v>
      </c>
      <c r="GR2" t="e">
        <f>#REF!+"bXY!(."</f>
        <v>#REF!</v>
      </c>
      <c r="GS2" t="e">
        <f>#REF!+"bXY!(/"</f>
        <v>#REF!</v>
      </c>
      <c r="GT2" t="e">
        <f>#REF!+"bXY!(0"</f>
        <v>#REF!</v>
      </c>
      <c r="GU2" t="e">
        <f>#REF!+"bXY!(1"</f>
        <v>#REF!</v>
      </c>
      <c r="GV2" t="e">
        <f>#REF!+"bXY!(2"</f>
        <v>#REF!</v>
      </c>
      <c r="GW2" t="e">
        <f>#REF!+"bXY!(3"</f>
        <v>#REF!</v>
      </c>
      <c r="GX2" t="e">
        <f>#REF!+"bXY!(4"</f>
        <v>#REF!</v>
      </c>
      <c r="GY2" t="e">
        <f>#REF!+"bXY!(5"</f>
        <v>#REF!</v>
      </c>
      <c r="GZ2" t="e">
        <f>#REF!+"bXY!(6"</f>
        <v>#REF!</v>
      </c>
      <c r="HA2" t="e">
        <f>#REF!+"bXY!(7"</f>
        <v>#REF!</v>
      </c>
      <c r="HB2" t="e">
        <f>#REF!+"bXY!(8"</f>
        <v>#REF!</v>
      </c>
      <c r="HC2" t="e">
        <f>#REF!+"bXY!(9"</f>
        <v>#REF!</v>
      </c>
      <c r="HD2" t="e">
        <f>#REF!+"bXY!(:"</f>
        <v>#REF!</v>
      </c>
      <c r="HE2" t="e">
        <f>#REF!+"bXY!(;"</f>
        <v>#REF!</v>
      </c>
      <c r="HF2" t="e">
        <f>#REF!+"bXY!(&lt;"</f>
        <v>#REF!</v>
      </c>
      <c r="HG2" t="e">
        <f>#REF!+"bXY!(="</f>
        <v>#REF!</v>
      </c>
      <c r="HH2" t="e">
        <f>#REF!+"bXY!(&gt;"</f>
        <v>#REF!</v>
      </c>
      <c r="HI2" t="e">
        <f>#REF!+"bXY!(?"</f>
        <v>#REF!</v>
      </c>
      <c r="HJ2" t="e">
        <f>#REF!+"bXY!(@"</f>
        <v>#REF!</v>
      </c>
      <c r="HK2" t="e">
        <f>#REF!+"bXY!(A"</f>
        <v>#REF!</v>
      </c>
      <c r="HL2" t="e">
        <f>#REF!+"bXY!(B"</f>
        <v>#REF!</v>
      </c>
      <c r="HM2" t="e">
        <f>#REF!+"bXY!(C"</f>
        <v>#REF!</v>
      </c>
      <c r="HN2" t="e">
        <f>#REF!+"bXY!(D"</f>
        <v>#REF!</v>
      </c>
      <c r="HO2" t="e">
        <f>#REF!+"bXY!(E"</f>
        <v>#REF!</v>
      </c>
      <c r="HP2" t="e">
        <f>#REF!+"bXY!(F"</f>
        <v>#REF!</v>
      </c>
      <c r="HQ2" t="e">
        <f>#REF!+"bXY!(G"</f>
        <v>#REF!</v>
      </c>
      <c r="HR2" t="e">
        <f>#REF!+"bXY!(H"</f>
        <v>#REF!</v>
      </c>
      <c r="HS2" t="e">
        <f>#REF!+"bXY!(I"</f>
        <v>#REF!</v>
      </c>
      <c r="HT2" t="e">
        <f>#REF!+"bXY!(J"</f>
        <v>#REF!</v>
      </c>
      <c r="HU2" t="e">
        <f>#REF!+"bXY!(K"</f>
        <v>#REF!</v>
      </c>
      <c r="HV2" t="e">
        <f>#REF!+"bXY!(L"</f>
        <v>#REF!</v>
      </c>
      <c r="HW2" t="e">
        <f>#REF!+"bXY!(M"</f>
        <v>#REF!</v>
      </c>
      <c r="HX2" t="e">
        <f>#REF!+"bXY!(N"</f>
        <v>#REF!</v>
      </c>
      <c r="HY2" t="e">
        <f>#REF!+"bXY!(O"</f>
        <v>#REF!</v>
      </c>
      <c r="HZ2" t="e">
        <f>#REF!+"bXY!(P"</f>
        <v>#REF!</v>
      </c>
      <c r="IA2" t="e">
        <f>#REF!+"bXY!(Q"</f>
        <v>#REF!</v>
      </c>
      <c r="IB2" t="e">
        <f>#REF!+"bXY!(R"</f>
        <v>#REF!</v>
      </c>
      <c r="IC2" t="e">
        <f>#REF!+"bXY!(S"</f>
        <v>#REF!</v>
      </c>
      <c r="ID2" t="e">
        <f>#REF!+"bXY!(T"</f>
        <v>#REF!</v>
      </c>
      <c r="IE2" t="e">
        <f>#REF!+"bXY!(U"</f>
        <v>#REF!</v>
      </c>
      <c r="IF2" t="e">
        <f>#REF!+"bXY!(V"</f>
        <v>#REF!</v>
      </c>
      <c r="IG2" t="e">
        <f>#REF!+"bXY!(W"</f>
        <v>#REF!</v>
      </c>
      <c r="IH2" t="e">
        <f>#REF!+"bXY!(X"</f>
        <v>#REF!</v>
      </c>
      <c r="II2" t="e">
        <f>#REF!+"bXY!(Y"</f>
        <v>#REF!</v>
      </c>
      <c r="IJ2" t="e">
        <f>#REF!+"bXY!(Z"</f>
        <v>#REF!</v>
      </c>
      <c r="IK2" t="e">
        <f>#REF!+"bXY!(["</f>
        <v>#REF!</v>
      </c>
      <c r="IL2" t="e">
        <f>#REF!+"bXY!(\"</f>
        <v>#REF!</v>
      </c>
      <c r="IM2" t="e">
        <f>#REF!+"bXY!(]"</f>
        <v>#REF!</v>
      </c>
      <c r="IN2" t="e">
        <f>#REF!+"bXY!(^"</f>
        <v>#REF!</v>
      </c>
      <c r="IO2" t="e">
        <f>#REF!+"bXY!(_"</f>
        <v>#REF!</v>
      </c>
      <c r="IP2" t="e">
        <f>#REF!+"bXY!(`"</f>
        <v>#REF!</v>
      </c>
      <c r="IQ2" t="e">
        <f>#REF!+"bXY!(a"</f>
        <v>#REF!</v>
      </c>
      <c r="IR2" t="e">
        <f>#REF!+"bXY!(b"</f>
        <v>#REF!</v>
      </c>
      <c r="IS2" t="e">
        <f>#REF!+"bXY!(c"</f>
        <v>#REF!</v>
      </c>
      <c r="IT2" t="e">
        <f>#REF!+"bXY!(d"</f>
        <v>#REF!</v>
      </c>
      <c r="IU2" t="e">
        <f>#REF!+"bXY!(e"</f>
        <v>#REF!</v>
      </c>
      <c r="IV2" t="e">
        <f>#REF!+"bXY!(f"</f>
        <v>#REF!</v>
      </c>
    </row>
    <row r="3" spans="1:256" x14ac:dyDescent="0.25">
      <c r="A3" t="s">
        <v>16</v>
      </c>
      <c r="F3" t="e">
        <f>#REF!+"bXY!(g"</f>
        <v>#REF!</v>
      </c>
      <c r="G3" t="e">
        <f>#REF!+"bXY!(h"</f>
        <v>#REF!</v>
      </c>
      <c r="H3" t="e">
        <f>#REF!+"bXY!(i"</f>
        <v>#REF!</v>
      </c>
      <c r="I3" t="e">
        <f>#REF!+"bXY!(j"</f>
        <v>#REF!</v>
      </c>
      <c r="J3" t="e">
        <f>#REF!+"bXY!(k"</f>
        <v>#REF!</v>
      </c>
      <c r="K3" t="e">
        <f>#REF!+"bXY!(l"</f>
        <v>#REF!</v>
      </c>
      <c r="L3" t="e">
        <f>#REF!+"bXY!(m"</f>
        <v>#REF!</v>
      </c>
      <c r="M3" t="e">
        <f>#REF!+"bXY!(n"</f>
        <v>#REF!</v>
      </c>
      <c r="N3" t="e">
        <f>#REF!+"bXY!(o"</f>
        <v>#REF!</v>
      </c>
      <c r="O3" t="e">
        <f>#REF!+"bXY!(p"</f>
        <v>#REF!</v>
      </c>
      <c r="P3" t="e">
        <f>#REF!+"bXY!(q"</f>
        <v>#REF!</v>
      </c>
      <c r="Q3" t="e">
        <f>#REF!+"bXY!(r"</f>
        <v>#REF!</v>
      </c>
      <c r="R3" t="e">
        <f>#REF!+"bXY!(s"</f>
        <v>#REF!</v>
      </c>
      <c r="S3" t="e">
        <f>#REF!+"bXY!(t"</f>
        <v>#REF!</v>
      </c>
      <c r="T3" t="e">
        <f>#REF!+"bXY!(u"</f>
        <v>#REF!</v>
      </c>
      <c r="U3" t="e">
        <f>#REF!+"bXY!(v"</f>
        <v>#REF!</v>
      </c>
      <c r="V3" t="e">
        <f>#REF!+"bXY!(w"</f>
        <v>#REF!</v>
      </c>
      <c r="W3" t="e">
        <f>#REF!+"bXY!(x"</f>
        <v>#REF!</v>
      </c>
      <c r="X3" t="e">
        <f>#REF!+"bXY!(y"</f>
        <v>#REF!</v>
      </c>
      <c r="Y3" t="e">
        <f>#REF!+"bXY!(z"</f>
        <v>#REF!</v>
      </c>
      <c r="Z3" t="e">
        <f>#REF!+"bXY!({"</f>
        <v>#REF!</v>
      </c>
      <c r="AA3" t="e">
        <f>#REF!+"bXY!(|"</f>
        <v>#REF!</v>
      </c>
      <c r="AB3" t="e">
        <f>#REF!+"bXY!(}"</f>
        <v>#REF!</v>
      </c>
      <c r="AC3" t="e">
        <f>#REF!+"bXY!(~"</f>
        <v>#REF!</v>
      </c>
      <c r="AD3" t="e">
        <f>#REF!+"bXY!)#"</f>
        <v>#REF!</v>
      </c>
      <c r="AE3" t="e">
        <f>#REF!+"bXY!)$"</f>
        <v>#REF!</v>
      </c>
      <c r="AF3" t="e">
        <f>#REF!+"bXY!)%"</f>
        <v>#REF!</v>
      </c>
      <c r="AG3" t="e">
        <f>#REF!+"bXY!)&amp;"</f>
        <v>#REF!</v>
      </c>
      <c r="AH3" t="e">
        <f>#REF!+"bXY!)'"</f>
        <v>#REF!</v>
      </c>
      <c r="AI3" t="e">
        <f>#REF!+"bXY!)("</f>
        <v>#REF!</v>
      </c>
      <c r="AJ3" t="e">
        <f>#REF!+"bXY!))"</f>
        <v>#REF!</v>
      </c>
      <c r="AK3" t="e">
        <f>#REF!+"bXY!)."</f>
        <v>#REF!</v>
      </c>
      <c r="AL3" t="e">
        <f>#REF!+"bXY!)/"</f>
        <v>#REF!</v>
      </c>
      <c r="AM3" t="e">
        <f>#REF!+"bXY!)0"</f>
        <v>#REF!</v>
      </c>
      <c r="AN3" t="e">
        <f>#REF!+"bXY!)1"</f>
        <v>#REF!</v>
      </c>
      <c r="AO3" t="e">
        <f>#REF!+"bXY!)2"</f>
        <v>#REF!</v>
      </c>
      <c r="AP3" t="e">
        <f>#REF!+"bXY!)3"</f>
        <v>#REF!</v>
      </c>
      <c r="AQ3" t="e">
        <f>#REF!+"bXY!)4"</f>
        <v>#REF!</v>
      </c>
      <c r="AR3" t="e">
        <f>#REF!+"bXY!)5"</f>
        <v>#REF!</v>
      </c>
      <c r="AS3" t="e">
        <f>#REF!+"bXY!)6"</f>
        <v>#REF!</v>
      </c>
      <c r="AT3" t="e">
        <f>#REF!+"bXY!)7"</f>
        <v>#REF!</v>
      </c>
      <c r="AU3" t="e">
        <f>#REF!+"bXY!)8"</f>
        <v>#REF!</v>
      </c>
      <c r="AV3" t="e">
        <f>#REF!+"bXY!)9"</f>
        <v>#REF!</v>
      </c>
      <c r="AW3" t="e">
        <f>#REF!+"bXY!):"</f>
        <v>#REF!</v>
      </c>
      <c r="AX3" t="e">
        <f>#REF!+"bXY!);"</f>
        <v>#REF!</v>
      </c>
      <c r="AY3" t="e">
        <f>#REF!+"bXY!)&lt;"</f>
        <v>#REF!</v>
      </c>
      <c r="AZ3" t="e">
        <f>#REF!+"bXY!)="</f>
        <v>#REF!</v>
      </c>
      <c r="BA3" t="e">
        <f>#REF!+"bXY!)&gt;"</f>
        <v>#REF!</v>
      </c>
      <c r="BB3" t="e">
        <f>#REF!+"bXY!)?"</f>
        <v>#REF!</v>
      </c>
      <c r="BC3" t="e">
        <f>#REF!+"bXY!)@"</f>
        <v>#REF!</v>
      </c>
      <c r="BD3" t="e">
        <f>#REF!+"bXY!)A"</f>
        <v>#REF!</v>
      </c>
      <c r="BE3" t="e">
        <f>#REF!+"bXY!)B"</f>
        <v>#REF!</v>
      </c>
      <c r="BF3" t="e">
        <f>#REF!+"bXY!)C"</f>
        <v>#REF!</v>
      </c>
      <c r="BG3" t="e">
        <f>#REF!+"bXY!)D"</f>
        <v>#REF!</v>
      </c>
      <c r="BH3" t="e">
        <f>#REF!+"bXY!)E"</f>
        <v>#REF!</v>
      </c>
      <c r="BI3" t="e">
        <f>#REF!+"bXY!)F"</f>
        <v>#REF!</v>
      </c>
      <c r="BJ3" t="e">
        <f>#REF!+"bXY!)G"</f>
        <v>#REF!</v>
      </c>
      <c r="BK3" t="e">
        <f>#REF!+"bXY!)H"</f>
        <v>#REF!</v>
      </c>
      <c r="BL3" t="e">
        <f>#REF!+"bXY!)I"</f>
        <v>#REF!</v>
      </c>
      <c r="BM3" t="e">
        <f>#REF!+"bXY!)J"</f>
        <v>#REF!</v>
      </c>
      <c r="BN3" t="e">
        <f>#REF!+"bXY!)K"</f>
        <v>#REF!</v>
      </c>
      <c r="BO3" t="e">
        <f>#REF!+"bXY!)L"</f>
        <v>#REF!</v>
      </c>
      <c r="BP3" t="e">
        <f>#REF!+"bXY!)M"</f>
        <v>#REF!</v>
      </c>
      <c r="BQ3" t="e">
        <f>#REF!+"bXY!)N"</f>
        <v>#REF!</v>
      </c>
      <c r="BR3" t="e">
        <f>#REF!+"bXY!)O"</f>
        <v>#REF!</v>
      </c>
      <c r="BS3" t="e">
        <f>#REF!+"bXY!)P"</f>
        <v>#REF!</v>
      </c>
      <c r="BT3" t="e">
        <f>#REF!+"bXY!)Q"</f>
        <v>#REF!</v>
      </c>
      <c r="BU3" t="e">
        <f>#REF!+"bXY!)R"</f>
        <v>#REF!</v>
      </c>
      <c r="BV3" t="e">
        <f>#REF!+"bXY!)S"</f>
        <v>#REF!</v>
      </c>
      <c r="BW3" t="e">
        <f>#REF!+"bXY!)T"</f>
        <v>#REF!</v>
      </c>
      <c r="BX3" t="e">
        <f>#REF!+"bXY!)U"</f>
        <v>#REF!</v>
      </c>
      <c r="BY3" t="e">
        <f>#REF!+"bXY!)V"</f>
        <v>#REF!</v>
      </c>
      <c r="BZ3" t="e">
        <f>#REF!+"bXY!)W"</f>
        <v>#REF!</v>
      </c>
      <c r="CA3" t="e">
        <f>#REF!+"bXY!)X"</f>
        <v>#REF!</v>
      </c>
      <c r="CB3" t="e">
        <f>#REF!+"bXY!)Y"</f>
        <v>#REF!</v>
      </c>
      <c r="CC3" t="e">
        <f>#REF!+"bXY!)Z"</f>
        <v>#REF!</v>
      </c>
      <c r="CD3" t="e">
        <f>#REF!+"bXY!)["</f>
        <v>#REF!</v>
      </c>
      <c r="CE3" t="e">
        <f>#REF!+"bXY!)\"</f>
        <v>#REF!</v>
      </c>
      <c r="CF3" t="e">
        <f>#REF!+"bXY!)]"</f>
        <v>#REF!</v>
      </c>
      <c r="CG3" t="e">
        <f>#REF!+"bXY!)^"</f>
        <v>#REF!</v>
      </c>
      <c r="CH3" t="e">
        <f>#REF!+"bXY!)_"</f>
        <v>#REF!</v>
      </c>
      <c r="CI3" t="e">
        <f>#REF!+"bXY!)`"</f>
        <v>#REF!</v>
      </c>
      <c r="CJ3" t="e">
        <f>#REF!+"bXY!)a"</f>
        <v>#REF!</v>
      </c>
      <c r="CK3" t="e">
        <f>#REF!+"bXY!)b"</f>
        <v>#REF!</v>
      </c>
      <c r="CL3" t="e">
        <f>#REF!+"bXY!)c"</f>
        <v>#REF!</v>
      </c>
      <c r="CM3" t="e">
        <f>#REF!+"bXY!)d"</f>
        <v>#REF!</v>
      </c>
      <c r="CN3" t="e">
        <f>#REF!+"bXY!)e"</f>
        <v>#REF!</v>
      </c>
      <c r="CO3" t="e">
        <f>#REF!+"bXY!)f"</f>
        <v>#REF!</v>
      </c>
      <c r="CP3" t="e">
        <f>#REF!+"bXY!)g"</f>
        <v>#REF!</v>
      </c>
      <c r="CQ3" t="e">
        <f>#REF!+"bXY!)h"</f>
        <v>#REF!</v>
      </c>
      <c r="CR3" t="e">
        <f>#REF!+"bXY!)i"</f>
        <v>#REF!</v>
      </c>
      <c r="CS3" t="e">
        <f>#REF!+"bXY!)j"</f>
        <v>#REF!</v>
      </c>
      <c r="CT3" t="e">
        <f>#REF!+"bXY!)k"</f>
        <v>#REF!</v>
      </c>
      <c r="CU3" t="e">
        <f>#REF!+"bXY!)l"</f>
        <v>#REF!</v>
      </c>
      <c r="CV3" t="e">
        <f>#REF!+"bXY!)m"</f>
        <v>#REF!</v>
      </c>
      <c r="CW3" t="e">
        <f>#REF!+"bXY!)n"</f>
        <v>#REF!</v>
      </c>
      <c r="CX3" t="e">
        <f>#REF!+"bXY!)o"</f>
        <v>#REF!</v>
      </c>
      <c r="CY3" t="e">
        <f>#REF!+"bXY!)p"</f>
        <v>#REF!</v>
      </c>
      <c r="CZ3" t="e">
        <f>#REF!+"bXY!)q"</f>
        <v>#REF!</v>
      </c>
      <c r="DA3" t="e">
        <f>#REF!+"bXY!)r"</f>
        <v>#REF!</v>
      </c>
      <c r="DB3" t="e">
        <f>#REF!+"bXY!)s"</f>
        <v>#REF!</v>
      </c>
      <c r="DC3" t="e">
        <f>#REF!+"bXY!)t"</f>
        <v>#REF!</v>
      </c>
      <c r="DD3" t="e">
        <f>#REF!+"bXY!)u"</f>
        <v>#REF!</v>
      </c>
      <c r="DE3" t="e">
        <f>#REF!+"bXY!)v"</f>
        <v>#REF!</v>
      </c>
      <c r="DF3" t="e">
        <f>#REF!+"bXY!)w"</f>
        <v>#REF!</v>
      </c>
      <c r="DG3" t="e">
        <f>#REF!+"bXY!)x"</f>
        <v>#REF!</v>
      </c>
      <c r="DH3" t="e">
        <f>#REF!+"bXY!)y"</f>
        <v>#REF!</v>
      </c>
      <c r="DI3" t="e">
        <f>#REF!+"bXY!)z"</f>
        <v>#REF!</v>
      </c>
      <c r="DJ3" t="e">
        <f>#REF!+"bXY!){"</f>
        <v>#REF!</v>
      </c>
      <c r="DK3" t="e">
        <f>#REF!+"bXY!)|"</f>
        <v>#REF!</v>
      </c>
      <c r="DL3" t="e">
        <f>#REF!+"bXY!)}"</f>
        <v>#REF!</v>
      </c>
      <c r="DM3" t="e">
        <f>#REF!+"bXY!)~"</f>
        <v>#REF!</v>
      </c>
      <c r="DN3" t="e">
        <f>#REF!+"bXY!.#"</f>
        <v>#REF!</v>
      </c>
      <c r="DO3" t="e">
        <f>#REF!+"bXY!.$"</f>
        <v>#REF!</v>
      </c>
      <c r="DP3" t="e">
        <f>#REF!+"bXY!.%"</f>
        <v>#REF!</v>
      </c>
      <c r="DQ3" t="e">
        <f>#REF!+"bXY!.&amp;"</f>
        <v>#REF!</v>
      </c>
      <c r="DR3" t="e">
        <f>#REF!+"bXY!.'"</f>
        <v>#REF!</v>
      </c>
      <c r="DS3" t="e">
        <f>#REF!+"bXY!.("</f>
        <v>#REF!</v>
      </c>
      <c r="DT3" t="e">
        <f>#REF!+"bXY!.)"</f>
        <v>#REF!</v>
      </c>
      <c r="DU3" t="e">
        <f>#REF!+"bXY!.."</f>
        <v>#REF!</v>
      </c>
      <c r="DV3" t="e">
        <f>#REF!+"bXY!./"</f>
        <v>#REF!</v>
      </c>
      <c r="DW3" t="e">
        <f>#REF!+"bXY!.0"</f>
        <v>#REF!</v>
      </c>
      <c r="DX3" t="e">
        <f>#REF!+"bXY!.1"</f>
        <v>#REF!</v>
      </c>
      <c r="DY3" t="e">
        <f>#REF!+"bXY!.2"</f>
        <v>#REF!</v>
      </c>
      <c r="DZ3" t="e">
        <f>#REF!+"bXY!.3"</f>
        <v>#REF!</v>
      </c>
      <c r="EA3" t="e">
        <f>#REF!+"bXY!.4"</f>
        <v>#REF!</v>
      </c>
      <c r="EB3" t="e">
        <f>#REF!+"bXY!.5"</f>
        <v>#REF!</v>
      </c>
      <c r="EC3" t="e">
        <f>#REF!+"bXY!.6"</f>
        <v>#REF!</v>
      </c>
      <c r="ED3" t="e">
        <f>#REF!+"bXY!.7"</f>
        <v>#REF!</v>
      </c>
      <c r="EE3" t="e">
        <f>#REF!+"bXY!.8"</f>
        <v>#REF!</v>
      </c>
      <c r="EF3" t="e">
        <f>#REF!+"bXY!.9"</f>
        <v>#REF!</v>
      </c>
      <c r="EG3" t="e">
        <f>#REF!+"bXY!.:"</f>
        <v>#REF!</v>
      </c>
      <c r="EH3" t="e">
        <f>#REF!+"bXY!.;"</f>
        <v>#REF!</v>
      </c>
      <c r="EI3" t="e">
        <f>#REF!+"bXY!.&lt;"</f>
        <v>#REF!</v>
      </c>
      <c r="EJ3" t="e">
        <f>#REF!+"bXY!.="</f>
        <v>#REF!</v>
      </c>
      <c r="EK3" t="e">
        <f>#REF!+"bXY!.&gt;"</f>
        <v>#REF!</v>
      </c>
      <c r="EL3" t="e">
        <f>#REF!+"bXY!.?"</f>
        <v>#REF!</v>
      </c>
      <c r="EM3" t="e">
        <f>#REF!+"bXY!.@"</f>
        <v>#REF!</v>
      </c>
      <c r="EN3" t="e">
        <f>#REF!+"bXY!.A"</f>
        <v>#REF!</v>
      </c>
      <c r="EO3" t="e">
        <f>#REF!+"bXY!.B"</f>
        <v>#REF!</v>
      </c>
      <c r="EP3" t="e">
        <f>#REF!+"bXY!.C"</f>
        <v>#REF!</v>
      </c>
      <c r="EQ3" t="e">
        <f>#REF!+"bXY!.D"</f>
        <v>#REF!</v>
      </c>
      <c r="ER3" t="e">
        <f>#REF!+"bXY!.E"</f>
        <v>#REF!</v>
      </c>
      <c r="ES3" t="e">
        <f>#REF!+"bXY!.F"</f>
        <v>#REF!</v>
      </c>
      <c r="ET3" t="e">
        <f>#REF!+"bXY!.G"</f>
        <v>#REF!</v>
      </c>
      <c r="EU3" t="e">
        <f>#REF!+"bXY!.H"</f>
        <v>#REF!</v>
      </c>
      <c r="EV3" t="e">
        <f>#REF!+"bXY!.I"</f>
        <v>#REF!</v>
      </c>
      <c r="EW3" t="e">
        <f>#REF!+"bXY!.J"</f>
        <v>#REF!</v>
      </c>
      <c r="EX3" t="e">
        <f>#REF!+"bXY!.K"</f>
        <v>#REF!</v>
      </c>
      <c r="EY3" t="e">
        <f>#REF!+"bXY!.L"</f>
        <v>#REF!</v>
      </c>
      <c r="EZ3" t="e">
        <f>#REF!+"bXY!.M"</f>
        <v>#REF!</v>
      </c>
      <c r="FA3" t="e">
        <f>#REF!+"bXY!.N"</f>
        <v>#REF!</v>
      </c>
      <c r="FB3" t="e">
        <f>#REF!+"bXY!.O"</f>
        <v>#REF!</v>
      </c>
      <c r="FC3" t="e">
        <f>#REF!+"bXY!.P"</f>
        <v>#REF!</v>
      </c>
      <c r="FD3" t="e">
        <f>#REF!+"bXY!.Q"</f>
        <v>#REF!</v>
      </c>
      <c r="FE3" t="e">
        <f>#REF!+"bXY!.R"</f>
        <v>#REF!</v>
      </c>
      <c r="FF3" t="e">
        <f>#REF!+"bXY!.S"</f>
        <v>#REF!</v>
      </c>
      <c r="FG3" t="e">
        <f>#REF!+"bXY!.T"</f>
        <v>#REF!</v>
      </c>
      <c r="FH3" t="e">
        <f>#REF!+"bXY!.U"</f>
        <v>#REF!</v>
      </c>
      <c r="FI3" t="e">
        <f>#REF!+"bXY!.V"</f>
        <v>#REF!</v>
      </c>
      <c r="FJ3" t="e">
        <f>#REF!+"bXY!.W"</f>
        <v>#REF!</v>
      </c>
      <c r="FK3" t="e">
        <f>#REF!+"bXY!.X"</f>
        <v>#REF!</v>
      </c>
      <c r="FL3" t="e">
        <f>#REF!+"bXY!.Y"</f>
        <v>#REF!</v>
      </c>
      <c r="FM3" t="e">
        <f>#REF!+"bXY!.Z"</f>
        <v>#REF!</v>
      </c>
      <c r="FN3" t="e">
        <f>#REF!+"bXY!.["</f>
        <v>#REF!</v>
      </c>
      <c r="FO3" t="e">
        <f>#REF!+"bXY!.\"</f>
        <v>#REF!</v>
      </c>
      <c r="FP3" t="e">
        <f>#REF!+"bXY!.]"</f>
        <v>#REF!</v>
      </c>
      <c r="FQ3" t="e">
        <f>#REF!+"bXY!.^"</f>
        <v>#REF!</v>
      </c>
      <c r="FR3" t="e">
        <f>#REF!+"bXY!._"</f>
        <v>#REF!</v>
      </c>
      <c r="FS3" t="e">
        <f>#REF!+"bXY!.`"</f>
        <v>#REF!</v>
      </c>
      <c r="FT3" t="e">
        <f>#REF!+"bXY!.a"</f>
        <v>#REF!</v>
      </c>
      <c r="FU3" t="e">
        <f>#REF!+"bXY!.b"</f>
        <v>#REF!</v>
      </c>
      <c r="FV3" t="e">
        <f>#REF!+"bXY!.c"</f>
        <v>#REF!</v>
      </c>
      <c r="FW3" t="e">
        <f>#REF!+"bXY!.d"</f>
        <v>#REF!</v>
      </c>
      <c r="FX3" t="e">
        <f>#REF!+"bXY!.e"</f>
        <v>#REF!</v>
      </c>
      <c r="FY3" t="e">
        <f>#REF!+"bXY!.f"</f>
        <v>#REF!</v>
      </c>
      <c r="FZ3" t="e">
        <f>#REF!+"bXY!.g"</f>
        <v>#REF!</v>
      </c>
      <c r="GA3" t="e">
        <f>#REF!+"bXY!.h"</f>
        <v>#REF!</v>
      </c>
      <c r="GB3" t="e">
        <f>#REF!+"bXY!.i"</f>
        <v>#REF!</v>
      </c>
      <c r="GC3" t="e">
        <f>#REF!+"bXY!.j"</f>
        <v>#REF!</v>
      </c>
      <c r="GD3" t="e">
        <f>#REF!+"bXY!.k"</f>
        <v>#REF!</v>
      </c>
      <c r="GE3" t="e">
        <f>#REF!+"bXY!.l"</f>
        <v>#REF!</v>
      </c>
      <c r="GF3" t="e">
        <f>#REF!+"bXY!.m"</f>
        <v>#REF!</v>
      </c>
      <c r="GG3" t="e">
        <f>#REF!+"bXY!.n"</f>
        <v>#REF!</v>
      </c>
      <c r="GH3" t="e">
        <f>#REF!+"bXY!.o"</f>
        <v>#REF!</v>
      </c>
      <c r="GI3" t="e">
        <f>#REF!+"bXY!.p"</f>
        <v>#REF!</v>
      </c>
      <c r="GJ3" t="e">
        <f>#REF!+"bXY!.q"</f>
        <v>#REF!</v>
      </c>
      <c r="GK3" t="e">
        <f>#REF!+"bXY!.r"</f>
        <v>#REF!</v>
      </c>
      <c r="GL3" t="e">
        <f>#REF!+"bXY!.s"</f>
        <v>#REF!</v>
      </c>
      <c r="GM3" t="e">
        <f>#REF!+"bXY!.t"</f>
        <v>#REF!</v>
      </c>
      <c r="GN3" t="e">
        <f>#REF!+"bXY!.u"</f>
        <v>#REF!</v>
      </c>
      <c r="GO3" t="e">
        <f>#REF!+"bXY!.v"</f>
        <v>#REF!</v>
      </c>
      <c r="GP3" t="e">
        <f>#REF!+"bXY!.w"</f>
        <v>#REF!</v>
      </c>
      <c r="GQ3" t="e">
        <f>#REF!+"bXY!.x"</f>
        <v>#REF!</v>
      </c>
      <c r="GR3" t="e">
        <f>#REF!+"bXY!.y"</f>
        <v>#REF!</v>
      </c>
      <c r="GS3" t="e">
        <f>#REF!+"bXY!.z"</f>
        <v>#REF!</v>
      </c>
      <c r="GT3" t="e">
        <f>#REF!+"bXY!.{"</f>
        <v>#REF!</v>
      </c>
      <c r="GU3" t="e">
        <f>#REF!+"bXY!.|"</f>
        <v>#REF!</v>
      </c>
      <c r="GV3" t="e">
        <f>#REF!+"bXY!.}"</f>
        <v>#REF!</v>
      </c>
      <c r="GW3" t="e">
        <f>#REF!+"bXY!.~"</f>
        <v>#REF!</v>
      </c>
      <c r="GX3" t="e">
        <f>#REF!+"bXY!/#"</f>
        <v>#REF!</v>
      </c>
      <c r="GY3" t="e">
        <f>#REF!+"bXY!/$"</f>
        <v>#REF!</v>
      </c>
      <c r="GZ3" t="e">
        <f>#REF!+"bXY!/%"</f>
        <v>#REF!</v>
      </c>
      <c r="HA3" t="e">
        <f>#REF!+"bXY!/&amp;"</f>
        <v>#REF!</v>
      </c>
      <c r="HB3" t="e">
        <f>#REF!+"bXY!/'"</f>
        <v>#REF!</v>
      </c>
      <c r="HC3" t="e">
        <f>#REF!+"bXY!/("</f>
        <v>#REF!</v>
      </c>
      <c r="HD3" t="e">
        <f>#REF!+"bXY!/)"</f>
        <v>#REF!</v>
      </c>
      <c r="HE3" t="e">
        <f>#REF!+"bXY!/."</f>
        <v>#REF!</v>
      </c>
      <c r="HF3" t="e">
        <f>#REF!+"bXY!//"</f>
        <v>#REF!</v>
      </c>
      <c r="HG3" t="e">
        <f>#REF!+"bXY!/0"</f>
        <v>#REF!</v>
      </c>
      <c r="HH3" t="e">
        <f>#REF!+"bXY!/1"</f>
        <v>#REF!</v>
      </c>
      <c r="HI3" t="e">
        <f>#REF!+"bXY!/2"</f>
        <v>#REF!</v>
      </c>
      <c r="HJ3" t="e">
        <f>#REF!+"bXY!/3"</f>
        <v>#REF!</v>
      </c>
      <c r="HK3" t="e">
        <f>#REF!+"bXY!/4"</f>
        <v>#REF!</v>
      </c>
      <c r="HL3" t="e">
        <f>#REF!+"bXY!/5"</f>
        <v>#REF!</v>
      </c>
      <c r="HM3" t="e">
        <f>#REF!+"bXY!/6"</f>
        <v>#REF!</v>
      </c>
      <c r="HN3" t="e">
        <f>#REF!+"bXY!/7"</f>
        <v>#REF!</v>
      </c>
      <c r="HO3" t="e">
        <f>#REF!+"bXY!/8"</f>
        <v>#REF!</v>
      </c>
      <c r="HP3" t="e">
        <f>#REF!+"bXY!/9"</f>
        <v>#REF!</v>
      </c>
      <c r="HQ3" t="e">
        <f>#REF!+"bXY!/:"</f>
        <v>#REF!</v>
      </c>
      <c r="HR3" t="e">
        <f>#REF!+"bXY!/;"</f>
        <v>#REF!</v>
      </c>
      <c r="HS3" t="e">
        <f>#REF!+"bXY!/&lt;"</f>
        <v>#REF!</v>
      </c>
      <c r="HT3" t="e">
        <f>#REF!+"bXY!/="</f>
        <v>#REF!</v>
      </c>
      <c r="HU3" t="e">
        <f>#REF!+"bXY!/&gt;"</f>
        <v>#REF!</v>
      </c>
      <c r="HV3" t="e">
        <f>#REF!+"bXY!/?"</f>
        <v>#REF!</v>
      </c>
      <c r="HW3" t="e">
        <f>#REF!+"bXY!/@"</f>
        <v>#REF!</v>
      </c>
      <c r="HX3" t="e">
        <f>#REF!+"bXY!/A"</f>
        <v>#REF!</v>
      </c>
      <c r="HY3" t="e">
        <f>#REF!+"bXY!/B"</f>
        <v>#REF!</v>
      </c>
      <c r="HZ3" t="e">
        <f>#REF!+"bXY!/C"</f>
        <v>#REF!</v>
      </c>
      <c r="IA3" t="e">
        <f>#REF!+"bXY!/D"</f>
        <v>#REF!</v>
      </c>
      <c r="IB3" t="e">
        <f>#REF!+"bXY!/E"</f>
        <v>#REF!</v>
      </c>
      <c r="IC3" t="e">
        <f>#REF!+"bXY!/F"</f>
        <v>#REF!</v>
      </c>
      <c r="ID3" t="e">
        <f>#REF!+"bXY!/G"</f>
        <v>#REF!</v>
      </c>
      <c r="IE3" t="e">
        <f>#REF!+"bXY!/H"</f>
        <v>#REF!</v>
      </c>
      <c r="IF3" t="e">
        <f>#REF!+"bXY!/I"</f>
        <v>#REF!</v>
      </c>
      <c r="IG3" t="e">
        <f>#REF!+"bXY!/J"</f>
        <v>#REF!</v>
      </c>
      <c r="IH3" t="e">
        <f>#REF!+"bXY!/K"</f>
        <v>#REF!</v>
      </c>
      <c r="II3" t="e">
        <f>#REF!+"bXY!/L"</f>
        <v>#REF!</v>
      </c>
      <c r="IJ3" t="e">
        <f>#REF!+"bXY!/M"</f>
        <v>#REF!</v>
      </c>
      <c r="IK3" t="e">
        <f>#REF!+"bXY!/N"</f>
        <v>#REF!</v>
      </c>
      <c r="IL3" t="e">
        <f>#REF!+"bXY!/O"</f>
        <v>#REF!</v>
      </c>
      <c r="IM3" t="e">
        <f>#REF!+"bXY!/P"</f>
        <v>#REF!</v>
      </c>
      <c r="IN3" t="e">
        <f>#REF!+"bXY!/Q"</f>
        <v>#REF!</v>
      </c>
      <c r="IO3" t="e">
        <f>#REF!+"bXY!/R"</f>
        <v>#REF!</v>
      </c>
      <c r="IP3" t="e">
        <f>#REF!+"bXY!/S"</f>
        <v>#REF!</v>
      </c>
      <c r="IQ3" t="e">
        <f>#REF!+"bXY!/T"</f>
        <v>#REF!</v>
      </c>
      <c r="IR3" t="e">
        <f>#REF!+"bXY!/U"</f>
        <v>#REF!</v>
      </c>
      <c r="IS3" t="e">
        <f>#REF!+"bXY!/V"</f>
        <v>#REF!</v>
      </c>
      <c r="IT3" t="e">
        <f>#REF!+"bXY!/W"</f>
        <v>#REF!</v>
      </c>
      <c r="IU3" t="e">
        <f>#REF!+"bXY!/X"</f>
        <v>#REF!</v>
      </c>
      <c r="IV3" t="e">
        <f>#REF!+"bXY!/Y"</f>
        <v>#REF!</v>
      </c>
    </row>
    <row r="4" spans="1:256" x14ac:dyDescent="0.25">
      <c r="A4" t="s">
        <v>7</v>
      </c>
      <c r="F4" t="e">
        <f>#REF!+"bXY!/Z"</f>
        <v>#REF!</v>
      </c>
      <c r="G4" t="e">
        <f>#REF!+"bXY!/["</f>
        <v>#REF!</v>
      </c>
      <c r="H4" t="e">
        <f>#REF!+"bXY!/\"</f>
        <v>#REF!</v>
      </c>
      <c r="I4" t="e">
        <f>#REF!+"bXY!/]"</f>
        <v>#REF!</v>
      </c>
      <c r="J4" t="e">
        <f>#REF!+"bXY!/^"</f>
        <v>#REF!</v>
      </c>
      <c r="K4" t="e">
        <f>#REF!+"bXY!/_"</f>
        <v>#REF!</v>
      </c>
      <c r="L4" t="e">
        <f>#REF!+"bXY!/`"</f>
        <v>#REF!</v>
      </c>
      <c r="M4" t="e">
        <f>#REF!+"bXY!/a"</f>
        <v>#REF!</v>
      </c>
      <c r="N4" t="e">
        <f>#REF!+"bXY!/b"</f>
        <v>#REF!</v>
      </c>
      <c r="O4" t="e">
        <f>#REF!+"bXY!/c"</f>
        <v>#REF!</v>
      </c>
      <c r="P4" t="e">
        <f>#REF!+"bXY!/d"</f>
        <v>#REF!</v>
      </c>
      <c r="Q4" t="e">
        <f>#REF!+"bXY!/e"</f>
        <v>#REF!</v>
      </c>
      <c r="R4" t="e">
        <f>#REF!+"bXY!/f"</f>
        <v>#REF!</v>
      </c>
      <c r="S4" t="e">
        <f>#REF!+"bXY!/g"</f>
        <v>#REF!</v>
      </c>
      <c r="T4" t="e">
        <f>#REF!+"bXY!/h"</f>
        <v>#REF!</v>
      </c>
      <c r="U4" t="e">
        <f>#REF!+"bXY!/i"</f>
        <v>#REF!</v>
      </c>
      <c r="V4" t="e">
        <f>#REF!+"bXY!/j"</f>
        <v>#REF!</v>
      </c>
      <c r="W4" t="e">
        <f>#REF!+"bXY!/k"</f>
        <v>#REF!</v>
      </c>
      <c r="X4" t="e">
        <f>#REF!+"bXY!/l"</f>
        <v>#REF!</v>
      </c>
      <c r="Y4" t="e">
        <f>#REF!+"bXY!/m"</f>
        <v>#REF!</v>
      </c>
      <c r="Z4" t="e">
        <f>#REF!+"bXY!/n"</f>
        <v>#REF!</v>
      </c>
      <c r="AA4" t="e">
        <f>#REF!+"bXY!/o"</f>
        <v>#REF!</v>
      </c>
      <c r="AB4" t="e">
        <f>#REF!+"bXY!/p"</f>
        <v>#REF!</v>
      </c>
      <c r="AC4" t="e">
        <f>#REF!+"bXY!/q"</f>
        <v>#REF!</v>
      </c>
      <c r="AD4" t="e">
        <f>#REF!+"bXY!/r"</f>
        <v>#REF!</v>
      </c>
      <c r="AE4" t="e">
        <f>#REF!+"bXY!/s"</f>
        <v>#REF!</v>
      </c>
      <c r="AF4" t="e">
        <f>#REF!+"bXY!/t"</f>
        <v>#REF!</v>
      </c>
      <c r="AG4" t="e">
        <f>#REF!+"bXY!/u"</f>
        <v>#REF!</v>
      </c>
      <c r="AH4" t="e">
        <f>#REF!+"bXY!/v"</f>
        <v>#REF!</v>
      </c>
      <c r="AI4" t="e">
        <f>#REF!+"bXY!/w"</f>
        <v>#REF!</v>
      </c>
      <c r="AJ4" t="e">
        <f>#REF!+"bXY!/x"</f>
        <v>#REF!</v>
      </c>
      <c r="AK4" t="e">
        <f>#REF!+"bXY!/y"</f>
        <v>#REF!</v>
      </c>
      <c r="AL4" t="e">
        <f>#REF!+"bXY!/z"</f>
        <v>#REF!</v>
      </c>
      <c r="AM4" t="e">
        <f>#REF!+"bXY!/{"</f>
        <v>#REF!</v>
      </c>
      <c r="AN4" t="e">
        <f>#REF!+"bXY!/|"</f>
        <v>#REF!</v>
      </c>
      <c r="AO4" t="e">
        <f>#REF!+"bXY!/}"</f>
        <v>#REF!</v>
      </c>
      <c r="AP4" t="e">
        <f>#REF!+"bXY!/~"</f>
        <v>#REF!</v>
      </c>
      <c r="AQ4" t="e">
        <f>#REF!+"bXY!0#"</f>
        <v>#REF!</v>
      </c>
      <c r="AR4" t="e">
        <f>#REF!+"bXY!0$"</f>
        <v>#REF!</v>
      </c>
      <c r="AS4" t="e">
        <f>#REF!+"bXY!0%"</f>
        <v>#REF!</v>
      </c>
      <c r="AT4" t="e">
        <f>#REF!+"bXY!0&amp;"</f>
        <v>#REF!</v>
      </c>
      <c r="AU4" t="e">
        <f>#REF!+"bXY!0'"</f>
        <v>#REF!</v>
      </c>
      <c r="AV4" t="e">
        <f>#REF!+"bXY!0("</f>
        <v>#REF!</v>
      </c>
      <c r="AW4" t="e">
        <f>#REF!+"bXY!0)"</f>
        <v>#REF!</v>
      </c>
      <c r="AX4" t="e">
        <f>#REF!+"bXY!0."</f>
        <v>#REF!</v>
      </c>
      <c r="AY4" t="e">
        <f>#REF!+"bXY!0/"</f>
        <v>#REF!</v>
      </c>
      <c r="AZ4" t="e">
        <f>#REF!+"bXY!00"</f>
        <v>#REF!</v>
      </c>
      <c r="BA4" t="e">
        <f>#REF!+"bXY!01"</f>
        <v>#REF!</v>
      </c>
      <c r="BB4" t="e">
        <f>#REF!+"bXY!02"</f>
        <v>#REF!</v>
      </c>
      <c r="BC4" t="e">
        <f>#REF!+"bXY!03"</f>
        <v>#REF!</v>
      </c>
      <c r="BD4" t="e">
        <f>#REF!+"bXY!04"</f>
        <v>#REF!</v>
      </c>
      <c r="BE4" t="e">
        <f>#REF!+"bXY!05"</f>
        <v>#REF!</v>
      </c>
      <c r="BF4" t="e">
        <f>#REF!+"bXY!06"</f>
        <v>#REF!</v>
      </c>
      <c r="BG4" t="e">
        <f>#REF!+"bXY!07"</f>
        <v>#REF!</v>
      </c>
      <c r="BH4" t="e">
        <f>#REF!+"bXY!08"</f>
        <v>#REF!</v>
      </c>
      <c r="BI4" t="e">
        <f>#REF!+"bXY!09"</f>
        <v>#REF!</v>
      </c>
      <c r="BJ4" t="e">
        <f>#REF!+"bXY!0:"</f>
        <v>#REF!</v>
      </c>
      <c r="BK4" t="e">
        <f>#REF!+"bXY!0;"</f>
        <v>#REF!</v>
      </c>
      <c r="BL4" t="e">
        <f>#REF!+"bXY!0&lt;"</f>
        <v>#REF!</v>
      </c>
      <c r="BM4" t="e">
        <f>#REF!+"bXY!0="</f>
        <v>#REF!</v>
      </c>
      <c r="BN4" t="e">
        <f>#REF!+"bXY!0&gt;"</f>
        <v>#REF!</v>
      </c>
      <c r="BO4" t="e">
        <f>#REF!+"bXY!0?"</f>
        <v>#REF!</v>
      </c>
      <c r="BP4" t="e">
        <f>#REF!+"bXY!0@"</f>
        <v>#REF!</v>
      </c>
      <c r="BQ4" t="e">
        <f>#REF!+"bXY!0A"</f>
        <v>#REF!</v>
      </c>
      <c r="BR4" t="e">
        <f>#REF!+"bXY!0B"</f>
        <v>#REF!</v>
      </c>
      <c r="BS4" t="e">
        <f>#REF!+"bXY!0C"</f>
        <v>#REF!</v>
      </c>
      <c r="BT4" t="e">
        <f>#REF!+"bXY!0D"</f>
        <v>#REF!</v>
      </c>
      <c r="BU4" t="e">
        <f>#REF!+"bXY!0E"</f>
        <v>#REF!</v>
      </c>
      <c r="BV4" t="e">
        <f>#REF!+"bXY!0F"</f>
        <v>#REF!</v>
      </c>
      <c r="BW4" t="e">
        <f>#REF!+"bXY!0G"</f>
        <v>#REF!</v>
      </c>
      <c r="BX4" t="e">
        <f>#REF!+"bXY!0H"</f>
        <v>#REF!</v>
      </c>
      <c r="BY4" t="e">
        <f>#REF!+"bXY!0I"</f>
        <v>#REF!</v>
      </c>
      <c r="BZ4" t="e">
        <f>#REF!+"bXY!0J"</f>
        <v>#REF!</v>
      </c>
      <c r="CA4" t="e">
        <f>#REF!+"bXY!0K"</f>
        <v>#REF!</v>
      </c>
      <c r="CB4" t="e">
        <f>#REF!+"bXY!0L"</f>
        <v>#REF!</v>
      </c>
      <c r="CC4" t="e">
        <f>#REF!+"bXY!0M"</f>
        <v>#REF!</v>
      </c>
      <c r="CD4" t="e">
        <f>#REF!+"bXY!0N"</f>
        <v>#REF!</v>
      </c>
      <c r="CE4" t="e">
        <f>#REF!+"bXY!0O"</f>
        <v>#REF!</v>
      </c>
      <c r="CF4" t="e">
        <f>#REF!+"bXY!0P"</f>
        <v>#REF!</v>
      </c>
      <c r="CG4" t="e">
        <f>#REF!+"bXY!0Q"</f>
        <v>#REF!</v>
      </c>
      <c r="CH4" t="e">
        <f>#REF!+"bXY!0R"</f>
        <v>#REF!</v>
      </c>
      <c r="CI4" t="e">
        <f>#REF!+"bXY!0S"</f>
        <v>#REF!</v>
      </c>
      <c r="CJ4" t="e">
        <f>#REF!+"bXY!0T"</f>
        <v>#REF!</v>
      </c>
      <c r="CK4" t="e">
        <f>#REF!+"bXY!0U"</f>
        <v>#REF!</v>
      </c>
      <c r="CL4" t="e">
        <f>#REF!+"bXY!0V"</f>
        <v>#REF!</v>
      </c>
      <c r="CM4" t="e">
        <f>#REF!+"bXY!0W"</f>
        <v>#REF!</v>
      </c>
      <c r="CN4" t="e">
        <f>#REF!+"bXY!0X"</f>
        <v>#REF!</v>
      </c>
      <c r="CO4" t="e">
        <f>#REF!+"bXY!0Y"</f>
        <v>#REF!</v>
      </c>
      <c r="CP4" t="e">
        <f>#REF!+"bXY!0Z"</f>
        <v>#REF!</v>
      </c>
      <c r="CQ4" t="e">
        <f>#REF!+"bXY!0["</f>
        <v>#REF!</v>
      </c>
      <c r="CR4" t="e">
        <f>#REF!+"bXY!0\"</f>
        <v>#REF!</v>
      </c>
      <c r="CS4" t="e">
        <f>#REF!+"bXY!0]"</f>
        <v>#REF!</v>
      </c>
      <c r="CT4" t="e">
        <f>#REF!+"bXY!0^"</f>
        <v>#REF!</v>
      </c>
      <c r="CU4" t="e">
        <f>#REF!+"bXY!0_"</f>
        <v>#REF!</v>
      </c>
      <c r="CV4" t="e">
        <f>#REF!+"bXY!0`"</f>
        <v>#REF!</v>
      </c>
      <c r="CW4" t="e">
        <f>#REF!+"bXY!0a"</f>
        <v>#REF!</v>
      </c>
      <c r="CX4" t="e">
        <f>#REF!+"bXY!0b"</f>
        <v>#REF!</v>
      </c>
      <c r="CY4" t="e">
        <f>#REF!+"bXY!0c"</f>
        <v>#REF!</v>
      </c>
      <c r="CZ4" t="e">
        <f>#REF!+"bXY!0d"</f>
        <v>#REF!</v>
      </c>
      <c r="DA4" t="e">
        <f>#REF!+"bXY!0e"</f>
        <v>#REF!</v>
      </c>
      <c r="DB4" t="e">
        <f>#REF!+"bXY!0f"</f>
        <v>#REF!</v>
      </c>
      <c r="DC4" t="e">
        <f>#REF!+"bXY!0g"</f>
        <v>#REF!</v>
      </c>
      <c r="DD4" t="e">
        <f>#REF!+"bXY!0h"</f>
        <v>#REF!</v>
      </c>
      <c r="DE4" t="e">
        <f>#REF!+"bXY!0i"</f>
        <v>#REF!</v>
      </c>
      <c r="DF4" t="e">
        <f>#REF!+"bXY!0j"</f>
        <v>#REF!</v>
      </c>
      <c r="DG4" t="e">
        <f>#REF!+"bXY!0k"</f>
        <v>#REF!</v>
      </c>
      <c r="DH4" t="e">
        <f>#REF!+"bXY!0l"</f>
        <v>#REF!</v>
      </c>
      <c r="DI4" t="e">
        <f>#REF!+"bXY!0m"</f>
        <v>#REF!</v>
      </c>
      <c r="DJ4" t="e">
        <f>#REF!+"bXY!0n"</f>
        <v>#REF!</v>
      </c>
      <c r="DK4" t="e">
        <f>#REF!+"bXY!0o"</f>
        <v>#REF!</v>
      </c>
      <c r="DL4" t="e">
        <f>#REF!+"bXY!0p"</f>
        <v>#REF!</v>
      </c>
      <c r="DM4" t="e">
        <f>#REF!+"bXY!0q"</f>
        <v>#REF!</v>
      </c>
      <c r="DN4" t="e">
        <f>#REF!+"bXY!0r"</f>
        <v>#REF!</v>
      </c>
      <c r="DO4" t="e">
        <f>#REF!+"bXY!0s"</f>
        <v>#REF!</v>
      </c>
      <c r="DP4" t="e">
        <f>#REF!+"bXY!0t"</f>
        <v>#REF!</v>
      </c>
      <c r="DQ4" t="e">
        <f>#REF!+"bXY!0u"</f>
        <v>#REF!</v>
      </c>
      <c r="DR4" t="e">
        <f>#REF!+"bXY!0v"</f>
        <v>#REF!</v>
      </c>
      <c r="DS4" t="e">
        <f>#REF!+"bXY!0w"</f>
        <v>#REF!</v>
      </c>
      <c r="DT4" t="e">
        <f>#REF!+"bXY!0x"</f>
        <v>#REF!</v>
      </c>
      <c r="DU4" t="e">
        <f>#REF!+"bXY!0y"</f>
        <v>#REF!</v>
      </c>
      <c r="DV4" t="e">
        <f>#REF!+"bXY!0z"</f>
        <v>#REF!</v>
      </c>
      <c r="DW4" t="e">
        <f>#REF!+"bXY!0{"</f>
        <v>#REF!</v>
      </c>
      <c r="DX4" t="e">
        <f>#REF!+"bXY!0|"</f>
        <v>#REF!</v>
      </c>
      <c r="DY4" t="e">
        <f>#REF!+"bXY!0}"</f>
        <v>#REF!</v>
      </c>
      <c r="DZ4" t="e">
        <f>#REF!+"bXY!0~"</f>
        <v>#REF!</v>
      </c>
      <c r="EA4" t="e">
        <f>#REF!+"bXY!1#"</f>
        <v>#REF!</v>
      </c>
      <c r="EB4" t="e">
        <f>#REF!+"bXY!1$"</f>
        <v>#REF!</v>
      </c>
      <c r="EC4" t="e">
        <f>#REF!+"bXY!1%"</f>
        <v>#REF!</v>
      </c>
      <c r="ED4" t="e">
        <f>#REF!+"bXY!1&amp;"</f>
        <v>#REF!</v>
      </c>
      <c r="EE4" t="e">
        <f>#REF!+"bXY!1'"</f>
        <v>#REF!</v>
      </c>
      <c r="EF4" t="e">
        <f>#REF!+"bXY!1("</f>
        <v>#REF!</v>
      </c>
      <c r="EG4" t="e">
        <f>#REF!+"bXY!1)"</f>
        <v>#REF!</v>
      </c>
      <c r="EH4" t="e">
        <f>#REF!+"bXY!1."</f>
        <v>#REF!</v>
      </c>
      <c r="EI4" t="e">
        <f>#REF!+"bXY!1/"</f>
        <v>#REF!</v>
      </c>
      <c r="EJ4" t="e">
        <f>#REF!+"bXY!10"</f>
        <v>#REF!</v>
      </c>
      <c r="EK4" t="e">
        <f>#REF!+"bXY!11"</f>
        <v>#REF!</v>
      </c>
      <c r="EL4" t="e">
        <f>#REF!+"bXY!12"</f>
        <v>#REF!</v>
      </c>
      <c r="EM4" t="e">
        <f>#REF!+"bXY!13"</f>
        <v>#REF!</v>
      </c>
      <c r="EN4" t="e">
        <f>#REF!+"bXY!14"</f>
        <v>#REF!</v>
      </c>
      <c r="EO4" t="e">
        <f>#REF!+"bXY!15"</f>
        <v>#REF!</v>
      </c>
      <c r="EP4" t="e">
        <f>#REF!+"bXY!16"</f>
        <v>#REF!</v>
      </c>
      <c r="EQ4" t="e">
        <f>#REF!+"bXY!17"</f>
        <v>#REF!</v>
      </c>
      <c r="ER4" t="e">
        <f>#REF!+"bXY!18"</f>
        <v>#REF!</v>
      </c>
      <c r="ES4" t="e">
        <f>#REF!+"bXY!19"</f>
        <v>#REF!</v>
      </c>
      <c r="ET4" t="e">
        <f>#REF!+"bXY!1:"</f>
        <v>#REF!</v>
      </c>
      <c r="EU4" t="e">
        <f>#REF!+"bXY!1;"</f>
        <v>#REF!</v>
      </c>
      <c r="EV4" t="e">
        <f>#REF!+"bXY!1&lt;"</f>
        <v>#REF!</v>
      </c>
      <c r="EW4" t="e">
        <f>#REF!+"bXY!1="</f>
        <v>#REF!</v>
      </c>
      <c r="EX4" t="e">
        <f>#REF!+"bXY!1&gt;"</f>
        <v>#REF!</v>
      </c>
      <c r="EY4" t="e">
        <f>#REF!+"bXY!1?"</f>
        <v>#REF!</v>
      </c>
      <c r="EZ4" t="e">
        <f>#REF!+"bXY!1@"</f>
        <v>#REF!</v>
      </c>
      <c r="FA4" t="e">
        <f>#REF!+"bXY!1A"</f>
        <v>#REF!</v>
      </c>
      <c r="FB4" t="e">
        <f>#REF!+"bXY!1B"</f>
        <v>#REF!</v>
      </c>
      <c r="FC4" t="e">
        <f>#REF!+"bXY!1C"</f>
        <v>#REF!</v>
      </c>
      <c r="FD4" t="e">
        <f>#REF!+"bXY!1D"</f>
        <v>#REF!</v>
      </c>
      <c r="FE4" t="e">
        <f>#REF!+"bXY!1E"</f>
        <v>#REF!</v>
      </c>
      <c r="FF4" t="e">
        <f>#REF!+"bXY!1F"</f>
        <v>#REF!</v>
      </c>
      <c r="FG4" t="e">
        <f>#REF!+"bXY!1G"</f>
        <v>#REF!</v>
      </c>
      <c r="FH4" t="e">
        <f>#REF!+"bXY!1H"</f>
        <v>#REF!</v>
      </c>
      <c r="FI4" t="e">
        <f>#REF!+"bXY!1I"</f>
        <v>#REF!</v>
      </c>
      <c r="FJ4" t="e">
        <f>#REF!+"bXY!1J"</f>
        <v>#REF!</v>
      </c>
      <c r="FK4" t="e">
        <f>#REF!+"bXY!1K"</f>
        <v>#REF!</v>
      </c>
      <c r="FL4" t="e">
        <f>#REF!+"bXY!1L"</f>
        <v>#REF!</v>
      </c>
      <c r="FM4" t="e">
        <f>#REF!+"bXY!1M"</f>
        <v>#REF!</v>
      </c>
      <c r="FN4" t="e">
        <f>#REF!+"bXY!1N"</f>
        <v>#REF!</v>
      </c>
      <c r="FO4" t="e">
        <f>#REF!+"bXY!1O"</f>
        <v>#REF!</v>
      </c>
      <c r="FP4" t="e">
        <f>#REF!+"bXY!1P"</f>
        <v>#REF!</v>
      </c>
      <c r="FQ4" t="e">
        <f>#REF!+"bXY!1Q"</f>
        <v>#REF!</v>
      </c>
      <c r="FR4" t="e">
        <f>#REF!+"bXY!1R"</f>
        <v>#REF!</v>
      </c>
      <c r="FS4" t="e">
        <f>#REF!+"bXY!1S"</f>
        <v>#REF!</v>
      </c>
      <c r="FT4" t="e">
        <f>#REF!+"bXY!1T"</f>
        <v>#REF!</v>
      </c>
      <c r="FU4" t="e">
        <f>#REF!+"bXY!1U"</f>
        <v>#REF!</v>
      </c>
      <c r="FV4" t="e">
        <f>#REF!+"bXY!1V"</f>
        <v>#REF!</v>
      </c>
      <c r="FW4" t="e">
        <f>#REF!+"bXY!1W"</f>
        <v>#REF!</v>
      </c>
      <c r="FX4" t="e">
        <f>#REF!+"bXY!1X"</f>
        <v>#REF!</v>
      </c>
      <c r="FY4" t="e">
        <f>#REF!+"bXY!1Y"</f>
        <v>#REF!</v>
      </c>
      <c r="FZ4" t="e">
        <f>#REF!+"bXY!1Z"</f>
        <v>#REF!</v>
      </c>
      <c r="GA4" t="e">
        <f>#REF!+"bXY!1["</f>
        <v>#REF!</v>
      </c>
      <c r="GB4" t="e">
        <f>#REF!+"bXY!1\"</f>
        <v>#REF!</v>
      </c>
      <c r="GC4" t="e">
        <f>#REF!+"bXY!1]"</f>
        <v>#REF!</v>
      </c>
      <c r="GD4" t="e">
        <f>#REF!+"bXY!1^"</f>
        <v>#REF!</v>
      </c>
      <c r="GE4" t="e">
        <f>#REF!+"bXY!1_"</f>
        <v>#REF!</v>
      </c>
      <c r="GF4" t="e">
        <f>#REF!+"bXY!1`"</f>
        <v>#REF!</v>
      </c>
      <c r="GG4" t="e">
        <f>#REF!+"bXY!1a"</f>
        <v>#REF!</v>
      </c>
      <c r="GH4" t="e">
        <f>#REF!+"bXY!1b"</f>
        <v>#REF!</v>
      </c>
      <c r="GI4" t="e">
        <f>#REF!+"bXY!1c"</f>
        <v>#REF!</v>
      </c>
      <c r="GJ4" t="e">
        <f>#REF!+"bXY!1d"</f>
        <v>#REF!</v>
      </c>
      <c r="GK4" t="e">
        <f>#REF!+"bXY!1e"</f>
        <v>#REF!</v>
      </c>
      <c r="GL4" t="e">
        <f>#REF!+"bXY!1f"</f>
        <v>#REF!</v>
      </c>
      <c r="GM4" t="e">
        <f>#REF!+"bXY!1g"</f>
        <v>#REF!</v>
      </c>
      <c r="GN4" t="e">
        <f>#REF!+"bXY!1h"</f>
        <v>#REF!</v>
      </c>
      <c r="GO4" t="e">
        <f>#REF!+"bXY!1i"</f>
        <v>#REF!</v>
      </c>
      <c r="GP4" t="e">
        <f>#REF!+"bXY!1j"</f>
        <v>#REF!</v>
      </c>
      <c r="GQ4" t="e">
        <f>#REF!+"bXY!1k"</f>
        <v>#REF!</v>
      </c>
      <c r="GR4" t="e">
        <f>#REF!+"bXY!1l"</f>
        <v>#REF!</v>
      </c>
      <c r="GS4" t="e">
        <f>#REF!+"bXY!1m"</f>
        <v>#REF!</v>
      </c>
      <c r="GT4" t="e">
        <f>#REF!+"bXY!1n"</f>
        <v>#REF!</v>
      </c>
      <c r="GU4" t="e">
        <f>#REF!+"bXY!1o"</f>
        <v>#REF!</v>
      </c>
      <c r="GV4" t="e">
        <f>#REF!+"bXY!1p"</f>
        <v>#REF!</v>
      </c>
      <c r="GW4" t="e">
        <f>#REF!+"bXY!1q"</f>
        <v>#REF!</v>
      </c>
      <c r="GX4" t="e">
        <f>#REF!+"bXY!1r"</f>
        <v>#REF!</v>
      </c>
      <c r="GY4" t="e">
        <f>#REF!+"bXY!1s"</f>
        <v>#REF!</v>
      </c>
      <c r="GZ4" t="e">
        <f>#REF!+"bXY!1t"</f>
        <v>#REF!</v>
      </c>
      <c r="HA4" t="e">
        <f>#REF!+"bXY!1u"</f>
        <v>#REF!</v>
      </c>
      <c r="HB4" t="e">
        <f>#REF!+"bXY!1v"</f>
        <v>#REF!</v>
      </c>
      <c r="HC4" t="e">
        <f>#REF!+"bXY!1w"</f>
        <v>#REF!</v>
      </c>
      <c r="HD4" t="e">
        <f>#REF!+"bXY!1x"</f>
        <v>#REF!</v>
      </c>
      <c r="HE4" t="e">
        <f>#REF!+"bXY!1y"</f>
        <v>#REF!</v>
      </c>
      <c r="HF4" t="e">
        <f>#REF!+"bXY!1z"</f>
        <v>#REF!</v>
      </c>
      <c r="HG4" t="e">
        <f>#REF!+"bXY!1{"</f>
        <v>#REF!</v>
      </c>
      <c r="HH4" t="e">
        <f>#REF!+"bXY!1|"</f>
        <v>#REF!</v>
      </c>
      <c r="HI4" t="e">
        <f>#REF!+"bXY!1}"</f>
        <v>#REF!</v>
      </c>
      <c r="HJ4" t="e">
        <f>#REF!+"bXY!1~"</f>
        <v>#REF!</v>
      </c>
      <c r="HK4" t="e">
        <f>#REF!+"bXY!2#"</f>
        <v>#REF!</v>
      </c>
      <c r="HL4" t="e">
        <f>#REF!+"bXY!2$"</f>
        <v>#REF!</v>
      </c>
      <c r="HM4" t="e">
        <f>#REF!+"bXY!2%"</f>
        <v>#REF!</v>
      </c>
      <c r="HN4" t="e">
        <f>#REF!+"bXY!2&amp;"</f>
        <v>#REF!</v>
      </c>
      <c r="HO4" t="e">
        <f>#REF!+"bXY!2'"</f>
        <v>#REF!</v>
      </c>
      <c r="HP4" t="e">
        <f>#REF!+"bXY!2("</f>
        <v>#REF!</v>
      </c>
      <c r="HQ4" t="e">
        <f>#REF!+"bXY!2)"</f>
        <v>#REF!</v>
      </c>
      <c r="HR4" t="e">
        <f>#REF!-"UFW!&amp;"</f>
        <v>#REF!</v>
      </c>
      <c r="HS4" t="e">
        <f>#REF!-"UFW!'"</f>
        <v>#REF!</v>
      </c>
      <c r="HT4" t="e">
        <f>#REF!-"UFW!("</f>
        <v>#REF!</v>
      </c>
      <c r="HU4" t="e">
        <f>#REF!-"UFW!)"</f>
        <v>#REF!</v>
      </c>
      <c r="HV4" t="e">
        <f>#REF!-"UFW!."</f>
        <v>#REF!</v>
      </c>
      <c r="HW4" t="e">
        <f>#REF!-"UFW!/"</f>
        <v>#REF!</v>
      </c>
      <c r="HX4" t="e">
        <f>#REF!-"UFW!0"</f>
        <v>#REF!</v>
      </c>
      <c r="HY4" t="e">
        <f>#REF!-"UFW!1"</f>
        <v>#REF!</v>
      </c>
      <c r="HZ4" t="e">
        <f>#REF!-"UFW!2"</f>
        <v>#REF!</v>
      </c>
      <c r="IA4" t="e">
        <f>#REF!-"UFW!3"</f>
        <v>#REF!</v>
      </c>
      <c r="IB4" t="e">
        <f>#REF!-"UFW!4"</f>
        <v>#REF!</v>
      </c>
      <c r="IC4" t="e">
        <f>#REF!-"UFW!5"</f>
        <v>#REF!</v>
      </c>
      <c r="ID4" t="e">
        <f>#REF!-"UFW!6"</f>
        <v>#REF!</v>
      </c>
      <c r="IE4" t="e">
        <f>#REF!-"UFW!7"</f>
        <v>#REF!</v>
      </c>
      <c r="IF4" t="e">
        <f>#REF!-"UFW!8"</f>
        <v>#REF!</v>
      </c>
      <c r="IG4" t="e">
        <f>#REF!-"UFW!9"</f>
        <v>#REF!</v>
      </c>
      <c r="IH4" t="e">
        <f>#REF!-"UFW!:"</f>
        <v>#REF!</v>
      </c>
      <c r="II4" t="e">
        <f>#REF!-"UFW!;"</f>
        <v>#REF!</v>
      </c>
      <c r="IJ4" t="e">
        <f>#REF!-"UFW!&lt;"</f>
        <v>#REF!</v>
      </c>
      <c r="IK4" t="e">
        <f>#REF!-"UFW!="</f>
        <v>#REF!</v>
      </c>
      <c r="IL4" t="e">
        <f>#REF!-"UFW!&gt;"</f>
        <v>#REF!</v>
      </c>
      <c r="IM4" t="e">
        <f>#REF!-"UFW!?"</f>
        <v>#REF!</v>
      </c>
      <c r="IN4" t="e">
        <f>#REF!-"UFW!@"</f>
        <v>#REF!</v>
      </c>
      <c r="IO4" t="e">
        <f>#REF!-"UFW!A"</f>
        <v>#REF!</v>
      </c>
      <c r="IP4" t="e">
        <f>#REF!-"UFW!B"</f>
        <v>#REF!</v>
      </c>
      <c r="IQ4" t="e">
        <f>#REF!-"UFW!C"</f>
        <v>#REF!</v>
      </c>
      <c r="IR4" t="e">
        <f>#REF!-"UFW!D"</f>
        <v>#REF!</v>
      </c>
      <c r="IS4" t="e">
        <f>#REF!-"UFW!E"</f>
        <v>#REF!</v>
      </c>
      <c r="IT4" t="e">
        <f>#REF!-"UFW!F"</f>
        <v>#REF!</v>
      </c>
      <c r="IU4" t="e">
        <f>#REF!-"UFW!G"</f>
        <v>#REF!</v>
      </c>
      <c r="IV4" t="e">
        <f>#REF!-"UFW!H"</f>
        <v>#REF!</v>
      </c>
    </row>
    <row r="5" spans="1:256" x14ac:dyDescent="0.25">
      <c r="A5" t="s">
        <v>8</v>
      </c>
      <c r="F5" t="e">
        <f>#REF!-"UFW!I"</f>
        <v>#REF!</v>
      </c>
      <c r="G5" t="e">
        <f>#REF!-"UFW!J"</f>
        <v>#REF!</v>
      </c>
      <c r="H5" t="e">
        <f>#REF!-"UFW!K"</f>
        <v>#REF!</v>
      </c>
      <c r="I5" t="e">
        <f>#REF!-"UFW!L"</f>
        <v>#REF!</v>
      </c>
      <c r="J5" t="e">
        <f>#REF!-"UFW!M"</f>
        <v>#REF!</v>
      </c>
      <c r="K5" t="e">
        <f>#REF!-"UFW!N"</f>
        <v>#REF!</v>
      </c>
      <c r="L5" t="e">
        <f>#REF!-"UFW!O"</f>
        <v>#REF!</v>
      </c>
      <c r="M5" t="e">
        <f>#REF!-"UFW!P"</f>
        <v>#REF!</v>
      </c>
      <c r="N5" t="e">
        <f>#REF!*"UFW!Q"</f>
        <v>#REF!</v>
      </c>
      <c r="O5" t="e">
        <f>#REF!*"UFW!R"</f>
        <v>#REF!</v>
      </c>
      <c r="P5" t="e">
        <f>#REF!+"UFW!S"</f>
        <v>#REF!</v>
      </c>
      <c r="Q5" t="e">
        <f>#REF!+"UFW!T"</f>
        <v>#REF!</v>
      </c>
      <c r="R5" t="e">
        <f>#REF!+"UFW!U"</f>
        <v>#REF!</v>
      </c>
      <c r="S5" t="e">
        <f>#REF!+"UFW!V"</f>
        <v>#REF!</v>
      </c>
      <c r="T5" t="e">
        <f>#REF!+"UFW!W"</f>
        <v>#REF!</v>
      </c>
      <c r="U5" t="e">
        <f>#REF!+"UFW!X"</f>
        <v>#REF!</v>
      </c>
      <c r="V5" t="e">
        <f>#REF!+"UFW!Y"</f>
        <v>#REF!</v>
      </c>
      <c r="W5" t="e">
        <f>#REF!+"UFW!Z"</f>
        <v>#REF!</v>
      </c>
      <c r="X5" t="e">
        <f>#REF!+"UFW!["</f>
        <v>#REF!</v>
      </c>
      <c r="Y5" t="e">
        <f>#REF!+"UFW!\"</f>
        <v>#REF!</v>
      </c>
      <c r="Z5" t="e">
        <f>#REF!+"UFW!]"</f>
        <v>#REF!</v>
      </c>
      <c r="AA5" t="e">
        <f>#REF!+"UFW!^"</f>
        <v>#REF!</v>
      </c>
      <c r="AB5" t="e">
        <f>#REF!+"UFW!_"</f>
        <v>#REF!</v>
      </c>
      <c r="AC5" t="e">
        <f>#REF!+"UFW!`"</f>
        <v>#REF!</v>
      </c>
      <c r="AD5" t="e">
        <f>#REF!+"UFW!a"</f>
        <v>#REF!</v>
      </c>
      <c r="AE5" t="e">
        <f>#REF!+"UFW!b"</f>
        <v>#REF!</v>
      </c>
      <c r="AF5" t="e">
        <f>#REF!+"UFW!c"</f>
        <v>#REF!</v>
      </c>
      <c r="AG5" t="e">
        <f>#REF!+"UFW!d"</f>
        <v>#REF!</v>
      </c>
      <c r="AH5" t="e">
        <f>#REF!+"UFW!e"</f>
        <v>#REF!</v>
      </c>
      <c r="AI5" t="e">
        <f>#REF!+"UFW!f"</f>
        <v>#REF!</v>
      </c>
      <c r="AJ5" t="e">
        <f>#REF!+"UFW!g"</f>
        <v>#REF!</v>
      </c>
      <c r="AK5" t="e">
        <f>#REF!+"UFW!h"</f>
        <v>#REF!</v>
      </c>
      <c r="AL5" t="e">
        <f>#REF!+"UFW!i"</f>
        <v>#REF!</v>
      </c>
      <c r="AM5" t="e">
        <f>#REF!+"UFW!j"</f>
        <v>#REF!</v>
      </c>
      <c r="AN5" t="e">
        <f>#REF!+"UFW!k"</f>
        <v>#REF!</v>
      </c>
      <c r="AO5" t="e">
        <f>#REF!+"UFW!l"</f>
        <v>#REF!</v>
      </c>
      <c r="AP5" t="e">
        <f>#REF!+"UFW!m"</f>
        <v>#REF!</v>
      </c>
      <c r="AQ5" t="e">
        <f>#REF!+"UFW!n"</f>
        <v>#REF!</v>
      </c>
      <c r="AR5" t="e">
        <f>#REF!+"UFW!o"</f>
        <v>#REF!</v>
      </c>
      <c r="AS5" t="e">
        <f>#REF!+"UFW!p"</f>
        <v>#REF!</v>
      </c>
      <c r="AT5" t="e">
        <f>#REF!+"UFW!q"</f>
        <v>#REF!</v>
      </c>
      <c r="AU5" t="e">
        <f>#REF!+"UFW!r"</f>
        <v>#REF!</v>
      </c>
      <c r="AV5" t="e">
        <f>#REF!+"UFW!s"</f>
        <v>#REF!</v>
      </c>
      <c r="AW5" t="e">
        <f>#REF!+"UFW!t"</f>
        <v>#REF!</v>
      </c>
      <c r="AX5" t="e">
        <f>#REF!+"UFW!u"</f>
        <v>#REF!</v>
      </c>
      <c r="AY5" t="e">
        <f>#REF!+"UFW!v"</f>
        <v>#REF!</v>
      </c>
      <c r="AZ5" t="e">
        <f>#REF!+"UFW!w"</f>
        <v>#REF!</v>
      </c>
      <c r="BA5" t="e">
        <f>#REF!+"UFW!x"</f>
        <v>#REF!</v>
      </c>
      <c r="BB5" t="e">
        <f>#REF!+"UFW!y"</f>
        <v>#REF!</v>
      </c>
      <c r="BC5" t="e">
        <f>#REF!+"UFW!z"</f>
        <v>#REF!</v>
      </c>
      <c r="BD5" t="e">
        <f>#REF!+"UFW!{"</f>
        <v>#REF!</v>
      </c>
      <c r="BE5" t="e">
        <f>#REF!+"UFW!|"</f>
        <v>#REF!</v>
      </c>
      <c r="BF5" t="e">
        <f>#REF!+"UFW!}"</f>
        <v>#REF!</v>
      </c>
      <c r="BG5" t="e">
        <f>#REF!+"UFW!~"</f>
        <v>#REF!</v>
      </c>
      <c r="BH5" t="e">
        <f>#REF!+"UFW!$#"</f>
        <v>#REF!</v>
      </c>
      <c r="BI5" t="e">
        <f>#REF!+"UFW!$$"</f>
        <v>#REF!</v>
      </c>
      <c r="BJ5" t="e">
        <f>#REF!+"UFW!$%"</f>
        <v>#REF!</v>
      </c>
      <c r="BK5" t="e">
        <f>#REF!+"UFW!$&amp;"</f>
        <v>#REF!</v>
      </c>
      <c r="BL5" t="e">
        <f>#REF!+"UFW!$'"</f>
        <v>#REF!</v>
      </c>
      <c r="BM5" t="e">
        <f>#REF!+"UFW!$("</f>
        <v>#REF!</v>
      </c>
      <c r="BN5" t="e">
        <f>#REF!+"UFW!$)"</f>
        <v>#REF!</v>
      </c>
      <c r="BO5" t="e">
        <f>#REF!+"UFW!$."</f>
        <v>#REF!</v>
      </c>
      <c r="BP5" t="e">
        <f>#REF!+"UFW!$/"</f>
        <v>#REF!</v>
      </c>
      <c r="BQ5" t="e">
        <f>#REF!+"UFW!$0"</f>
        <v>#REF!</v>
      </c>
      <c r="BR5" t="e">
        <f>#REF!-"bXY!2."</f>
        <v>#REF!</v>
      </c>
      <c r="BS5" t="e">
        <f>#REF!-"bXY!2/"</f>
        <v>#REF!</v>
      </c>
      <c r="BT5" t="e">
        <f>#REF!-"bXY!20"</f>
        <v>#REF!</v>
      </c>
      <c r="BU5" t="e">
        <f>#REF!-"bXY!21"</f>
        <v>#REF!</v>
      </c>
      <c r="BV5" t="e">
        <f>#REF!+"bXY!22"</f>
        <v>#REF!</v>
      </c>
      <c r="BW5" t="e">
        <f>#REF!+"bXY!23"</f>
        <v>#REF!</v>
      </c>
      <c r="BX5" t="e">
        <f>#REF!+"bXY!24"</f>
        <v>#REF!</v>
      </c>
      <c r="BY5" t="e">
        <f>#REF!+"bXY!25"</f>
        <v>#REF!</v>
      </c>
      <c r="BZ5" t="e">
        <f>#REF!+"bXY!26"</f>
        <v>#REF!</v>
      </c>
      <c r="CA5" t="e">
        <f>#REF!+"bXY!27"</f>
        <v>#REF!</v>
      </c>
      <c r="CB5" t="e">
        <f>#REF!+"bXY!28"</f>
        <v>#REF!</v>
      </c>
      <c r="CC5" t="e">
        <f>#REF!+"bXY!29"</f>
        <v>#REF!</v>
      </c>
      <c r="CD5" t="e">
        <f>#REF!+"bXY!2:"</f>
        <v>#REF!</v>
      </c>
      <c r="CE5" t="e">
        <f>#REF!+"bXY!2;"</f>
        <v>#REF!</v>
      </c>
      <c r="CF5" t="e">
        <f>#REF!+"bXY!2&lt;"</f>
        <v>#REF!</v>
      </c>
      <c r="CG5" t="e">
        <f>#REF!+"bXY!2="</f>
        <v>#REF!</v>
      </c>
      <c r="CH5" t="e">
        <f>#REF!+"bXY!2&gt;"</f>
        <v>#REF!</v>
      </c>
      <c r="CI5" t="e">
        <f>#REF!+"bXY!2?"</f>
        <v>#REF!</v>
      </c>
      <c r="CJ5" t="e">
        <f>#REF!+"bXY!2@"</f>
        <v>#REF!</v>
      </c>
      <c r="CK5" t="e">
        <f>#REF!+"bXY!2A"</f>
        <v>#REF!</v>
      </c>
      <c r="CL5" t="e">
        <f>#REF!+"bXY!2B"</f>
        <v>#REF!</v>
      </c>
      <c r="CM5" t="e">
        <f>#REF!+"bXY!2C"</f>
        <v>#REF!</v>
      </c>
      <c r="CN5" t="e">
        <f>#REF!+"bXY!2D"</f>
        <v>#REF!</v>
      </c>
      <c r="CO5" t="e">
        <f>#REF!+"bXY!2E"</f>
        <v>#REF!</v>
      </c>
      <c r="CP5" t="e">
        <f>#REF!+"bXY!2F"</f>
        <v>#REF!</v>
      </c>
      <c r="CQ5" t="e">
        <f>#REF!+"bXY!2G"</f>
        <v>#REF!</v>
      </c>
      <c r="CR5" t="e">
        <f>#REF!+"bXY!2H"</f>
        <v>#REF!</v>
      </c>
      <c r="CS5" t="e">
        <f>#REF!+"bXY!2I"</f>
        <v>#REF!</v>
      </c>
      <c r="CT5" t="e">
        <f>#REF!+"bXY!2J"</f>
        <v>#REF!</v>
      </c>
      <c r="CU5" t="e">
        <f>#REF!+"bXY!2K"</f>
        <v>#REF!</v>
      </c>
      <c r="CV5" t="e">
        <f>#REF!+"bXY!2L"</f>
        <v>#REF!</v>
      </c>
      <c r="CW5" t="e">
        <f>#REF!+"bXY!2M"</f>
        <v>#REF!</v>
      </c>
      <c r="CX5" t="e">
        <f>#REF!+"bXY!2N"</f>
        <v>#REF!</v>
      </c>
      <c r="CY5" t="e">
        <f>#REF!+"bXY!2O"</f>
        <v>#REF!</v>
      </c>
      <c r="CZ5" t="e">
        <f>#REF!+"bXY!2P"</f>
        <v>#REF!</v>
      </c>
      <c r="DA5" t="e">
        <f>#REF!+"bXY!2Q"</f>
        <v>#REF!</v>
      </c>
      <c r="DB5" t="e">
        <f>#REF!+"bXY!2R"</f>
        <v>#REF!</v>
      </c>
      <c r="DC5" t="e">
        <f>#REF!+"bXY!2S"</f>
        <v>#REF!</v>
      </c>
      <c r="DD5" t="e">
        <f>#REF!+"bXY!2T"</f>
        <v>#REF!</v>
      </c>
      <c r="DE5" t="e">
        <f>#REF!+"bXY!2U"</f>
        <v>#REF!</v>
      </c>
      <c r="DF5" t="e">
        <f>#REF!+"bXY!2V"</f>
        <v>#REF!</v>
      </c>
      <c r="DG5" t="e">
        <f>#REF!+"bXY!2W"</f>
        <v>#REF!</v>
      </c>
      <c r="DH5" t="e">
        <f>#REF!+"bXY!2X"</f>
        <v>#REF!</v>
      </c>
      <c r="DI5" t="e">
        <f>#REF!+"bXY!2Y"</f>
        <v>#REF!</v>
      </c>
      <c r="DJ5" t="e">
        <f>#REF!+"bXY!2Z"</f>
        <v>#REF!</v>
      </c>
      <c r="DK5" t="e">
        <f>#REF!+"bXY!2["</f>
        <v>#REF!</v>
      </c>
      <c r="DL5" t="e">
        <f>#REF!+"bXY!2\"</f>
        <v>#REF!</v>
      </c>
      <c r="DM5" t="e">
        <f>#REF!+"bXY!2]"</f>
        <v>#REF!</v>
      </c>
      <c r="DN5" t="e">
        <f>#REF!+"bXY!2^"</f>
        <v>#REF!</v>
      </c>
      <c r="DO5" t="e">
        <f>#REF!+"bXY!2_"</f>
        <v>#REF!</v>
      </c>
      <c r="DP5" t="e">
        <f>#REF!+"bXY!2`"</f>
        <v>#REF!</v>
      </c>
      <c r="DQ5" t="e">
        <f>#REF!+"bXY!2a"</f>
        <v>#REF!</v>
      </c>
      <c r="DR5" t="e">
        <f>#REF!+"bXY!2b"</f>
        <v>#REF!</v>
      </c>
      <c r="DS5" t="e">
        <f>#REF!+"bXY!2c"</f>
        <v>#REF!</v>
      </c>
      <c r="DT5" t="e">
        <f>#REF!+"bXY!2d"</f>
        <v>#REF!</v>
      </c>
      <c r="DU5" t="e">
        <f>#REF!+"bXY!2e"</f>
        <v>#REF!</v>
      </c>
      <c r="DV5" t="e">
        <f>#REF!+"bXY!2f"</f>
        <v>#REF!</v>
      </c>
      <c r="DW5" t="e">
        <f>#REF!+"bXY!2g"</f>
        <v>#REF!</v>
      </c>
      <c r="DX5" t="e">
        <f>#REF!+"bXY!2h"</f>
        <v>#REF!</v>
      </c>
      <c r="DY5" t="e">
        <f>#REF!+"bXY!2i"</f>
        <v>#REF!</v>
      </c>
      <c r="DZ5" t="e">
        <f>#REF!+"bXY!2j"</f>
        <v>#REF!</v>
      </c>
      <c r="EA5" t="e">
        <f>#REF!+"bXY!2k"</f>
        <v>#REF!</v>
      </c>
      <c r="EB5" t="e">
        <f>#REF!+"bXY!2l"</f>
        <v>#REF!</v>
      </c>
      <c r="EC5" t="e">
        <f>#REF!+"bXY!2m"</f>
        <v>#REF!</v>
      </c>
      <c r="ED5" t="e">
        <f>#REF!+"bXY!2n"</f>
        <v>#REF!</v>
      </c>
      <c r="EE5" t="e">
        <f>#REF!+"bXY!2o"</f>
        <v>#REF!</v>
      </c>
      <c r="EF5" t="e">
        <f>#REF!+"bXY!2p"</f>
        <v>#REF!</v>
      </c>
      <c r="EG5" t="e">
        <f>#REF!+"bXY!2q"</f>
        <v>#REF!</v>
      </c>
      <c r="EH5" t="e">
        <f>#REF!+"bXY!2r"</f>
        <v>#REF!</v>
      </c>
      <c r="EI5" t="e">
        <f>#REF!+"bXY!2s"</f>
        <v>#REF!</v>
      </c>
      <c r="EJ5" t="e">
        <f>#REF!+"bXY!2t"</f>
        <v>#REF!</v>
      </c>
      <c r="EK5" t="e">
        <f>#REF!+"bXY!2u"</f>
        <v>#REF!</v>
      </c>
      <c r="EL5" t="e">
        <f>#REF!+"bXY!2v"</f>
        <v>#REF!</v>
      </c>
      <c r="EM5" t="e">
        <f>#REF!+"bXY!2w"</f>
        <v>#REF!</v>
      </c>
      <c r="EN5" t="e">
        <f>#REF!+"bXY!2x"</f>
        <v>#REF!</v>
      </c>
      <c r="EO5" t="e">
        <f>#REF!+"bXY!2y"</f>
        <v>#REF!</v>
      </c>
      <c r="EP5" t="e">
        <f>#REF!+"bXY!2z"</f>
        <v>#REF!</v>
      </c>
      <c r="EQ5" t="e">
        <f>#REF!+"bXY!2{"</f>
        <v>#REF!</v>
      </c>
      <c r="ER5" t="e">
        <f>#REF!+"bXY!2|"</f>
        <v>#REF!</v>
      </c>
      <c r="ES5" t="e">
        <f>#REF!+"bXY!2}"</f>
        <v>#REF!</v>
      </c>
      <c r="ET5" t="e">
        <f>#REF!+"bXY!2~"</f>
        <v>#REF!</v>
      </c>
      <c r="EU5" t="e">
        <f>#REF!+"bXY!3#"</f>
        <v>#REF!</v>
      </c>
      <c r="EV5" t="e">
        <f>#REF!+"bXY!3$"</f>
        <v>#REF!</v>
      </c>
      <c r="EW5" t="e">
        <f>#REF!+"bXY!3%"</f>
        <v>#REF!</v>
      </c>
      <c r="EX5" t="e">
        <f>#REF!+"bXY!3&amp;"</f>
        <v>#REF!</v>
      </c>
      <c r="EY5" t="e">
        <f>#REF!+"bXY!3'"</f>
        <v>#REF!</v>
      </c>
      <c r="EZ5" t="e">
        <f>#REF!+"bXY!3("</f>
        <v>#REF!</v>
      </c>
      <c r="FA5" t="e">
        <f>#REF!+"bXY!3)"</f>
        <v>#REF!</v>
      </c>
      <c r="FB5" t="e">
        <f>#REF!+"bXY!3."</f>
        <v>#REF!</v>
      </c>
      <c r="FC5" t="e">
        <f>#REF!+"bXY!3/"</f>
        <v>#REF!</v>
      </c>
      <c r="FD5" t="e">
        <f>#REF!+"bXY!30"</f>
        <v>#REF!</v>
      </c>
      <c r="FE5" t="e">
        <f>#REF!+"bXY!31"</f>
        <v>#REF!</v>
      </c>
      <c r="FF5" t="e">
        <f>#REF!+"bXY!32"</f>
        <v>#REF!</v>
      </c>
      <c r="FG5" t="e">
        <f>#REF!+"bXY!33"</f>
        <v>#REF!</v>
      </c>
      <c r="FH5" t="e">
        <f>#REF!+"bXY!34"</f>
        <v>#REF!</v>
      </c>
      <c r="FI5" t="e">
        <f>#REF!+"bXY!35"</f>
        <v>#REF!</v>
      </c>
      <c r="FJ5" t="e">
        <f>#REF!+"bXY!36"</f>
        <v>#REF!</v>
      </c>
      <c r="FK5" t="e">
        <f>#REF!+"bXY!37"</f>
        <v>#REF!</v>
      </c>
      <c r="FL5" t="e">
        <f>#REF!+"bXY!38"</f>
        <v>#REF!</v>
      </c>
      <c r="FM5" t="e">
        <f>#REF!+"bXY!39"</f>
        <v>#REF!</v>
      </c>
      <c r="FN5" t="e">
        <f>#REF!+"bXY!3:"</f>
        <v>#REF!</v>
      </c>
      <c r="FO5" t="e">
        <f>#REF!+"bXY!3;"</f>
        <v>#REF!</v>
      </c>
      <c r="FP5" t="e">
        <f>#REF!+"bXY!3&lt;"</f>
        <v>#REF!</v>
      </c>
      <c r="FQ5" t="e">
        <f>#REF!+"bXY!3="</f>
        <v>#REF!</v>
      </c>
      <c r="FR5" t="e">
        <f>#REF!+"bXY!3&gt;"</f>
        <v>#REF!</v>
      </c>
      <c r="FS5" t="e">
        <f>#REF!*"UFW!$2"</f>
        <v>#REF!</v>
      </c>
      <c r="FT5" t="e">
        <f>#REF!*"UFW!$3"</f>
        <v>#REF!</v>
      </c>
      <c r="FU5" t="e">
        <f>#REF!*"UFW!$4"</f>
        <v>#REF!</v>
      </c>
      <c r="FV5" t="e">
        <f>#REF!*"UFW!$5"</f>
        <v>#REF!</v>
      </c>
      <c r="FW5" t="e">
        <f>#REF!*"UFW!$6"</f>
        <v>#REF!</v>
      </c>
      <c r="FX5" t="e">
        <f>#REF!*"UFW!$7"</f>
        <v>#REF!</v>
      </c>
      <c r="FY5" t="e">
        <f>#REF!*"UFW!$8"</f>
        <v>#REF!</v>
      </c>
      <c r="FZ5" t="e">
        <f>#REF!*"UFW!$9"</f>
        <v>#REF!</v>
      </c>
      <c r="GA5" t="e">
        <f>#REF!*"UFW!$:"</f>
        <v>#REF!</v>
      </c>
      <c r="GB5" t="e">
        <f>#REF!*"UFW!$;"</f>
        <v>#REF!</v>
      </c>
      <c r="GC5" t="e">
        <f>#REF!*"UFW!$&lt;"</f>
        <v>#REF!</v>
      </c>
      <c r="GD5" t="e">
        <f>#REF!*"UFW!$="</f>
        <v>#REF!</v>
      </c>
      <c r="GE5" t="e">
        <f>#REF!*"UFW!$&gt;"</f>
        <v>#REF!</v>
      </c>
      <c r="GF5" t="e">
        <f>#REF!*"UFW!$?"</f>
        <v>#REF!</v>
      </c>
      <c r="GG5" t="e">
        <f>#REF!*"UFW!$@"</f>
        <v>#REF!</v>
      </c>
      <c r="GH5" t="e">
        <f>#REF!*"UFW!$A"</f>
        <v>#REF!</v>
      </c>
      <c r="GI5" t="e">
        <f>#REF!*"UFW!$B"</f>
        <v>#REF!</v>
      </c>
      <c r="GJ5" t="e">
        <f>#REF!*"UFW!$C"</f>
        <v>#REF!</v>
      </c>
      <c r="GK5" t="e">
        <f>#REF!*"UFW!$D"</f>
        <v>#REF!</v>
      </c>
      <c r="GL5" t="e">
        <f>#REF!*"UFW!$E"</f>
        <v>#REF!</v>
      </c>
      <c r="GM5" t="e">
        <f>#REF!*"UFW!$F"</f>
        <v>#REF!</v>
      </c>
      <c r="GN5" t="e">
        <f>#REF!*"UFW!$G"</f>
        <v>#REF!</v>
      </c>
      <c r="GO5" t="e">
        <f>#REF!*"UFW!$H"</f>
        <v>#REF!</v>
      </c>
      <c r="GP5" t="e">
        <f>#REF!*"UFW!$I"</f>
        <v>#REF!</v>
      </c>
      <c r="GQ5" t="e">
        <f>#REF!*"UFW!$J"</f>
        <v>#REF!</v>
      </c>
      <c r="GR5" t="e">
        <f>#REF!*"UFW!$K"</f>
        <v>#REF!</v>
      </c>
      <c r="GS5" t="e">
        <f>#REF!*"UFW!$L"</f>
        <v>#REF!</v>
      </c>
      <c r="GT5" t="e">
        <f>#REF!*"UFW!$M"</f>
        <v>#REF!</v>
      </c>
      <c r="GU5" t="e">
        <f>#REF!*"UFW!$N"</f>
        <v>#REF!</v>
      </c>
      <c r="GV5" t="e">
        <f>#REF!*"UFW!$O"</f>
        <v>#REF!</v>
      </c>
      <c r="GW5" t="e">
        <f>#REF!*"UFW!$P"</f>
        <v>#REF!</v>
      </c>
      <c r="GX5" t="e">
        <f>#REF!*"UFW!$Q"</f>
        <v>#REF!</v>
      </c>
      <c r="GY5" t="e">
        <f>#REF!*"UFW!$R"</f>
        <v>#REF!</v>
      </c>
      <c r="GZ5" t="e">
        <f>#REF!*"UFW!$S"</f>
        <v>#REF!</v>
      </c>
      <c r="HA5" t="e">
        <f>#REF!*"UFW!$T"</f>
        <v>#REF!</v>
      </c>
      <c r="HB5" t="e">
        <f>#REF!*"UFW!$U"</f>
        <v>#REF!</v>
      </c>
      <c r="HC5" t="e">
        <f>#REF!*"UFW!$V"</f>
        <v>#REF!</v>
      </c>
      <c r="HD5" t="e">
        <f>#REF!*"UFW!$W"</f>
        <v>#REF!</v>
      </c>
      <c r="HE5" t="e">
        <f>#REF!*"UFW!$X"</f>
        <v>#REF!</v>
      </c>
      <c r="HF5" t="e">
        <f>#REF!*"UFW!$Y"</f>
        <v>#REF!</v>
      </c>
      <c r="HG5" t="e">
        <f>#REF!*"UFW!$Z"</f>
        <v>#REF!</v>
      </c>
      <c r="HH5" t="e">
        <f>#REF!*"UFW!$["</f>
        <v>#REF!</v>
      </c>
      <c r="HI5" t="e">
        <f>#REF!*"UFW!$\"</f>
        <v>#REF!</v>
      </c>
      <c r="HJ5" t="e">
        <f>#REF!*"UFW!$]"</f>
        <v>#REF!</v>
      </c>
      <c r="HK5" t="e">
        <f>#REF!*"UFW!$^"</f>
        <v>#REF!</v>
      </c>
      <c r="HL5" t="e">
        <f>#REF!*"UFW!$_"</f>
        <v>#REF!</v>
      </c>
      <c r="HM5" t="e">
        <f>#REF!*"UFW!$`"</f>
        <v>#REF!</v>
      </c>
      <c r="HN5" t="e">
        <f>#REF!*"UFW!$a"</f>
        <v>#REF!</v>
      </c>
      <c r="HO5" t="e">
        <f>#REF!*"UFW!$b"</f>
        <v>#REF!</v>
      </c>
      <c r="HP5" t="e">
        <f>#REF!*"UFW!$c"</f>
        <v>#REF!</v>
      </c>
      <c r="HQ5" t="e">
        <f>#REF!*"UFW!$d"</f>
        <v>#REF!</v>
      </c>
      <c r="HR5" t="e">
        <f>#REF!*"UFW!$e"</f>
        <v>#REF!</v>
      </c>
      <c r="HS5" t="e">
        <f>#REF!*"UFW!$f"</f>
        <v>#REF!</v>
      </c>
      <c r="HT5" t="e">
        <f>#REF!*"UFW!$g"</f>
        <v>#REF!</v>
      </c>
      <c r="HU5" t="e">
        <f>#REF!*"UFW!$h"</f>
        <v>#REF!</v>
      </c>
      <c r="HV5" t="e">
        <f>#REF!*"UFW!$i"</f>
        <v>#REF!</v>
      </c>
      <c r="HW5" t="e">
        <f>#REF!*"UFW!$j"</f>
        <v>#REF!</v>
      </c>
      <c r="HX5" t="e">
        <f>#REF!*"UFW!$k"</f>
        <v>#REF!</v>
      </c>
      <c r="HY5" t="e">
        <f>#REF!*"UFW!$l"</f>
        <v>#REF!</v>
      </c>
      <c r="HZ5" t="e">
        <f>#REF!*"UFW!$m"</f>
        <v>#REF!</v>
      </c>
      <c r="IA5" t="e">
        <f>#REF!*"UFW!$n"</f>
        <v>#REF!</v>
      </c>
      <c r="IB5" t="e">
        <f>#REF!*"UFW!$o"</f>
        <v>#REF!</v>
      </c>
      <c r="IC5" t="e">
        <f>#REF!*"UFW!$p"</f>
        <v>#REF!</v>
      </c>
      <c r="ID5" t="e">
        <f>#REF!*"UFW!$q"</f>
        <v>#REF!</v>
      </c>
      <c r="IE5" t="e">
        <f>#REF!*"UFW!$r"</f>
        <v>#REF!</v>
      </c>
      <c r="IF5" t="e">
        <f>#REF!*"UFW!$s"</f>
        <v>#REF!</v>
      </c>
      <c r="IG5" t="e">
        <f>#REF!*"UFW!$t"</f>
        <v>#REF!</v>
      </c>
      <c r="IH5" t="e">
        <f>#REF!*"UFW!$u"</f>
        <v>#REF!</v>
      </c>
      <c r="II5" t="e">
        <f>#REF!*"UFW!$v"</f>
        <v>#REF!</v>
      </c>
      <c r="IJ5" t="e">
        <f>#REF!*"UFW!$w"</f>
        <v>#REF!</v>
      </c>
      <c r="IK5" t="e">
        <f>#REF!*"UFW!$x"</f>
        <v>#REF!</v>
      </c>
      <c r="IL5" t="e">
        <f>#REF!*"UFW!$y"</f>
        <v>#REF!</v>
      </c>
      <c r="IM5" t="e">
        <f>#REF!*"UFW!$z"</f>
        <v>#REF!</v>
      </c>
      <c r="IN5" t="e">
        <f>#REF!*"UFW!${"</f>
        <v>#REF!</v>
      </c>
      <c r="IO5" t="e">
        <f>#REF!*"UFW!$|"</f>
        <v>#REF!</v>
      </c>
      <c r="IP5" t="e">
        <f>#REF!*"UFW!$}"</f>
        <v>#REF!</v>
      </c>
      <c r="IQ5" t="e">
        <f>#REF!-"UFW!$~"</f>
        <v>#REF!</v>
      </c>
      <c r="IR5" t="e">
        <f>#REF!-"UFW!%#"</f>
        <v>#REF!</v>
      </c>
      <c r="IS5" t="e">
        <f>#REF!-"UFW!%$"</f>
        <v>#REF!</v>
      </c>
      <c r="IT5" t="e">
        <f>#REF!-"UFW!%%"</f>
        <v>#REF!</v>
      </c>
      <c r="IU5" t="e">
        <f>#REF!-"UFW!%&amp;"</f>
        <v>#REF!</v>
      </c>
      <c r="IV5" t="e">
        <f>#REF!-"UFW!%'"</f>
        <v>#REF!</v>
      </c>
    </row>
    <row r="6" spans="1:256" x14ac:dyDescent="0.25">
      <c r="A6" t="s">
        <v>11</v>
      </c>
      <c r="F6" t="e">
        <f>#REF!-"UFW!%("</f>
        <v>#REF!</v>
      </c>
      <c r="G6" t="e">
        <f>#REF!-"UFW!%)"</f>
        <v>#REF!</v>
      </c>
      <c r="H6" t="e">
        <f>#REF!-"UFW!%."</f>
        <v>#REF!</v>
      </c>
      <c r="I6" t="e">
        <f>#REF!-"UFW!%/"</f>
        <v>#REF!</v>
      </c>
      <c r="J6" t="e">
        <f>#REF!-"UFW!%0"</f>
        <v>#REF!</v>
      </c>
      <c r="K6" t="e">
        <f>#REF!-"UFW!%1"</f>
        <v>#REF!</v>
      </c>
      <c r="L6" t="e">
        <f>#REF!-"UFW!%2"</f>
        <v>#REF!</v>
      </c>
      <c r="M6" t="e">
        <f>#REF!-"UFW!%3"</f>
        <v>#REF!</v>
      </c>
      <c r="N6" t="e">
        <f>#REF!-"UFW!%4"</f>
        <v>#REF!</v>
      </c>
      <c r="O6" t="e">
        <f>#REF!-"UFW!%5"</f>
        <v>#REF!</v>
      </c>
      <c r="P6" t="e">
        <f>#REF!-"UFW!%6"</f>
        <v>#REF!</v>
      </c>
      <c r="Q6" t="e">
        <f>#REF!-"UFW!%7"</f>
        <v>#REF!</v>
      </c>
      <c r="R6" t="e">
        <f>#REF!-"UFW!%8"</f>
        <v>#REF!</v>
      </c>
      <c r="S6" t="e">
        <f>#REF!-"UFW!%9"</f>
        <v>#REF!</v>
      </c>
      <c r="T6" t="e">
        <f>#REF!-"UFW!%:"</f>
        <v>#REF!</v>
      </c>
      <c r="U6" t="e">
        <f>#REF!-"UFW!%;"</f>
        <v>#REF!</v>
      </c>
      <c r="V6" t="e">
        <f>#REF!-"UFW!%&lt;"</f>
        <v>#REF!</v>
      </c>
      <c r="W6" t="e">
        <f>#REF!-"UFW!%="</f>
        <v>#REF!</v>
      </c>
      <c r="X6" t="e">
        <f>#REF!-"UFW!%&gt;"</f>
        <v>#REF!</v>
      </c>
      <c r="Y6" t="e">
        <f>#REF!-"UFW!%?"</f>
        <v>#REF!</v>
      </c>
      <c r="Z6" t="e">
        <f>#REF!-"UFW!%@"</f>
        <v>#REF!</v>
      </c>
      <c r="AA6" t="e">
        <f>#REF!-"UFW!%A"</f>
        <v>#REF!</v>
      </c>
      <c r="AB6" t="e">
        <f>#REF!-"UFW!%B"</f>
        <v>#REF!</v>
      </c>
      <c r="AC6" t="e">
        <f>#REF!-"UFW!%C"</f>
        <v>#REF!</v>
      </c>
      <c r="AD6" t="e">
        <f>#REF!-"UFW!%D"</f>
        <v>#REF!</v>
      </c>
      <c r="AE6" t="e">
        <f>#REF!-"UFW!%E"</f>
        <v>#REF!</v>
      </c>
      <c r="AF6" t="e">
        <f>#REF!-"UFW!%F"</f>
        <v>#REF!</v>
      </c>
      <c r="AG6" t="e">
        <f>#REF!-"UFW!%G"</f>
        <v>#REF!</v>
      </c>
      <c r="AH6" t="e">
        <f>#REF!-"UFW!%H"</f>
        <v>#REF!</v>
      </c>
      <c r="AI6" t="e">
        <f>#REF!-"UFW!%I"</f>
        <v>#REF!</v>
      </c>
      <c r="AJ6" t="e">
        <f>#REF!-"UFW!%J"</f>
        <v>#REF!</v>
      </c>
      <c r="AK6" t="e">
        <f>#REF!-"UFW!%K"</f>
        <v>#REF!</v>
      </c>
      <c r="AL6" t="e">
        <f>#REF!-"UFW!%L"</f>
        <v>#REF!</v>
      </c>
      <c r="AM6" t="e">
        <f>#REF!-"UFW!%M"</f>
        <v>#REF!</v>
      </c>
      <c r="AN6" t="e">
        <f>#REF!-"UFW!%N"</f>
        <v>#REF!</v>
      </c>
      <c r="AO6" t="e">
        <f>#REF!-"UFW!%O"</f>
        <v>#REF!</v>
      </c>
      <c r="AP6" t="e">
        <f>#REF!-"UFW!%P"</f>
        <v>#REF!</v>
      </c>
      <c r="AQ6" t="e">
        <f>#REF!-"UFW!%Q"</f>
        <v>#REF!</v>
      </c>
      <c r="AR6" t="e">
        <f>#REF!-"UFW!%R"</f>
        <v>#REF!</v>
      </c>
      <c r="AS6" t="e">
        <f>#REF!-"UFW!%S"</f>
        <v>#REF!</v>
      </c>
      <c r="AT6" t="e">
        <f>#REF!-"UFW!%T"</f>
        <v>#REF!</v>
      </c>
      <c r="AU6" t="e">
        <f>#REF!-"UFW!%U"</f>
        <v>#REF!</v>
      </c>
      <c r="AV6" t="e">
        <f>#REF!-"UFW!%V"</f>
        <v>#REF!</v>
      </c>
      <c r="AW6" t="e">
        <f>#REF!-"UFW!%W"</f>
        <v>#REF!</v>
      </c>
      <c r="AX6" t="e">
        <f>#REF!-"UFW!%X"</f>
        <v>#REF!</v>
      </c>
      <c r="AY6" t="e">
        <f>#REF!-"UFW!%Y"</f>
        <v>#REF!</v>
      </c>
      <c r="AZ6" t="e">
        <f>#REF!-"UFW!%Z"</f>
        <v>#REF!</v>
      </c>
      <c r="BA6" t="e">
        <f>#REF!-"UFW!%["</f>
        <v>#REF!</v>
      </c>
      <c r="BB6" t="e">
        <f>#REF!-"UFW!%\"</f>
        <v>#REF!</v>
      </c>
      <c r="BC6" t="e">
        <f>#REF!-"UFW!%]"</f>
        <v>#REF!</v>
      </c>
      <c r="BD6" t="e">
        <f>#REF!-"UFW!%^"</f>
        <v>#REF!</v>
      </c>
      <c r="BE6" t="e">
        <f>#REF!-"UFW!%_"</f>
        <v>#REF!</v>
      </c>
      <c r="BF6" t="e">
        <f>#REF!-"UFW!%`"</f>
        <v>#REF!</v>
      </c>
      <c r="BG6" t="e">
        <f>#REF!-"UFW!%a"</f>
        <v>#REF!</v>
      </c>
      <c r="BH6" t="e">
        <f>#REF!-"UFW!%b"</f>
        <v>#REF!</v>
      </c>
      <c r="BI6" t="e">
        <f>#REF!-"UFW!%c"</f>
        <v>#REF!</v>
      </c>
      <c r="BJ6" t="e">
        <f>#REF!-"UFW!%d"</f>
        <v>#REF!</v>
      </c>
      <c r="BK6" t="e">
        <f>#REF!-"UFW!%e"</f>
        <v>#REF!</v>
      </c>
      <c r="BL6" t="e">
        <f>#REF!-"UFW!%f"</f>
        <v>#REF!</v>
      </c>
      <c r="BM6" t="e">
        <f>#REF!-"UFW!%g"</f>
        <v>#REF!</v>
      </c>
      <c r="BN6" t="e">
        <f>#REF!-"UFW!%h"</f>
        <v>#REF!</v>
      </c>
      <c r="BO6" t="e">
        <f>#REF!-"UFW!%i"</f>
        <v>#REF!</v>
      </c>
      <c r="BP6" t="e">
        <f>#REF!-"UFW!%j"</f>
        <v>#REF!</v>
      </c>
      <c r="BQ6" t="e">
        <f>#REF!-"UFW!%k"</f>
        <v>#REF!</v>
      </c>
      <c r="BR6" t="e">
        <f>#REF!-"UFW!%l"</f>
        <v>#REF!</v>
      </c>
      <c r="BS6" t="e">
        <f>#REF!-"UFW!%m"</f>
        <v>#REF!</v>
      </c>
      <c r="BT6" t="e">
        <f>#REF!-"UFW!%n"</f>
        <v>#REF!</v>
      </c>
      <c r="BU6" t="e">
        <f>#REF!-"UFW!%o"</f>
        <v>#REF!</v>
      </c>
      <c r="BV6" t="e">
        <f>#REF!-"UFW!%p"</f>
        <v>#REF!</v>
      </c>
      <c r="BW6" t="e">
        <f>#REF!-"UFW!%q"</f>
        <v>#REF!</v>
      </c>
      <c r="BX6" t="e">
        <f>#REF!-"UFW!%r"</f>
        <v>#REF!</v>
      </c>
      <c r="BY6" t="e">
        <f>#REF!-"UFW!%s"</f>
        <v>#REF!</v>
      </c>
      <c r="BZ6" t="e">
        <f>#REF!-"UFW!%t"</f>
        <v>#REF!</v>
      </c>
      <c r="CA6" t="e">
        <f>#REF!-"UFW!%u"</f>
        <v>#REF!</v>
      </c>
      <c r="CB6" t="e">
        <f>#REF!-"UFW!%v"</f>
        <v>#REF!</v>
      </c>
      <c r="CC6" t="e">
        <f>#REF!-"UFW!%w"</f>
        <v>#REF!</v>
      </c>
      <c r="CD6" t="e">
        <f>#REF!-"UFW!%x"</f>
        <v>#REF!</v>
      </c>
      <c r="CE6" t="e">
        <f>#REF!-"UFW!%y"</f>
        <v>#REF!</v>
      </c>
      <c r="CF6" t="e">
        <f>#REF!-"UFW!%z"</f>
        <v>#REF!</v>
      </c>
      <c r="CG6" t="e">
        <f>#REF!-"UFW!%{"</f>
        <v>#REF!</v>
      </c>
      <c r="CH6" t="e">
        <f>#REF!-"UFW!%|"</f>
        <v>#REF!</v>
      </c>
      <c r="CI6" t="e">
        <f>#REF!-"UFW!%}"</f>
        <v>#REF!</v>
      </c>
      <c r="CJ6" t="e">
        <f>#REF!-"UFW!%~"</f>
        <v>#REF!</v>
      </c>
      <c r="CK6" t="e">
        <f>#REF!-"UFW!&amp;#"</f>
        <v>#REF!</v>
      </c>
      <c r="CL6" t="e">
        <f>#REF!-"UFW!&amp;$"</f>
        <v>#REF!</v>
      </c>
      <c r="CM6" t="e">
        <f>#REF!-"UFW!&amp;%"</f>
        <v>#REF!</v>
      </c>
      <c r="CN6" t="e">
        <f>#REF!-"UFW!&amp;&amp;"</f>
        <v>#REF!</v>
      </c>
      <c r="CO6" t="e">
        <f>#REF!-"UFW!&amp;'"</f>
        <v>#REF!</v>
      </c>
      <c r="CP6" t="e">
        <f>#REF!-"UFW!&amp;("</f>
        <v>#REF!</v>
      </c>
      <c r="CQ6" t="e">
        <f>#REF!-"UFW!&amp;)"</f>
        <v>#REF!</v>
      </c>
      <c r="CR6" t="e">
        <f>#REF!-"UFW!&amp;."</f>
        <v>#REF!</v>
      </c>
      <c r="CS6" t="e">
        <f>#REF!-"UFW!&amp;/"</f>
        <v>#REF!</v>
      </c>
      <c r="CT6" t="e">
        <f>#REF!-"UFW!&amp;0"</f>
        <v>#REF!</v>
      </c>
      <c r="CU6" t="e">
        <f>#REF!-"UFW!&amp;1"</f>
        <v>#REF!</v>
      </c>
      <c r="CV6" t="e">
        <f>#REF!-"UFW!&amp;2"</f>
        <v>#REF!</v>
      </c>
      <c r="CW6" t="e">
        <f>#REF!-"UFW!&amp;3"</f>
        <v>#REF!</v>
      </c>
      <c r="CX6" t="e">
        <f>#REF!-"UFW!&amp;4"</f>
        <v>#REF!</v>
      </c>
      <c r="CY6" t="e">
        <f>#REF!-"UFW!&amp;5"</f>
        <v>#REF!</v>
      </c>
      <c r="CZ6" t="e">
        <f>#REF!-"UFW!&amp;6"</f>
        <v>#REF!</v>
      </c>
      <c r="DA6" t="e">
        <f>#REF!-"UFW!&amp;7"</f>
        <v>#REF!</v>
      </c>
      <c r="DB6" t="e">
        <f>#REF!-"UFW!&amp;8"</f>
        <v>#REF!</v>
      </c>
      <c r="DC6" t="e">
        <f>#REF!-"UFW!&amp;9"</f>
        <v>#REF!</v>
      </c>
      <c r="DD6" t="e">
        <f>#REF!-"UFW!&amp;:"</f>
        <v>#REF!</v>
      </c>
      <c r="DE6" t="e">
        <f>#REF!-"UFW!&amp;;"</f>
        <v>#REF!</v>
      </c>
      <c r="DF6" t="e">
        <f>#REF!-"UFW!&amp;&lt;"</f>
        <v>#REF!</v>
      </c>
      <c r="DG6" t="e">
        <f>#REF!-"UFW!&amp;="</f>
        <v>#REF!</v>
      </c>
      <c r="DH6" t="e">
        <f>#REF!-"UFW!&amp;&gt;"</f>
        <v>#REF!</v>
      </c>
      <c r="DI6" t="e">
        <f>#REF!-"UFW!&amp;?"</f>
        <v>#REF!</v>
      </c>
      <c r="DJ6" t="e">
        <f>#REF!-"UFW!&amp;@"</f>
        <v>#REF!</v>
      </c>
      <c r="DK6" t="e">
        <f>#REF!-"UFW!&amp;A"</f>
        <v>#REF!</v>
      </c>
      <c r="DL6" t="e">
        <f>#REF!-"UFW!&amp;B"</f>
        <v>#REF!</v>
      </c>
      <c r="DM6" t="e">
        <f>#REF!-"UFW!&amp;C"</f>
        <v>#REF!</v>
      </c>
      <c r="DN6" t="e">
        <f>#REF!-"UFW!&amp;D"</f>
        <v>#REF!</v>
      </c>
      <c r="DO6" t="e">
        <f>#REF!-"UFW!&amp;E"</f>
        <v>#REF!</v>
      </c>
      <c r="DP6" t="e">
        <f>#REF!-"UFW!&amp;F"</f>
        <v>#REF!</v>
      </c>
      <c r="DQ6" t="e">
        <f>#REF!-"UFW!&amp;G"</f>
        <v>#REF!</v>
      </c>
      <c r="DR6" t="e">
        <f>#REF!-"UFW!&amp;H"</f>
        <v>#REF!</v>
      </c>
      <c r="DS6" t="e">
        <f>#REF!-"UFW!&amp;I"</f>
        <v>#REF!</v>
      </c>
      <c r="DT6" t="e">
        <f>#REF!-"UFW!&amp;J"</f>
        <v>#REF!</v>
      </c>
      <c r="DU6" t="e">
        <f>#REF!-"UFW!&amp;K"</f>
        <v>#REF!</v>
      </c>
      <c r="DV6" t="e">
        <f>#REF!-"UFW!&amp;L"</f>
        <v>#REF!</v>
      </c>
      <c r="DW6" t="e">
        <f>#REF!-"UFW!&amp;M"</f>
        <v>#REF!</v>
      </c>
      <c r="DX6" t="e">
        <f>#REF!-"UFW!&amp;N"</f>
        <v>#REF!</v>
      </c>
      <c r="DY6" t="e">
        <f>#REF!-"UFW!&amp;O"</f>
        <v>#REF!</v>
      </c>
      <c r="DZ6" t="e">
        <f>#REF!-"UFW!&amp;P"</f>
        <v>#REF!</v>
      </c>
      <c r="EA6" t="e">
        <f>#REF!-"UFW!&amp;Q"</f>
        <v>#REF!</v>
      </c>
      <c r="EB6" t="e">
        <f>#REF!-"UFW!&amp;R"</f>
        <v>#REF!</v>
      </c>
      <c r="EC6" t="e">
        <f>#REF!-"UFW!&amp;S"</f>
        <v>#REF!</v>
      </c>
      <c r="ED6" t="e">
        <f>#REF!-"UFW!&amp;T"</f>
        <v>#REF!</v>
      </c>
      <c r="EE6" t="e">
        <f>#REF!-"UFW!&amp;U"</f>
        <v>#REF!</v>
      </c>
      <c r="EF6" t="e">
        <f>#REF!-"UFW!&amp;V"</f>
        <v>#REF!</v>
      </c>
      <c r="EG6" t="e">
        <f>#REF!-"UFW!&amp;W"</f>
        <v>#REF!</v>
      </c>
      <c r="EH6" t="e">
        <f>#REF!-"UFW!&amp;X"</f>
        <v>#REF!</v>
      </c>
      <c r="EI6" t="e">
        <f>#REF!-"UFW!&amp;Y"</f>
        <v>#REF!</v>
      </c>
      <c r="EJ6" t="e">
        <f>#REF!-"UFW!&amp;Z"</f>
        <v>#REF!</v>
      </c>
      <c r="EK6" t="e">
        <f>#REF!-"UFW!&amp;["</f>
        <v>#REF!</v>
      </c>
      <c r="EL6" t="e">
        <f>#REF!-"UFW!&amp;\"</f>
        <v>#REF!</v>
      </c>
      <c r="EM6" t="e">
        <f>#REF!-"UFW!&amp;]"</f>
        <v>#REF!</v>
      </c>
      <c r="EN6" t="e">
        <f>#REF!-"UFW!&amp;^"</f>
        <v>#REF!</v>
      </c>
      <c r="EO6" t="e">
        <f>#REF!-"UFW!&amp;_"</f>
        <v>#REF!</v>
      </c>
      <c r="EP6" t="e">
        <f>#REF!-"UFW!&amp;`"</f>
        <v>#REF!</v>
      </c>
      <c r="EQ6" t="e">
        <f>#REF!-"UFW!&amp;a"</f>
        <v>#REF!</v>
      </c>
      <c r="ER6" t="e">
        <f>#REF!-"UFW!&amp;b"</f>
        <v>#REF!</v>
      </c>
      <c r="ES6" t="e">
        <f>#REF!-"UFW!&amp;c"</f>
        <v>#REF!</v>
      </c>
      <c r="ET6" t="e">
        <f>#REF!-"UFW!&amp;d"</f>
        <v>#REF!</v>
      </c>
      <c r="EU6" t="e">
        <f>#REF!-"UFW!&amp;e"</f>
        <v>#REF!</v>
      </c>
      <c r="EV6" t="e">
        <f>#REF!-"UFW!&amp;f"</f>
        <v>#REF!</v>
      </c>
      <c r="EW6" t="e">
        <f>#REF!-"UFW!&amp;g"</f>
        <v>#REF!</v>
      </c>
      <c r="EX6" t="e">
        <f>#REF!-"UFW!&amp;h"</f>
        <v>#REF!</v>
      </c>
      <c r="EY6" t="e">
        <f>#REF!-"UFW!&amp;i"</f>
        <v>#REF!</v>
      </c>
      <c r="EZ6" t="e">
        <f>#REF!-"UFW!&amp;j"</f>
        <v>#REF!</v>
      </c>
      <c r="FA6" t="e">
        <f>#REF!-"UFW!&amp;k"</f>
        <v>#REF!</v>
      </c>
      <c r="FB6" t="e">
        <f>#REF!-"UFW!&amp;l"</f>
        <v>#REF!</v>
      </c>
      <c r="FC6" t="e">
        <f>#REF!-"UFW!&amp;m"</f>
        <v>#REF!</v>
      </c>
      <c r="FD6" t="e">
        <f>#REF!-"UFW!&amp;n"</f>
        <v>#REF!</v>
      </c>
      <c r="FE6" t="e">
        <f>#REF!-"UFW!&amp;o"</f>
        <v>#REF!</v>
      </c>
      <c r="FF6" t="e">
        <f>#REF!-"UFW!&amp;p"</f>
        <v>#REF!</v>
      </c>
      <c r="FG6" t="e">
        <f>#REF!-"UFW!&amp;q"</f>
        <v>#REF!</v>
      </c>
      <c r="FH6" t="e">
        <f>#REF!-"UFW!&amp;r"</f>
        <v>#REF!</v>
      </c>
      <c r="FI6" t="e">
        <f>#REF!-"UFW!&amp;s"</f>
        <v>#REF!</v>
      </c>
      <c r="FJ6" t="e">
        <f>#REF!-"UFW!&amp;t"</f>
        <v>#REF!</v>
      </c>
      <c r="FK6" t="e">
        <f>#REF!-"UFW!&amp;u"</f>
        <v>#REF!</v>
      </c>
      <c r="FL6" t="e">
        <f>#REF!-"UFW!&amp;v"</f>
        <v>#REF!</v>
      </c>
      <c r="FM6" t="e">
        <f>#REF!-"UFW!&amp;w"</f>
        <v>#REF!</v>
      </c>
      <c r="FN6" t="e">
        <f>#REF!-"UFW!&amp;x"</f>
        <v>#REF!</v>
      </c>
      <c r="FO6" t="e">
        <f>#REF!-"UFW!&amp;y"</f>
        <v>#REF!</v>
      </c>
      <c r="FP6" t="e">
        <f>#REF!-"UFW!&amp;z"</f>
        <v>#REF!</v>
      </c>
      <c r="FQ6" t="e">
        <f>#REF!-"UFW!&amp;{"</f>
        <v>#REF!</v>
      </c>
      <c r="FR6" t="e">
        <f>#REF!-"UFW!&amp;|"</f>
        <v>#REF!</v>
      </c>
      <c r="FS6" t="e">
        <f>#REF!-"UFW!&amp;}"</f>
        <v>#REF!</v>
      </c>
      <c r="FT6" t="e">
        <f>#REF!-"UFW!&amp;~"</f>
        <v>#REF!</v>
      </c>
      <c r="FU6" t="e">
        <f>#REF!-"UFW!'#"</f>
        <v>#REF!</v>
      </c>
      <c r="FV6" t="e">
        <f>#REF!-"UFW!'$"</f>
        <v>#REF!</v>
      </c>
      <c r="FW6" t="e">
        <f>#REF!-"UFW!'%"</f>
        <v>#REF!</v>
      </c>
      <c r="FX6" t="e">
        <f>#REF!-"UFW!'&amp;"</f>
        <v>#REF!</v>
      </c>
      <c r="FY6" t="e">
        <f>#REF!-"UFW!''"</f>
        <v>#REF!</v>
      </c>
      <c r="FZ6" t="e">
        <f>#REF!-"UFW!'("</f>
        <v>#REF!</v>
      </c>
      <c r="GA6" t="e">
        <f>#REF!-"UFW!')"</f>
        <v>#REF!</v>
      </c>
      <c r="GB6" t="e">
        <f>#REF!-"UFW!'."</f>
        <v>#REF!</v>
      </c>
      <c r="GC6" t="e">
        <f>#REF!-"UFW!'/"</f>
        <v>#REF!</v>
      </c>
      <c r="GD6" t="e">
        <f>#REF!-"UFW!'0"</f>
        <v>#REF!</v>
      </c>
      <c r="GE6" t="e">
        <f>#REF!-"UFW!'1"</f>
        <v>#REF!</v>
      </c>
      <c r="GF6" t="e">
        <f>#REF!-"UFW!'2"</f>
        <v>#REF!</v>
      </c>
      <c r="GG6" t="e">
        <f>#REF!-"UFW!'3"</f>
        <v>#REF!</v>
      </c>
      <c r="GH6" t="e">
        <f>#REF!-"UFW!'4"</f>
        <v>#REF!</v>
      </c>
      <c r="GI6" t="e">
        <f>#REF!-"UFW!'5"</f>
        <v>#REF!</v>
      </c>
      <c r="GJ6" t="e">
        <f>#REF!-"UFW!'6"</f>
        <v>#REF!</v>
      </c>
      <c r="GK6" t="e">
        <f>#REF!-"UFW!'7"</f>
        <v>#REF!</v>
      </c>
      <c r="GL6" t="e">
        <f>#REF!-"UFW!'8"</f>
        <v>#REF!</v>
      </c>
      <c r="GM6" t="e">
        <f>#REF!-"UFW!'9"</f>
        <v>#REF!</v>
      </c>
      <c r="GN6" t="e">
        <f>#REF!-"UFW!':"</f>
        <v>#REF!</v>
      </c>
      <c r="GO6" t="e">
        <f>#REF!-"UFW!';"</f>
        <v>#REF!</v>
      </c>
      <c r="GP6" t="e">
        <f>#REF!-"UFW!'&lt;"</f>
        <v>#REF!</v>
      </c>
      <c r="GQ6" t="e">
        <f>#REF!-"UFW!'="</f>
        <v>#REF!</v>
      </c>
      <c r="GR6" t="e">
        <f>#REF!-"UFW!'&gt;"</f>
        <v>#REF!</v>
      </c>
      <c r="GS6" t="e">
        <f>#REF!-"UFW!'?"</f>
        <v>#REF!</v>
      </c>
      <c r="GT6" t="e">
        <f>#REF!-"UFW!'@"</f>
        <v>#REF!</v>
      </c>
      <c r="GU6" t="e">
        <f>#REF!-"UFW!'A"</f>
        <v>#REF!</v>
      </c>
      <c r="GV6" t="e">
        <f>#REF!-"UFW!'B"</f>
        <v>#REF!</v>
      </c>
      <c r="GW6" t="e">
        <f>#REF!-"UFW!'C"</f>
        <v>#REF!</v>
      </c>
      <c r="GX6" t="e">
        <f>#REF!-"UFW!'D"</f>
        <v>#REF!</v>
      </c>
      <c r="GY6" t="e">
        <f>#REF!-"UFW!'E"</f>
        <v>#REF!</v>
      </c>
      <c r="GZ6" t="e">
        <f>#REF!-"UFW!'F"</f>
        <v>#REF!</v>
      </c>
      <c r="HA6" t="e">
        <f>#REF!-"UFW!'G"</f>
        <v>#REF!</v>
      </c>
      <c r="HB6" t="e">
        <f>#REF!-"UFW!'H"</f>
        <v>#REF!</v>
      </c>
      <c r="HC6" t="e">
        <f>#REF!-"UFW!'I"</f>
        <v>#REF!</v>
      </c>
      <c r="HD6" t="e">
        <f>#REF!-"UFW!'J"</f>
        <v>#REF!</v>
      </c>
      <c r="HE6" t="e">
        <f>#REF!-"UFW!'K"</f>
        <v>#REF!</v>
      </c>
      <c r="HF6" t="e">
        <f>#REF!-"UFW!'L"</f>
        <v>#REF!</v>
      </c>
      <c r="HG6" t="e">
        <f>#REF!-"UFW!'M"</f>
        <v>#REF!</v>
      </c>
      <c r="HH6" t="e">
        <f>#REF!-"UFW!'N"</f>
        <v>#REF!</v>
      </c>
      <c r="HI6" t="e">
        <f>#REF!-"UFW!'O"</f>
        <v>#REF!</v>
      </c>
      <c r="HJ6" t="e">
        <f>#REF!-"UFW!'P"</f>
        <v>#REF!</v>
      </c>
      <c r="HK6" t="e">
        <f>#REF!-"UFW!'Q"</f>
        <v>#REF!</v>
      </c>
      <c r="HL6" t="e">
        <f>#REF!-"UFW!'R"</f>
        <v>#REF!</v>
      </c>
      <c r="HM6" t="e">
        <f>#REF!-"UFW!'S"</f>
        <v>#REF!</v>
      </c>
      <c r="HN6" t="e">
        <f>#REF!-"UFW!'T"</f>
        <v>#REF!</v>
      </c>
      <c r="HO6" t="e">
        <f>#REF!-"UFW!'U"</f>
        <v>#REF!</v>
      </c>
      <c r="HP6" t="e">
        <f>#REF!-"UFW!'V"</f>
        <v>#REF!</v>
      </c>
      <c r="HQ6" t="e">
        <f>#REF!-"UFW!'W"</f>
        <v>#REF!</v>
      </c>
      <c r="HR6" t="e">
        <f>#REF!-"UFW!'X"</f>
        <v>#REF!</v>
      </c>
      <c r="HS6" t="e">
        <f>#REF!-"UFW!'Y"</f>
        <v>#REF!</v>
      </c>
      <c r="HT6" t="e">
        <f>#REF!-"UFW!'Z"</f>
        <v>#REF!</v>
      </c>
      <c r="HU6" t="e">
        <f>#REF!-"UFW!'["</f>
        <v>#REF!</v>
      </c>
      <c r="HV6" t="e">
        <f>#REF!-"UFW!'\"</f>
        <v>#REF!</v>
      </c>
      <c r="HW6" t="e">
        <f>#REF!-"UFW!']"</f>
        <v>#REF!</v>
      </c>
      <c r="HX6" t="e">
        <f>#REF!-"UFW!'^"</f>
        <v>#REF!</v>
      </c>
      <c r="HY6" t="e">
        <f>#REF!-"UFW!'_"</f>
        <v>#REF!</v>
      </c>
      <c r="HZ6" t="e">
        <f>#REF!-"UFW!'`"</f>
        <v>#REF!</v>
      </c>
      <c r="IA6" t="e">
        <f>#REF!-"UFW!'a"</f>
        <v>#REF!</v>
      </c>
      <c r="IB6" t="e">
        <f>#REF!-"UFW!'b"</f>
        <v>#REF!</v>
      </c>
      <c r="IC6" t="e">
        <f>#REF!-"UFW!'c"</f>
        <v>#REF!</v>
      </c>
      <c r="ID6" t="e">
        <f>#REF!-"UFW!'d"</f>
        <v>#REF!</v>
      </c>
      <c r="IE6" t="e">
        <f>#REF!-"UFW!'e"</f>
        <v>#REF!</v>
      </c>
      <c r="IF6" t="e">
        <f>#REF!-"UFW!'f"</f>
        <v>#REF!</v>
      </c>
      <c r="IG6" t="e">
        <f>#REF!-"UFW!'g"</f>
        <v>#REF!</v>
      </c>
      <c r="IH6" t="e">
        <f>#REF!-"UFW!'h"</f>
        <v>#REF!</v>
      </c>
      <c r="II6" t="e">
        <f>#REF!-"UFW!'i"</f>
        <v>#REF!</v>
      </c>
      <c r="IJ6" t="e">
        <f>#REF!-"UFW!'j"</f>
        <v>#REF!</v>
      </c>
      <c r="IK6" t="e">
        <f>#REF!-"UFW!'k"</f>
        <v>#REF!</v>
      </c>
      <c r="IL6" t="e">
        <f>#REF!-"UFW!'l"</f>
        <v>#REF!</v>
      </c>
      <c r="IM6" t="e">
        <f>#REF!-"UFW!'m"</f>
        <v>#REF!</v>
      </c>
      <c r="IN6" t="e">
        <f>#REF!-"UFW!'n"</f>
        <v>#REF!</v>
      </c>
      <c r="IO6" t="e">
        <f>#REF!-"UFW!'o"</f>
        <v>#REF!</v>
      </c>
      <c r="IP6" t="e">
        <f>#REF!-"UFW!'p"</f>
        <v>#REF!</v>
      </c>
      <c r="IQ6" t="e">
        <f>#REF!-"UFW!'q"</f>
        <v>#REF!</v>
      </c>
      <c r="IR6" t="e">
        <f>#REF!-"UFW!'r"</f>
        <v>#REF!</v>
      </c>
      <c r="IS6" t="e">
        <f>#REF!-"UFW!'s"</f>
        <v>#REF!</v>
      </c>
      <c r="IT6" t="e">
        <f>#REF!-"UFW!'t"</f>
        <v>#REF!</v>
      </c>
      <c r="IU6" t="e">
        <f>#REF!-"UFW!'u"</f>
        <v>#REF!</v>
      </c>
      <c r="IV6" t="e">
        <f>#REF!-"UFW!'v"</f>
        <v>#REF!</v>
      </c>
    </row>
    <row r="7" spans="1:256" x14ac:dyDescent="0.25">
      <c r="A7" t="s">
        <v>12</v>
      </c>
      <c r="F7" t="e">
        <f>#REF!-"UFW!'w"</f>
        <v>#REF!</v>
      </c>
      <c r="G7" t="e">
        <f>#REF!-"UFW!'x"</f>
        <v>#REF!</v>
      </c>
      <c r="H7" t="e">
        <f>#REF!-"UFW!'y"</f>
        <v>#REF!</v>
      </c>
      <c r="I7" t="e">
        <f>#REF!-"UFW!'z"</f>
        <v>#REF!</v>
      </c>
      <c r="J7" t="e">
        <f>#REF!-"UFW!'{"</f>
        <v>#REF!</v>
      </c>
      <c r="K7" t="e">
        <f>#REF!-"UFW!'|"</f>
        <v>#REF!</v>
      </c>
      <c r="L7" t="e">
        <f>#REF!-"UFW!'}"</f>
        <v>#REF!</v>
      </c>
      <c r="M7" t="e">
        <f>#REF!-"UFW!'~"</f>
        <v>#REF!</v>
      </c>
      <c r="N7" t="e">
        <f>#REF!-"UFW!(#"</f>
        <v>#REF!</v>
      </c>
      <c r="O7" t="e">
        <f>#REF!-"UFW!($"</f>
        <v>#REF!</v>
      </c>
      <c r="P7" t="e">
        <f>#REF!-"UFW!(%"</f>
        <v>#REF!</v>
      </c>
      <c r="Q7" t="e">
        <f>#REF!-"UFW!(&amp;"</f>
        <v>#REF!</v>
      </c>
      <c r="R7" t="e">
        <f>#REF!-"UFW!('"</f>
        <v>#REF!</v>
      </c>
      <c r="S7" t="e">
        <f>#REF!-"UFW!(("</f>
        <v>#REF!</v>
      </c>
      <c r="T7" t="e">
        <f>#REF!-"UFW!()"</f>
        <v>#REF!</v>
      </c>
      <c r="U7" t="e">
        <f>#REF!-"UFW!(."</f>
        <v>#REF!</v>
      </c>
      <c r="V7" t="e">
        <f>#REF!+"UFW!(/"</f>
        <v>#REF!</v>
      </c>
      <c r="W7" t="e">
        <f>#REF!+"UFW!(0"</f>
        <v>#REF!</v>
      </c>
      <c r="X7" t="e">
        <f>#REF!+"UFW!(1"</f>
        <v>#REF!</v>
      </c>
      <c r="Y7" t="e">
        <f>#REF!+"UFW!(2"</f>
        <v>#REF!</v>
      </c>
      <c r="Z7" t="e">
        <f>#REF!+"UFW!(3"</f>
        <v>#REF!</v>
      </c>
      <c r="AA7" t="e">
        <f>#REF!+"UFW!(4"</f>
        <v>#REF!</v>
      </c>
      <c r="AB7" t="e">
        <f>#REF!+"UFW!(5"</f>
        <v>#REF!</v>
      </c>
      <c r="AC7" t="e">
        <f>#REF!+"UFW!(6"</f>
        <v>#REF!</v>
      </c>
      <c r="AD7" t="e">
        <f>#REF!+"UFW!(7"</f>
        <v>#REF!</v>
      </c>
      <c r="AE7" t="e">
        <f>#REF!+"UFW!(8"</f>
        <v>#REF!</v>
      </c>
      <c r="AF7" t="e">
        <f>#REF!+"UFW!(9"</f>
        <v>#REF!</v>
      </c>
      <c r="AG7" t="e">
        <f>#REF!+"UFW!(:"</f>
        <v>#REF!</v>
      </c>
      <c r="AH7" t="e">
        <f>#REF!+"UFW!(;"</f>
        <v>#REF!</v>
      </c>
      <c r="AI7" t="e">
        <f>#REF!+"UFW!(&lt;"</f>
        <v>#REF!</v>
      </c>
      <c r="AJ7" t="e">
        <f>#REF!+"UFW!(="</f>
        <v>#REF!</v>
      </c>
      <c r="AK7" t="e">
        <f>#REF!+"UFW!(&gt;"</f>
        <v>#REF!</v>
      </c>
      <c r="AL7" t="e">
        <f>#REF!+"UFW!(?"</f>
        <v>#REF!</v>
      </c>
      <c r="AM7" t="e">
        <f>#REF!+"UFW!(@"</f>
        <v>#REF!</v>
      </c>
      <c r="AN7" t="e">
        <f>#REF!+"UFW!(A"</f>
        <v>#REF!</v>
      </c>
      <c r="AO7" t="e">
        <f>#REF!+"UFW!(B"</f>
        <v>#REF!</v>
      </c>
      <c r="AP7" t="e">
        <f>#REF!+"UFW!(C"</f>
        <v>#REF!</v>
      </c>
      <c r="AQ7" t="e">
        <f>#REF!+"UFW!(D"</f>
        <v>#REF!</v>
      </c>
      <c r="AR7" t="e">
        <f>#REF!+"UFW!(E"</f>
        <v>#REF!</v>
      </c>
      <c r="AS7" t="e">
        <f>#REF!+"UFW!(F"</f>
        <v>#REF!</v>
      </c>
      <c r="AT7" t="e">
        <f>#REF!+"UFW!(G"</f>
        <v>#REF!</v>
      </c>
      <c r="AU7" t="e">
        <f>#REF!+"UFW!(H"</f>
        <v>#REF!</v>
      </c>
      <c r="AV7" t="e">
        <f>#REF!+"UFW!(I"</f>
        <v>#REF!</v>
      </c>
      <c r="AW7" t="e">
        <f>#REF!+"UFW!(J"</f>
        <v>#REF!</v>
      </c>
      <c r="AX7" t="e">
        <f>#REF!+"UFW!(K"</f>
        <v>#REF!</v>
      </c>
      <c r="AY7" t="e">
        <f>#REF!+"UFW!(L"</f>
        <v>#REF!</v>
      </c>
      <c r="AZ7" t="e">
        <f>#REF!+"UFW!(M"</f>
        <v>#REF!</v>
      </c>
      <c r="BA7" t="e">
        <f>#REF!+"UFW!(N"</f>
        <v>#REF!</v>
      </c>
      <c r="BB7" t="e">
        <f>#REF!+"UFW!(O"</f>
        <v>#REF!</v>
      </c>
      <c r="BC7" t="e">
        <f>#REF!+"UFW!(P"</f>
        <v>#REF!</v>
      </c>
      <c r="BD7" t="e">
        <f>#REF!+"UFW!(Q"</f>
        <v>#REF!</v>
      </c>
      <c r="BE7" t="e">
        <f>#REF!+"UFW!(R"</f>
        <v>#REF!</v>
      </c>
      <c r="BF7" t="e">
        <f>#REF!+"UFW!(S"</f>
        <v>#REF!</v>
      </c>
      <c r="BG7" t="e">
        <f>#REF!+"UFW!(T"</f>
        <v>#REF!</v>
      </c>
      <c r="BH7" t="e">
        <f>#REF!+"UFW!(U"</f>
        <v>#REF!</v>
      </c>
      <c r="BI7" t="e">
        <f>#REF!+"UFW!(V"</f>
        <v>#REF!</v>
      </c>
      <c r="BJ7" t="e">
        <f>#REF!+"UFW!(W"</f>
        <v>#REF!</v>
      </c>
      <c r="BK7" t="e">
        <f>#REF!+"UFW!(X"</f>
        <v>#REF!</v>
      </c>
      <c r="BL7" t="e">
        <f>#REF!+"UFW!(Y"</f>
        <v>#REF!</v>
      </c>
      <c r="BM7" t="e">
        <f>#REF!+"UFW!(Z"</f>
        <v>#REF!</v>
      </c>
      <c r="BN7" t="e">
        <f>#REF!+"UFW!(["</f>
        <v>#REF!</v>
      </c>
      <c r="BO7" t="e">
        <f>#REF!+"UFW!(\"</f>
        <v>#REF!</v>
      </c>
      <c r="BP7" t="e">
        <f>#REF!+"UFW!(]"</f>
        <v>#REF!</v>
      </c>
      <c r="BQ7" t="e">
        <f>#REF!+"UFW!(^"</f>
        <v>#REF!</v>
      </c>
      <c r="BR7" t="e">
        <f>#REF!+"UFW!(_"</f>
        <v>#REF!</v>
      </c>
      <c r="BS7" t="e">
        <f>#REF!+"UFW!(`"</f>
        <v>#REF!</v>
      </c>
      <c r="BT7" t="e">
        <f>#REF!+"UFW!(a"</f>
        <v>#REF!</v>
      </c>
      <c r="BU7" t="e">
        <f>#REF!+"UFW!(b"</f>
        <v>#REF!</v>
      </c>
      <c r="BV7" t="e">
        <f>#REF!+"UFW!(c"</f>
        <v>#REF!</v>
      </c>
      <c r="BW7" t="e">
        <f>#REF!+"UFW!(d"</f>
        <v>#REF!</v>
      </c>
      <c r="BX7" t="e">
        <f>#REF!+"UFW!(e"</f>
        <v>#REF!</v>
      </c>
      <c r="BY7" t="e">
        <f>#REF!+"UFW!(f"</f>
        <v>#REF!</v>
      </c>
      <c r="BZ7" t="e">
        <f>#REF!+"UFW!(g"</f>
        <v>#REF!</v>
      </c>
      <c r="CA7" t="e">
        <f>#REF!+"UFW!(h"</f>
        <v>#REF!</v>
      </c>
      <c r="CB7" t="e">
        <f>#REF!+"UFW!(i"</f>
        <v>#REF!</v>
      </c>
      <c r="CC7" t="e">
        <f>#REF!+"UFW!(j"</f>
        <v>#REF!</v>
      </c>
      <c r="CD7" t="e">
        <f>#REF!+"UFW!(k"</f>
        <v>#REF!</v>
      </c>
      <c r="CE7" t="e">
        <f>#REF!+"UFW!(l"</f>
        <v>#REF!</v>
      </c>
      <c r="CF7" t="e">
        <f>#REF!+"UFW!(m"</f>
        <v>#REF!</v>
      </c>
      <c r="CG7" t="e">
        <f>#REF!+"UFW!(n"</f>
        <v>#REF!</v>
      </c>
      <c r="CH7" t="e">
        <f>#REF!+"UFW!(o"</f>
        <v>#REF!</v>
      </c>
      <c r="CI7" t="e">
        <f>#REF!+"UFW!(p"</f>
        <v>#REF!</v>
      </c>
      <c r="CJ7" t="e">
        <f>#REF!+"UFW!(q"</f>
        <v>#REF!</v>
      </c>
      <c r="CK7" t="e">
        <f>#REF!+"UFW!(r"</f>
        <v>#REF!</v>
      </c>
      <c r="CL7" t="e">
        <f>#REF!+"UFW!(s"</f>
        <v>#REF!</v>
      </c>
      <c r="CM7" t="e">
        <f>#REF!+"UFW!(t"</f>
        <v>#REF!</v>
      </c>
      <c r="CN7" t="e">
        <f>#REF!+"UFW!(u"</f>
        <v>#REF!</v>
      </c>
      <c r="CO7" t="e">
        <f>#REF!+"UFW!(v"</f>
        <v>#REF!</v>
      </c>
      <c r="CP7" t="e">
        <f>#REF!+"UFW!(w"</f>
        <v>#REF!</v>
      </c>
      <c r="CQ7" t="e">
        <f>#REF!+"UFW!(x"</f>
        <v>#REF!</v>
      </c>
      <c r="CR7" t="e">
        <f>#REF!+"UFW!(y"</f>
        <v>#REF!</v>
      </c>
      <c r="CS7" t="e">
        <f>#REF!+"UFW!(z"</f>
        <v>#REF!</v>
      </c>
      <c r="CT7" t="e">
        <f>#REF!+"UFW!({"</f>
        <v>#REF!</v>
      </c>
      <c r="CU7" t="e">
        <f>#REF!+"UFW!(|"</f>
        <v>#REF!</v>
      </c>
      <c r="CV7" t="e">
        <f>#REF!+"UFW!(}"</f>
        <v>#REF!</v>
      </c>
      <c r="CW7" t="e">
        <f>#REF!+"UFW!(~"</f>
        <v>#REF!</v>
      </c>
      <c r="CX7" t="e">
        <f>#REF!+"UFW!)#"</f>
        <v>#REF!</v>
      </c>
      <c r="CY7" t="e">
        <f>#REF!+"UFW!)$"</f>
        <v>#REF!</v>
      </c>
      <c r="CZ7" t="e">
        <f>#REF!+"UFW!)%"</f>
        <v>#REF!</v>
      </c>
      <c r="DA7" t="e">
        <f>#REF!+"UFW!)&amp;"</f>
        <v>#REF!</v>
      </c>
      <c r="DB7" t="e">
        <f>#REF!+"UFW!)'"</f>
        <v>#REF!</v>
      </c>
      <c r="DC7" t="e">
        <f>#REF!+"UFW!)("</f>
        <v>#REF!</v>
      </c>
      <c r="DD7" t="e">
        <f>#REF!+"UFW!))"</f>
        <v>#REF!</v>
      </c>
      <c r="DE7" t="e">
        <f>#REF!+"UFW!)."</f>
        <v>#REF!</v>
      </c>
      <c r="DF7" t="e">
        <f>#REF!+"UFW!)/"</f>
        <v>#REF!</v>
      </c>
      <c r="DG7" t="e">
        <f>#REF!+"UFW!)0"</f>
        <v>#REF!</v>
      </c>
      <c r="DH7" t="e">
        <f>#REF!+"UFW!)1"</f>
        <v>#REF!</v>
      </c>
      <c r="DI7" t="e">
        <f>#REF!+"UFW!)2"</f>
        <v>#REF!</v>
      </c>
      <c r="DJ7" t="e">
        <f>#REF!+"UFW!)3"</f>
        <v>#REF!</v>
      </c>
      <c r="DK7" t="e">
        <f>#REF!+"UFW!)4"</f>
        <v>#REF!</v>
      </c>
      <c r="DL7" t="e">
        <f>#REF!+"UFW!)5"</f>
        <v>#REF!</v>
      </c>
      <c r="DM7" t="e">
        <f>#REF!+"UFW!)6"</f>
        <v>#REF!</v>
      </c>
      <c r="DN7" t="e">
        <f>#REF!+"UFW!)7"</f>
        <v>#REF!</v>
      </c>
      <c r="DO7" t="e">
        <f>#REF!+"UFW!)8"</f>
        <v>#REF!</v>
      </c>
      <c r="DP7" t="e">
        <f>#REF!+"UFW!)9"</f>
        <v>#REF!</v>
      </c>
      <c r="DQ7" t="e">
        <f>#REF!+"UFW!):"</f>
        <v>#REF!</v>
      </c>
      <c r="DR7" t="e">
        <f>#REF!+"UFW!);"</f>
        <v>#REF!</v>
      </c>
      <c r="DS7" t="e">
        <f>#REF!+"UFW!)&lt;"</f>
        <v>#REF!</v>
      </c>
      <c r="DT7" t="e">
        <f>#REF!+"UFW!)="</f>
        <v>#REF!</v>
      </c>
      <c r="DU7" t="e">
        <f>#REF!+"UFW!)&gt;"</f>
        <v>#REF!</v>
      </c>
      <c r="DV7" t="e">
        <f>#REF!+"UFW!)?"</f>
        <v>#REF!</v>
      </c>
      <c r="DW7" t="e">
        <f>#REF!+"UFW!)@"</f>
        <v>#REF!</v>
      </c>
      <c r="DX7" t="e">
        <f>#REF!+"UFW!)A"</f>
        <v>#REF!</v>
      </c>
      <c r="DY7" t="e">
        <f>#REF!+"UFW!)B"</f>
        <v>#REF!</v>
      </c>
      <c r="DZ7" t="e">
        <f>#REF!+"UFW!)C"</f>
        <v>#REF!</v>
      </c>
      <c r="EA7" t="e">
        <f>#REF!+"UFW!)D"</f>
        <v>#REF!</v>
      </c>
      <c r="EB7" t="e">
        <f>#REF!+"UFW!)E"</f>
        <v>#REF!</v>
      </c>
      <c r="EC7" t="e">
        <f>#REF!+"UFW!)F"</f>
        <v>#REF!</v>
      </c>
      <c r="ED7" t="e">
        <f>#REF!+"UFW!)G"</f>
        <v>#REF!</v>
      </c>
      <c r="EE7" t="e">
        <f>#REF!+"UFW!)H"</f>
        <v>#REF!</v>
      </c>
      <c r="EF7" t="e">
        <f>#REF!+"UFW!)I"</f>
        <v>#REF!</v>
      </c>
      <c r="EG7" t="e">
        <f>#REF!+"UFW!)J"</f>
        <v>#REF!</v>
      </c>
      <c r="EH7" t="e">
        <f>#REF!+"UFW!)K"</f>
        <v>#REF!</v>
      </c>
      <c r="EI7" t="e">
        <f>#REF!+"UFW!)L"</f>
        <v>#REF!</v>
      </c>
      <c r="EJ7" t="e">
        <f>#REF!+"UFW!)M"</f>
        <v>#REF!</v>
      </c>
      <c r="EK7" t="e">
        <f>#REF!+"UFW!)N"</f>
        <v>#REF!</v>
      </c>
      <c r="EL7" t="e">
        <f>#REF!+"UFW!)O"</f>
        <v>#REF!</v>
      </c>
      <c r="EM7" t="e">
        <f>#REF!+"UFW!)P"</f>
        <v>#REF!</v>
      </c>
      <c r="EN7" t="e">
        <f>#REF!+"UFW!)Q"</f>
        <v>#REF!</v>
      </c>
      <c r="EO7" t="e">
        <f>#REF!+"UFW!)R"</f>
        <v>#REF!</v>
      </c>
      <c r="EP7" t="e">
        <f>#REF!+"UFW!)S"</f>
        <v>#REF!</v>
      </c>
      <c r="EQ7" t="e">
        <f>#REF!+"UFW!)T"</f>
        <v>#REF!</v>
      </c>
      <c r="ER7" t="e">
        <f>#REF!+"UFW!)U"</f>
        <v>#REF!</v>
      </c>
      <c r="ES7" t="e">
        <f>#REF!+"UFW!)V"</f>
        <v>#REF!</v>
      </c>
      <c r="ET7" t="e">
        <f>#REF!+"UFW!)W"</f>
        <v>#REF!</v>
      </c>
      <c r="EU7" t="e">
        <f>#REF!+"UFW!)X"</f>
        <v>#REF!</v>
      </c>
      <c r="EV7" t="e">
        <f>#REF!+"UFW!)Y"</f>
        <v>#REF!</v>
      </c>
      <c r="EW7" t="e">
        <f>#REF!+"UFW!)Z"</f>
        <v>#REF!</v>
      </c>
      <c r="EX7" t="e">
        <f>#REF!+"UFW!)["</f>
        <v>#REF!</v>
      </c>
      <c r="EY7" t="e">
        <f>#REF!+"UFW!)\"</f>
        <v>#REF!</v>
      </c>
      <c r="EZ7" t="e">
        <f>#REF!+"UFW!)]"</f>
        <v>#REF!</v>
      </c>
      <c r="FA7" t="e">
        <f>#REF!+"UFW!)^"</f>
        <v>#REF!</v>
      </c>
      <c r="FB7" t="e">
        <f>#REF!+"UFW!)_"</f>
        <v>#REF!</v>
      </c>
      <c r="FC7" t="e">
        <f>#REF!+"UFW!)`"</f>
        <v>#REF!</v>
      </c>
      <c r="FD7" t="e">
        <f>#REF!+"UFW!)a"</f>
        <v>#REF!</v>
      </c>
      <c r="FE7" t="e">
        <f>#REF!+"UFW!)b"</f>
        <v>#REF!</v>
      </c>
      <c r="FF7" t="e">
        <f>#REF!+"UFW!)c"</f>
        <v>#REF!</v>
      </c>
      <c r="FG7" t="e">
        <f>#REF!+"UFW!)d"</f>
        <v>#REF!</v>
      </c>
      <c r="FH7" t="e">
        <f>#REF!+"UFW!)e"</f>
        <v>#REF!</v>
      </c>
      <c r="FI7" t="e">
        <f>#REF!+"UFW!)f"</f>
        <v>#REF!</v>
      </c>
      <c r="FJ7" t="e">
        <f>#REF!+"UFW!)g"</f>
        <v>#REF!</v>
      </c>
      <c r="FK7" t="e">
        <f>#REF!+"UFW!)h"</f>
        <v>#REF!</v>
      </c>
      <c r="FL7" t="e">
        <f>#REF!+"UFW!)i"</f>
        <v>#REF!</v>
      </c>
      <c r="FM7" t="e">
        <f>#REF!+"UFW!)j"</f>
        <v>#REF!</v>
      </c>
      <c r="FN7" t="e">
        <f>#REF!+"UFW!)k"</f>
        <v>#REF!</v>
      </c>
      <c r="FO7" t="e">
        <f>#REF!+"UFW!)l"</f>
        <v>#REF!</v>
      </c>
      <c r="FP7" t="e">
        <f>#REF!+"UFW!)m"</f>
        <v>#REF!</v>
      </c>
      <c r="FQ7" t="e">
        <f>#REF!+"UFW!)n"</f>
        <v>#REF!</v>
      </c>
      <c r="FR7" t="e">
        <f>#REF!+"UFW!)o"</f>
        <v>#REF!</v>
      </c>
      <c r="FS7" t="e">
        <f>#REF!+"UFW!)p"</f>
        <v>#REF!</v>
      </c>
      <c r="FT7" t="e">
        <f>#REF!+"UFW!)q"</f>
        <v>#REF!</v>
      </c>
      <c r="FU7" t="e">
        <f>#REF!+"UFW!)r"</f>
        <v>#REF!</v>
      </c>
      <c r="FV7" t="e">
        <f>#REF!+"UFW!)s"</f>
        <v>#REF!</v>
      </c>
      <c r="FW7" t="e">
        <f>#REF!+"UFW!)t"</f>
        <v>#REF!</v>
      </c>
      <c r="FX7" t="e">
        <f>#REF!+"UFW!)u"</f>
        <v>#REF!</v>
      </c>
      <c r="FY7" t="e">
        <f>#REF!+"UFW!)v"</f>
        <v>#REF!</v>
      </c>
      <c r="FZ7" t="e">
        <f>#REF!*"UFW!)w"</f>
        <v>#REF!</v>
      </c>
      <c r="GA7" t="e">
        <f>#REF!*"UFW!)x"</f>
        <v>#REF!</v>
      </c>
      <c r="GB7" t="e">
        <f>#REF!*"UFW!)y"</f>
        <v>#REF!</v>
      </c>
      <c r="GC7" t="e">
        <f>#REF!*"UFW!)z"</f>
        <v>#REF!</v>
      </c>
      <c r="GD7" t="e">
        <f>#REF!*"UFW!){"</f>
        <v>#REF!</v>
      </c>
      <c r="GE7" t="e">
        <f>#REF!*"UFW!)|"</f>
        <v>#REF!</v>
      </c>
      <c r="GF7" t="e">
        <f>#REF!*"UFW!)}"</f>
        <v>#REF!</v>
      </c>
      <c r="GG7" t="e">
        <f>#REF!*"UFW!)~"</f>
        <v>#REF!</v>
      </c>
      <c r="GH7" t="e">
        <f>#REF!*"UFW!.#"</f>
        <v>#REF!</v>
      </c>
      <c r="GI7" t="e">
        <f>#REF!*"UFW!.$"</f>
        <v>#REF!</v>
      </c>
      <c r="GJ7" t="e">
        <f>#REF!*"UFW!.%"</f>
        <v>#REF!</v>
      </c>
      <c r="GK7" t="e">
        <f>#REF!*"UFW!.&amp;"</f>
        <v>#REF!</v>
      </c>
      <c r="GL7" t="e">
        <f>#REF!*"UFW!.'"</f>
        <v>#REF!</v>
      </c>
      <c r="GM7" t="e">
        <f>#REF!*"UFW!.("</f>
        <v>#REF!</v>
      </c>
      <c r="GN7" t="e">
        <f>#REF!*"UFW!.)"</f>
        <v>#REF!</v>
      </c>
      <c r="GO7" t="e">
        <f>#REF!*"UFW!.."</f>
        <v>#REF!</v>
      </c>
      <c r="GP7" t="e">
        <f>#REF!*"UFW!./"</f>
        <v>#REF!</v>
      </c>
      <c r="GQ7" t="e">
        <f>#REF!*"UFW!.0"</f>
        <v>#REF!</v>
      </c>
      <c r="GR7" t="e">
        <f>#REF!*"UFW!.1"</f>
        <v>#REF!</v>
      </c>
      <c r="GS7" t="e">
        <f>#REF!*"UFW!.2"</f>
        <v>#REF!</v>
      </c>
      <c r="GT7" t="e">
        <f>#REF!*"UFW!.3"</f>
        <v>#REF!</v>
      </c>
      <c r="GU7" t="e">
        <f>#REF!*"UFW!.4"</f>
        <v>#REF!</v>
      </c>
      <c r="GV7" t="e">
        <f>#REF!*"UFW!.5"</f>
        <v>#REF!</v>
      </c>
      <c r="GW7" t="e">
        <f>#REF!*"UFW!.6"</f>
        <v>#REF!</v>
      </c>
      <c r="GX7" t="e">
        <f>#REF!*"UFW!.7"</f>
        <v>#REF!</v>
      </c>
      <c r="GY7" t="e">
        <f>#REF!*"UFW!.8"</f>
        <v>#REF!</v>
      </c>
      <c r="GZ7" t="e">
        <f>#REF!*"UFW!.9"</f>
        <v>#REF!</v>
      </c>
      <c r="HA7" t="e">
        <f>#REF!*"UFW!.:"</f>
        <v>#REF!</v>
      </c>
      <c r="HB7" t="e">
        <f>#REF!*"UFW!.;"</f>
        <v>#REF!</v>
      </c>
      <c r="HC7" t="e">
        <f>#REF!*"UFW!.&lt;"</f>
        <v>#REF!</v>
      </c>
      <c r="HD7" t="e">
        <f>#REF!*"UFW!.="</f>
        <v>#REF!</v>
      </c>
      <c r="HE7" t="e">
        <f>#REF!*"UFW!.&gt;"</f>
        <v>#REF!</v>
      </c>
      <c r="HF7" t="e">
        <f>#REF!*"UFW!.?"</f>
        <v>#REF!</v>
      </c>
      <c r="HG7" t="e">
        <f>#REF!*"UFW!.@"</f>
        <v>#REF!</v>
      </c>
      <c r="HH7" t="e">
        <f>#REF!*"UFW!.A"</f>
        <v>#REF!</v>
      </c>
      <c r="HI7" t="e">
        <f>#REF!*"UFW!.B"</f>
        <v>#REF!</v>
      </c>
      <c r="HJ7" t="e">
        <f>#REF!*"UFW!.C"</f>
        <v>#REF!</v>
      </c>
      <c r="HK7" t="e">
        <f>#REF!*"UFW!.D"</f>
        <v>#REF!</v>
      </c>
      <c r="HL7" t="e">
        <f>#REF!*"UFW!.E"</f>
        <v>#REF!</v>
      </c>
      <c r="HM7" t="e">
        <f>#REF!*"UFW!.F"</f>
        <v>#REF!</v>
      </c>
      <c r="HN7" t="e">
        <f>#REF!*"UFW!.G"</f>
        <v>#REF!</v>
      </c>
      <c r="HO7" t="e">
        <f>#REF!*"UFW!.H"</f>
        <v>#REF!</v>
      </c>
      <c r="HP7" t="e">
        <f>#REF!*"UFW!.I"</f>
        <v>#REF!</v>
      </c>
      <c r="HQ7" t="e">
        <f>#REF!*"UFW!.J"</f>
        <v>#REF!</v>
      </c>
      <c r="HR7" t="e">
        <f>#REF!*"UFW!.K"</f>
        <v>#REF!</v>
      </c>
      <c r="HS7" t="e">
        <f>#REF!*"UFW!.L"</f>
        <v>#REF!</v>
      </c>
      <c r="HT7" t="e">
        <f>#REF!*"UFW!.M"</f>
        <v>#REF!</v>
      </c>
      <c r="HU7" t="e">
        <f>#REF!*"UFW!.N"</f>
        <v>#REF!</v>
      </c>
      <c r="HV7" t="e">
        <f>#REF!*"UFW!.O"</f>
        <v>#REF!</v>
      </c>
      <c r="HW7" t="e">
        <f>#REF!*"UFW!.P"</f>
        <v>#REF!</v>
      </c>
      <c r="HX7" t="e">
        <f>#REF!*"UFW!.Q"</f>
        <v>#REF!</v>
      </c>
      <c r="HY7" t="e">
        <f>#REF!-"UFW!.R"</f>
        <v>#REF!</v>
      </c>
      <c r="HZ7" t="e">
        <f>#REF!-"UFW!.S"</f>
        <v>#REF!</v>
      </c>
      <c r="IA7" t="e">
        <f>#REF!-"UFW!.T"</f>
        <v>#REF!</v>
      </c>
      <c r="IB7" t="e">
        <f>#REF!-"UFW!.U"</f>
        <v>#REF!</v>
      </c>
      <c r="IC7" t="e">
        <f>#REF!-"UFW!.V"</f>
        <v>#REF!</v>
      </c>
      <c r="ID7" t="e">
        <f>#REF!-"UFW!.W"</f>
        <v>#REF!</v>
      </c>
      <c r="IE7" t="e">
        <f>#REF!-"UFW!.X"</f>
        <v>#REF!</v>
      </c>
      <c r="IF7" t="e">
        <f>#REF!-"UFW!.Y"</f>
        <v>#REF!</v>
      </c>
      <c r="IG7" t="e">
        <f>#REF!-"UFW!.Z"</f>
        <v>#REF!</v>
      </c>
      <c r="IH7" t="e">
        <f>#REF!-"UFW!.["</f>
        <v>#REF!</v>
      </c>
      <c r="II7" t="e">
        <f>#REF!-"UFW!.\"</f>
        <v>#REF!</v>
      </c>
      <c r="IJ7" t="e">
        <f>#REF!-"UFW!.]"</f>
        <v>#REF!</v>
      </c>
      <c r="IK7" t="e">
        <f>#REF!-"UFW!.^"</f>
        <v>#REF!</v>
      </c>
      <c r="IL7" t="e">
        <f>#REF!-"UFW!._"</f>
        <v>#REF!</v>
      </c>
      <c r="IM7" t="e">
        <f>#REF!-"UFW!.`"</f>
        <v>#REF!</v>
      </c>
      <c r="IN7" t="e">
        <f>#REF!-"UFW!.a"</f>
        <v>#REF!</v>
      </c>
      <c r="IO7" t="e">
        <f>#REF!-"UFW!.b"</f>
        <v>#REF!</v>
      </c>
      <c r="IP7" t="e">
        <f>#REF!-"UFW!.c"</f>
        <v>#REF!</v>
      </c>
      <c r="IQ7" t="e">
        <f>#REF!-"UFW!.d"</f>
        <v>#REF!</v>
      </c>
      <c r="IR7" t="e">
        <f>#REF!-"UFW!.e"</f>
        <v>#REF!</v>
      </c>
      <c r="IS7" t="e">
        <f>#REF!-"UFW!.f"</f>
        <v>#REF!</v>
      </c>
      <c r="IT7" t="e">
        <f>#REF!-"UFW!.g"</f>
        <v>#REF!</v>
      </c>
      <c r="IU7" t="e">
        <f>#REF!-"UFW!.h"</f>
        <v>#REF!</v>
      </c>
      <c r="IV7" t="e">
        <f>#REF!-"UFW!.i"</f>
        <v>#REF!</v>
      </c>
    </row>
    <row r="8" spans="1:256" x14ac:dyDescent="0.25">
      <c r="A8" t="s">
        <v>13</v>
      </c>
      <c r="F8" t="e">
        <f>#REF!-"UFW!.j"</f>
        <v>#REF!</v>
      </c>
      <c r="G8" t="e">
        <f>#REF!-"UFW!.k"</f>
        <v>#REF!</v>
      </c>
      <c r="H8" t="e">
        <f>#REF!-"UFW!.l"</f>
        <v>#REF!</v>
      </c>
      <c r="I8" t="e">
        <f>#REF!-"UFW!.m"</f>
        <v>#REF!</v>
      </c>
      <c r="J8" t="e">
        <f>#REF!-"UFW!.n"</f>
        <v>#REF!</v>
      </c>
      <c r="K8" t="e">
        <f>#REF!-"UFW!.o"</f>
        <v>#REF!</v>
      </c>
      <c r="L8" t="e">
        <f>#REF!-"UFW!.p"</f>
        <v>#REF!</v>
      </c>
      <c r="M8" t="e">
        <f>#REF!-"UFW!.q"</f>
        <v>#REF!</v>
      </c>
      <c r="N8" t="e">
        <f>#REF!-"UFW!.r"</f>
        <v>#REF!</v>
      </c>
      <c r="O8" t="e">
        <f>#REF!-"UFW!.s"</f>
        <v>#REF!</v>
      </c>
      <c r="P8" t="e">
        <f>#REF!-"UFW!.t"</f>
        <v>#REF!</v>
      </c>
      <c r="Q8" t="e">
        <f>#REF!-"UFW!.u"</f>
        <v>#REF!</v>
      </c>
      <c r="R8" t="e">
        <f>#REF!-"UFW!.v"</f>
        <v>#REF!</v>
      </c>
      <c r="S8" t="e">
        <f>#REF!-"UFW!.w"</f>
        <v>#REF!</v>
      </c>
      <c r="T8" t="e">
        <f>#REF!-"UFW!.x"</f>
        <v>#REF!</v>
      </c>
      <c r="U8" t="e">
        <f>#REF!-"UFW!.y"</f>
        <v>#REF!</v>
      </c>
      <c r="V8" t="e">
        <f>#REF!-"UFW!.z"</f>
        <v>#REF!</v>
      </c>
      <c r="W8" t="e">
        <f>#REF!-"UFW!.{"</f>
        <v>#REF!</v>
      </c>
      <c r="X8" t="e">
        <f>#REF!-"UFW!.|"</f>
        <v>#REF!</v>
      </c>
      <c r="Y8" t="e">
        <f>#REF!-"UFW!.}"</f>
        <v>#REF!</v>
      </c>
      <c r="Z8" t="e">
        <f>#REF!-"UFW!.~"</f>
        <v>#REF!</v>
      </c>
      <c r="AA8" t="e">
        <f>#REF!-"UFW!/#"</f>
        <v>#REF!</v>
      </c>
      <c r="AB8" t="e">
        <f>#REF!-"UFW!/$"</f>
        <v>#REF!</v>
      </c>
      <c r="AC8" t="e">
        <f>#REF!-"UFW!/%"</f>
        <v>#REF!</v>
      </c>
      <c r="AD8" t="e">
        <f>#REF!-"UFW!/&amp;"</f>
        <v>#REF!</v>
      </c>
      <c r="AE8" t="e">
        <f>#REF!-"UFW!/'"</f>
        <v>#REF!</v>
      </c>
      <c r="AF8" t="e">
        <f>#REF!-"UFW!/("</f>
        <v>#REF!</v>
      </c>
      <c r="AG8" t="e">
        <f>#REF!-"UFW!/)"</f>
        <v>#REF!</v>
      </c>
      <c r="AH8" t="e">
        <f>#REF!-"UFW!/."</f>
        <v>#REF!</v>
      </c>
      <c r="AI8" t="e">
        <f>#REF!-"UFW!//"</f>
        <v>#REF!</v>
      </c>
      <c r="AJ8" t="e">
        <f>#REF!-"UFW!/0"</f>
        <v>#REF!</v>
      </c>
      <c r="AK8" t="e">
        <f>#REF!-"UFW!/1"</f>
        <v>#REF!</v>
      </c>
      <c r="AL8" t="e">
        <f>#REF!-"UFW!/2"</f>
        <v>#REF!</v>
      </c>
      <c r="AM8" t="e">
        <f>#REF!-"UFW!/3"</f>
        <v>#REF!</v>
      </c>
      <c r="AN8" t="e">
        <f>#REF!-"UFW!/4"</f>
        <v>#REF!</v>
      </c>
      <c r="AO8" t="e">
        <f>#REF!-"UFW!/5"</f>
        <v>#REF!</v>
      </c>
      <c r="AP8" t="e">
        <f>#REF!-"UFW!/6"</f>
        <v>#REF!</v>
      </c>
      <c r="AQ8" t="e">
        <f>#REF!-"UFW!/7"</f>
        <v>#REF!</v>
      </c>
      <c r="AR8" t="e">
        <f>#REF!-"UFW!/8"</f>
        <v>#REF!</v>
      </c>
      <c r="AS8" t="e">
        <f>#REF!-"UFW!/9"</f>
        <v>#REF!</v>
      </c>
      <c r="AT8" t="e">
        <f>#REF!-"UFW!/:"</f>
        <v>#REF!</v>
      </c>
      <c r="AU8" t="e">
        <f>#REF!-"UFW!/;"</f>
        <v>#REF!</v>
      </c>
      <c r="AV8" t="e">
        <f>#REF!-"UFW!/&lt;"</f>
        <v>#REF!</v>
      </c>
      <c r="AW8" t="e">
        <f>#REF!-"UFW!/="</f>
        <v>#REF!</v>
      </c>
      <c r="AX8" t="e">
        <f>#REF!-"UFW!/&gt;"</f>
        <v>#REF!</v>
      </c>
      <c r="AY8" t="e">
        <f>#REF!-"UFW!/?"</f>
        <v>#REF!</v>
      </c>
      <c r="AZ8" t="e">
        <f>#REF!-"UFW!/@"</f>
        <v>#REF!</v>
      </c>
      <c r="BA8" t="e">
        <f>#REF!-"UFW!/A"</f>
        <v>#REF!</v>
      </c>
      <c r="BB8" t="e">
        <f>#REF!-"UFW!/B"</f>
        <v>#REF!</v>
      </c>
      <c r="BC8" t="e">
        <f>#REF!-"UFW!/C"</f>
        <v>#REF!</v>
      </c>
      <c r="BD8" t="e">
        <f>#REF!-"UFW!/D"</f>
        <v>#REF!</v>
      </c>
      <c r="BE8" t="e">
        <f>#REF!-"UFW!/E"</f>
        <v>#REF!</v>
      </c>
      <c r="BF8" t="e">
        <f>#REF!-"UFW!/F"</f>
        <v>#REF!</v>
      </c>
      <c r="BG8" t="e">
        <f>#REF!-"UFW!/G"</f>
        <v>#REF!</v>
      </c>
      <c r="BH8" t="e">
        <f>#REF!-"UFW!/H"</f>
        <v>#REF!</v>
      </c>
      <c r="BI8" t="e">
        <f>#REF!-"UFW!/I"</f>
        <v>#REF!</v>
      </c>
      <c r="BJ8" t="e">
        <f>#REF!-"UFW!/J"</f>
        <v>#REF!</v>
      </c>
      <c r="BK8" t="e">
        <f>#REF!-"UFW!/K"</f>
        <v>#REF!</v>
      </c>
      <c r="BL8" t="e">
        <f>#REF!-"UFW!/L"</f>
        <v>#REF!</v>
      </c>
      <c r="BM8" t="e">
        <f>#REF!-"UFW!/M"</f>
        <v>#REF!</v>
      </c>
      <c r="BN8" t="e">
        <f>#REF!-"UFW!/N"</f>
        <v>#REF!</v>
      </c>
      <c r="BO8" t="e">
        <f>#REF!-"UFW!/O"</f>
        <v>#REF!</v>
      </c>
      <c r="BP8" t="e">
        <f>#REF!-"UFW!/P"</f>
        <v>#REF!</v>
      </c>
      <c r="BQ8" t="e">
        <f>#REF!-"UFW!/Q"</f>
        <v>#REF!</v>
      </c>
      <c r="BR8" t="e">
        <f>#REF!-"UFW!/R"</f>
        <v>#REF!</v>
      </c>
      <c r="BS8" t="e">
        <f>#REF!-"UFW!/S"</f>
        <v>#REF!</v>
      </c>
      <c r="BT8" t="e">
        <f>#REF!-"UFW!/T"</f>
        <v>#REF!</v>
      </c>
      <c r="BU8" t="e">
        <f>#REF!-"UFW!/U"</f>
        <v>#REF!</v>
      </c>
      <c r="BV8" t="e">
        <f>#REF!-"UFW!/V"</f>
        <v>#REF!</v>
      </c>
      <c r="BW8" t="e">
        <f>#REF!-"UFW!/W"</f>
        <v>#REF!</v>
      </c>
      <c r="BX8" t="e">
        <f>#REF!-"UFW!/X"</f>
        <v>#REF!</v>
      </c>
      <c r="BY8" t="e">
        <f>#REF!-"UFW!/Y"</f>
        <v>#REF!</v>
      </c>
      <c r="BZ8" t="e">
        <f>#REF!-"UFW!/Z"</f>
        <v>#REF!</v>
      </c>
      <c r="CA8" t="e">
        <f>#REF!-"UFW!/["</f>
        <v>#REF!</v>
      </c>
      <c r="CB8" t="e">
        <f>#REF!-"UFW!/\"</f>
        <v>#REF!</v>
      </c>
      <c r="CC8" t="e">
        <f>#REF!-"UFW!/]"</f>
        <v>#REF!</v>
      </c>
      <c r="CD8" t="e">
        <f>#REF!-"UFW!/^"</f>
        <v>#REF!</v>
      </c>
      <c r="CE8" t="e">
        <f>#REF!-"UFW!/_"</f>
        <v>#REF!</v>
      </c>
      <c r="CF8" t="e">
        <f>#REF!-"UFW!/`"</f>
        <v>#REF!</v>
      </c>
      <c r="CG8" t="e">
        <f>#REF!-"UFW!/a"</f>
        <v>#REF!</v>
      </c>
      <c r="CH8" t="e">
        <f>#REF!-"UFW!/b"</f>
        <v>#REF!</v>
      </c>
      <c r="CI8" t="e">
        <f>#REF!-"UFW!/c"</f>
        <v>#REF!</v>
      </c>
      <c r="CJ8" t="e">
        <f>#REF!-"UFW!/d"</f>
        <v>#REF!</v>
      </c>
      <c r="CK8" t="e">
        <f>#REF!-"UFW!/e"</f>
        <v>#REF!</v>
      </c>
      <c r="CL8" t="e">
        <f>#REF!-"UFW!/f"</f>
        <v>#REF!</v>
      </c>
      <c r="CM8" t="e">
        <f>#REF!-"UFW!/g"</f>
        <v>#REF!</v>
      </c>
      <c r="CN8" t="e">
        <f>#REF!-"UFW!/h"</f>
        <v>#REF!</v>
      </c>
      <c r="CO8" t="e">
        <f>#REF!-"UFW!/i"</f>
        <v>#REF!</v>
      </c>
      <c r="CP8" t="e">
        <f>#REF!-"UFW!/j"</f>
        <v>#REF!</v>
      </c>
      <c r="CQ8" t="e">
        <f>#REF!-"UFW!/k"</f>
        <v>#REF!</v>
      </c>
      <c r="CR8" t="e">
        <f>#REF!-"UFW!/l"</f>
        <v>#REF!</v>
      </c>
      <c r="CS8" t="e">
        <f>#REF!-"UFW!/m"</f>
        <v>#REF!</v>
      </c>
      <c r="CT8" t="e">
        <f>#REF!-"UFW!/n"</f>
        <v>#REF!</v>
      </c>
      <c r="CU8" t="e">
        <f>#REF!-"UFW!/o"</f>
        <v>#REF!</v>
      </c>
      <c r="CV8" t="e">
        <f>#REF!-"UFW!/p"</f>
        <v>#REF!</v>
      </c>
      <c r="CW8" t="e">
        <f>#REF!-"UFW!/q"</f>
        <v>#REF!</v>
      </c>
      <c r="CX8" t="e">
        <f>#REF!-"UFW!/r"</f>
        <v>#REF!</v>
      </c>
      <c r="CY8" t="e">
        <f>#REF!-"UFW!/s"</f>
        <v>#REF!</v>
      </c>
      <c r="CZ8" t="e">
        <f>#REF!-"UFW!/t"</f>
        <v>#REF!</v>
      </c>
      <c r="DA8" t="e">
        <f>#REF!-"UFW!/u"</f>
        <v>#REF!</v>
      </c>
      <c r="DB8" t="e">
        <f>#REF!-"UFW!/v"</f>
        <v>#REF!</v>
      </c>
      <c r="DC8" t="e">
        <f>#REF!-"UFW!/w"</f>
        <v>#REF!</v>
      </c>
      <c r="DD8" t="e">
        <f>#REF!-"UFW!/x"</f>
        <v>#REF!</v>
      </c>
      <c r="DE8" t="e">
        <f>#REF!-"UFW!/y"</f>
        <v>#REF!</v>
      </c>
      <c r="DF8" t="e">
        <f>#REF!-"UFW!/z"</f>
        <v>#REF!</v>
      </c>
      <c r="DG8" t="e">
        <f>#REF!-"UFW!/{"</f>
        <v>#REF!</v>
      </c>
      <c r="DH8" t="e">
        <f>#REF!-"UFW!/|"</f>
        <v>#REF!</v>
      </c>
      <c r="DI8" t="e">
        <f>#REF!-"UFW!/}"</f>
        <v>#REF!</v>
      </c>
      <c r="DJ8" t="e">
        <f>#REF!-"UFW!/~"</f>
        <v>#REF!</v>
      </c>
      <c r="DK8" t="e">
        <f>#REF!-"UFW!0#"</f>
        <v>#REF!</v>
      </c>
      <c r="DL8" t="e">
        <f>#REF!-"UFW!0$"</f>
        <v>#REF!</v>
      </c>
      <c r="DM8" t="e">
        <f>#REF!-"UFW!0%"</f>
        <v>#REF!</v>
      </c>
      <c r="DN8" t="e">
        <f>#REF!-"UFW!0&amp;"</f>
        <v>#REF!</v>
      </c>
      <c r="DO8" t="e">
        <f>#REF!-"UFW!0'"</f>
        <v>#REF!</v>
      </c>
      <c r="DP8" t="e">
        <f>#REF!-"UFW!0("</f>
        <v>#REF!</v>
      </c>
      <c r="DQ8" t="e">
        <f>#REF!-"UFW!0)"</f>
        <v>#REF!</v>
      </c>
      <c r="DR8" t="e">
        <f>#REF!-"UFW!0."</f>
        <v>#REF!</v>
      </c>
      <c r="DS8" t="e">
        <f>#REF!-"UFW!0/"</f>
        <v>#REF!</v>
      </c>
      <c r="DT8" t="e">
        <f>#REF!-"UFW!00"</f>
        <v>#REF!</v>
      </c>
      <c r="DU8" t="e">
        <f>#REF!-"UFW!01"</f>
        <v>#REF!</v>
      </c>
      <c r="DV8" t="e">
        <f>#REF!-"UFW!02"</f>
        <v>#REF!</v>
      </c>
      <c r="DW8" t="e">
        <f>#REF!-"UFW!03"</f>
        <v>#REF!</v>
      </c>
      <c r="DX8" t="e">
        <f>#REF!-"UFW!04"</f>
        <v>#REF!</v>
      </c>
      <c r="DY8" t="e">
        <f>#REF!-"UFW!05"</f>
        <v>#REF!</v>
      </c>
      <c r="DZ8" t="e">
        <f>#REF!-"UFW!06"</f>
        <v>#REF!</v>
      </c>
      <c r="EA8" t="e">
        <f>#REF!-"UFW!07"</f>
        <v>#REF!</v>
      </c>
      <c r="EB8" t="e">
        <f>#REF!-"UFW!08"</f>
        <v>#REF!</v>
      </c>
      <c r="EC8" t="e">
        <f>#REF!-"UFW!09"</f>
        <v>#REF!</v>
      </c>
      <c r="ED8" t="e">
        <f>#REF!-"UFW!0:"</f>
        <v>#REF!</v>
      </c>
      <c r="EE8" t="e">
        <f>#REF!-"UFW!0;"</f>
        <v>#REF!</v>
      </c>
      <c r="EF8" t="e">
        <f>#REF!-"UFW!0&lt;"</f>
        <v>#REF!</v>
      </c>
      <c r="EG8" t="e">
        <f>#REF!-"UFW!0="</f>
        <v>#REF!</v>
      </c>
      <c r="EH8" t="e">
        <f>#REF!-"UFW!0&gt;"</f>
        <v>#REF!</v>
      </c>
      <c r="EI8" t="e">
        <f>#REF!-"UFW!0?"</f>
        <v>#REF!</v>
      </c>
      <c r="EJ8" t="e">
        <f>#REF!-"UFW!0@"</f>
        <v>#REF!</v>
      </c>
      <c r="EK8" t="e">
        <f>#REF!-"UFW!0A"</f>
        <v>#REF!</v>
      </c>
      <c r="EL8" t="e">
        <f>#REF!-"UFW!0B"</f>
        <v>#REF!</v>
      </c>
      <c r="EM8" t="e">
        <f>#REF!-"UFW!0C"</f>
        <v>#REF!</v>
      </c>
      <c r="EN8" t="e">
        <f>#REF!-"UFW!0D"</f>
        <v>#REF!</v>
      </c>
      <c r="EO8" t="e">
        <f>#REF!-"UFW!0E"</f>
        <v>#REF!</v>
      </c>
      <c r="EP8" t="e">
        <f>#REF!-"UFW!0F"</f>
        <v>#REF!</v>
      </c>
      <c r="EQ8" t="e">
        <f>#REF!-"UFW!0G"</f>
        <v>#REF!</v>
      </c>
      <c r="ER8" t="e">
        <f>#REF!-"UFW!0H"</f>
        <v>#REF!</v>
      </c>
      <c r="ES8" t="e">
        <f>#REF!-"UFW!0I"</f>
        <v>#REF!</v>
      </c>
      <c r="ET8" t="e">
        <f>#REF!-"UFW!0J"</f>
        <v>#REF!</v>
      </c>
      <c r="EU8" t="e">
        <f>#REF!-"UFW!0K"</f>
        <v>#REF!</v>
      </c>
      <c r="EV8" t="e">
        <f>#REF!-"UFW!0L"</f>
        <v>#REF!</v>
      </c>
      <c r="EW8" t="e">
        <f>#REF!-"UFW!0M"</f>
        <v>#REF!</v>
      </c>
      <c r="EX8" t="e">
        <f>#REF!-"UFW!0N"</f>
        <v>#REF!</v>
      </c>
      <c r="EY8" t="e">
        <f>#REF!-"UFW!0O"</f>
        <v>#REF!</v>
      </c>
      <c r="EZ8" t="e">
        <f>#REF!-"UFW!0P"</f>
        <v>#REF!</v>
      </c>
      <c r="FA8" t="e">
        <f>#REF!-"UFW!0Q"</f>
        <v>#REF!</v>
      </c>
      <c r="FB8" t="e">
        <f>#REF!-"UFW!0R"</f>
        <v>#REF!</v>
      </c>
      <c r="FC8" t="e">
        <f>#REF!-"UFW!0S"</f>
        <v>#REF!</v>
      </c>
      <c r="FD8" t="e">
        <f>#REF!-"UFW!0T"</f>
        <v>#REF!</v>
      </c>
      <c r="FE8" t="e">
        <f>#REF!-"UFW!0U"</f>
        <v>#REF!</v>
      </c>
      <c r="FF8" t="e">
        <f>#REF!-"UFW!0V"</f>
        <v>#REF!</v>
      </c>
      <c r="FG8" t="e">
        <f>#REF!-"UFW!0W"</f>
        <v>#REF!</v>
      </c>
      <c r="FH8" t="e">
        <f>#REF!-"UFW!0X"</f>
        <v>#REF!</v>
      </c>
      <c r="FI8" t="e">
        <f>#REF!-"UFW!0Y"</f>
        <v>#REF!</v>
      </c>
      <c r="FJ8" t="e">
        <f>#REF!-"UFW!0Z"</f>
        <v>#REF!</v>
      </c>
      <c r="FK8" t="e">
        <f>#REF!-"UFW!0["</f>
        <v>#REF!</v>
      </c>
      <c r="FL8" t="e">
        <f>#REF!-"UFW!0\"</f>
        <v>#REF!</v>
      </c>
      <c r="FM8" t="e">
        <f>#REF!-"UFW!0]"</f>
        <v>#REF!</v>
      </c>
      <c r="FN8" t="e">
        <f>#REF!-"UFW!0^"</f>
        <v>#REF!</v>
      </c>
      <c r="FO8" t="e">
        <f>#REF!-"UFW!0_"</f>
        <v>#REF!</v>
      </c>
      <c r="FP8" t="e">
        <f>#REF!-"UFW!0`"</f>
        <v>#REF!</v>
      </c>
      <c r="FQ8" t="e">
        <f>#REF!-"UFW!0a"</f>
        <v>#REF!</v>
      </c>
      <c r="FR8" t="e">
        <f>#REF!-"UFW!0b"</f>
        <v>#REF!</v>
      </c>
      <c r="FS8" t="e">
        <f>#REF!-"UFW!0c"</f>
        <v>#REF!</v>
      </c>
      <c r="FT8" t="e">
        <f>#REF!-"UFW!0d"</f>
        <v>#REF!</v>
      </c>
      <c r="FU8" t="e">
        <f>#REF!-"UFW!0e"</f>
        <v>#REF!</v>
      </c>
      <c r="FV8" t="e">
        <f>#REF!-"UFW!0f"</f>
        <v>#REF!</v>
      </c>
      <c r="FW8" t="e">
        <f>#REF!-"UFW!0g"</f>
        <v>#REF!</v>
      </c>
      <c r="FX8" t="e">
        <f>#REF!-"UFW!0h"</f>
        <v>#REF!</v>
      </c>
      <c r="FY8" t="e">
        <f>#REF!-"UFW!0i"</f>
        <v>#REF!</v>
      </c>
      <c r="FZ8" t="e">
        <f>#REF!-"UFW!0j"</f>
        <v>#REF!</v>
      </c>
      <c r="GA8" t="e">
        <f>#REF!*"Z?)!'"</f>
        <v>#REF!</v>
      </c>
      <c r="GB8" t="e">
        <f>#REF!*"Z?)!("</f>
        <v>#REF!</v>
      </c>
      <c r="GC8" t="e">
        <f>#REF!*"Z?)!)"</f>
        <v>#REF!</v>
      </c>
      <c r="GD8" t="e">
        <f>#REF!*"Z?)!."</f>
        <v>#REF!</v>
      </c>
      <c r="GE8" t="e">
        <f>#REF!*"Z?)!/"</f>
        <v>#REF!</v>
      </c>
      <c r="GF8" t="e">
        <f>#REF!*"Z?)!0"</f>
        <v>#REF!</v>
      </c>
      <c r="GG8" t="e">
        <f>#REF!*"Z?)!1"</f>
        <v>#REF!</v>
      </c>
      <c r="GH8" t="e">
        <f>#REF!*"Z?)!2"</f>
        <v>#REF!</v>
      </c>
      <c r="GI8" t="e">
        <f>#REF!*"Z?)!3"</f>
        <v>#REF!</v>
      </c>
      <c r="GJ8" t="e">
        <f>#REF!*"Z?)!4"</f>
        <v>#REF!</v>
      </c>
      <c r="GK8" t="e">
        <f>#REF!*"Z?)!5"</f>
        <v>#REF!</v>
      </c>
      <c r="GL8" t="e">
        <f>#REF!*"Z?)!6"</f>
        <v>#REF!</v>
      </c>
      <c r="GM8" t="e">
        <f>#REF!*"Z?)!7"</f>
        <v>#REF!</v>
      </c>
      <c r="GN8" t="e">
        <f>#REF!*"Z?)!8"</f>
        <v>#REF!</v>
      </c>
      <c r="GO8" t="e">
        <f>#REF!*"Z?)!9"</f>
        <v>#REF!</v>
      </c>
      <c r="GP8" t="e">
        <f>#REF!*"Z?)!:"</f>
        <v>#REF!</v>
      </c>
      <c r="GQ8" t="e">
        <f>#REF!*"Z?)!;"</f>
        <v>#REF!</v>
      </c>
      <c r="GR8" t="e">
        <f>#REF!*"Z?)!&lt;"</f>
        <v>#REF!</v>
      </c>
      <c r="GS8" t="e">
        <f>#REF!*"Z?)!="</f>
        <v>#REF!</v>
      </c>
      <c r="GT8" t="e">
        <f>#REF!*"Z?)!&gt;"</f>
        <v>#REF!</v>
      </c>
      <c r="GU8" t="e">
        <f>#REF!*"Z?)!?"</f>
        <v>#REF!</v>
      </c>
      <c r="GV8" t="e">
        <f>#REF!*"Z?)!@"</f>
        <v>#REF!</v>
      </c>
      <c r="GW8" t="e">
        <f>#REF!*"Z?)!A"</f>
        <v>#REF!</v>
      </c>
      <c r="GX8" t="e">
        <f>#REF!*"Z?)!B"</f>
        <v>#REF!</v>
      </c>
      <c r="GY8" t="e">
        <f>#REF!*"Z?)!C"</f>
        <v>#REF!</v>
      </c>
      <c r="GZ8" t="e">
        <f>#REF!*"Z?)!D"</f>
        <v>#REF!</v>
      </c>
      <c r="HA8" t="e">
        <f>#REF!+"Z?)!E"</f>
        <v>#REF!</v>
      </c>
      <c r="HB8" t="e">
        <f>#REF!+"Z?)!F"</f>
        <v>#REF!</v>
      </c>
      <c r="HC8" t="e">
        <f>#REF!+"Z?)!G"</f>
        <v>#REF!</v>
      </c>
      <c r="HD8" t="e">
        <f>#REF!+"Z?)!H"</f>
        <v>#REF!</v>
      </c>
      <c r="HE8" t="e">
        <f>#REF!+"Z?)!I"</f>
        <v>#REF!</v>
      </c>
      <c r="HF8" t="e">
        <f>#REF!+"Z?)!J"</f>
        <v>#REF!</v>
      </c>
      <c r="HG8" t="e">
        <f>#REF!+"Z?)!K"</f>
        <v>#REF!</v>
      </c>
      <c r="HH8" t="e">
        <f>#REF!+"Z?)!L"</f>
        <v>#REF!</v>
      </c>
      <c r="HI8" t="e">
        <f>#REF!+"Z?)!M"</f>
        <v>#REF!</v>
      </c>
      <c r="HJ8" t="e">
        <f>#REF!+"Z?)!N"</f>
        <v>#REF!</v>
      </c>
      <c r="HK8" t="e">
        <f>#REF!+"Z?)!O"</f>
        <v>#REF!</v>
      </c>
      <c r="HL8" t="e">
        <f>#REF!+"Z?)!P"</f>
        <v>#REF!</v>
      </c>
      <c r="HM8" t="e">
        <f>#REF!+"Z?)!Q"</f>
        <v>#REF!</v>
      </c>
      <c r="HN8" t="e">
        <f>#REF!+"Z?)!R"</f>
        <v>#REF!</v>
      </c>
      <c r="HO8" t="e">
        <f>#REF!+"Z?)!S"</f>
        <v>#REF!</v>
      </c>
      <c r="HP8" t="e">
        <f>#REF!+"Z?)!T"</f>
        <v>#REF!</v>
      </c>
      <c r="HQ8" t="e">
        <f>#REF!+"Z?)!U"</f>
        <v>#REF!</v>
      </c>
      <c r="HR8" t="e">
        <f>#REF!+"Z?)!V"</f>
        <v>#REF!</v>
      </c>
      <c r="HS8" t="e">
        <f>#REF!+"Z?)!W"</f>
        <v>#REF!</v>
      </c>
      <c r="HT8" t="e">
        <f>#REF!+"Z?)!X"</f>
        <v>#REF!</v>
      </c>
      <c r="HU8" t="e">
        <f>#REF!+"Z?)!Y"</f>
        <v>#REF!</v>
      </c>
      <c r="HV8" t="e">
        <f>#REF!+"Z?)!Z"</f>
        <v>#REF!</v>
      </c>
      <c r="HW8" t="e">
        <f>#REF!+"Z?)!["</f>
        <v>#REF!</v>
      </c>
      <c r="HX8" t="e">
        <f>#REF!+"Z?)!\"</f>
        <v>#REF!</v>
      </c>
      <c r="HY8" t="e">
        <f>#REF!+"Z?)!]"</f>
        <v>#REF!</v>
      </c>
      <c r="HZ8" t="e">
        <f>#REF!+"Z?)!^"</f>
        <v>#REF!</v>
      </c>
      <c r="IA8" t="e">
        <f>#REF!+"Z?)!_"</f>
        <v>#REF!</v>
      </c>
      <c r="IB8" t="e">
        <f>#REF!+"Z?)!`"</f>
        <v>#REF!</v>
      </c>
      <c r="IC8" t="e">
        <f>#REF!+"Z?)!a"</f>
        <v>#REF!</v>
      </c>
      <c r="ID8" t="e">
        <f>#REF!+"Z?)!b"</f>
        <v>#REF!</v>
      </c>
      <c r="IE8" t="e">
        <f>#REF!+"Z?)!c"</f>
        <v>#REF!</v>
      </c>
      <c r="IF8" t="e">
        <f>#REF!+"Z?)!d"</f>
        <v>#REF!</v>
      </c>
      <c r="IG8" t="e">
        <f>#REF!+"Z?)!e"</f>
        <v>#REF!</v>
      </c>
      <c r="IH8" t="e">
        <f>#REF!+"Z?)!f"</f>
        <v>#REF!</v>
      </c>
      <c r="II8" t="e">
        <f>#REF!+"Z?)!g"</f>
        <v>#REF!</v>
      </c>
      <c r="IJ8" t="e">
        <f>#REF!+"Z?)!h"</f>
        <v>#REF!</v>
      </c>
      <c r="IK8" t="e">
        <f>#REF!+"Z?)!i"</f>
        <v>#REF!</v>
      </c>
      <c r="IL8" t="e">
        <f>#REF!+"Z?)!j"</f>
        <v>#REF!</v>
      </c>
      <c r="IM8" t="e">
        <f>#REF!+"Z?)!k"</f>
        <v>#REF!</v>
      </c>
      <c r="IN8" t="e">
        <f>#REF!+"Z?)!l"</f>
        <v>#REF!</v>
      </c>
      <c r="IO8" t="e">
        <f>#REF!+"Z?)!m"</f>
        <v>#REF!</v>
      </c>
      <c r="IP8" t="e">
        <f>#REF!+"Z?)!n"</f>
        <v>#REF!</v>
      </c>
      <c r="IQ8" t="e">
        <f>#REF!+"Z?)!o"</f>
        <v>#REF!</v>
      </c>
      <c r="IR8" t="e">
        <f>#REF!+"Z?)!p"</f>
        <v>#REF!</v>
      </c>
      <c r="IS8" t="e">
        <f>#REF!+"Z?)!q"</f>
        <v>#REF!</v>
      </c>
      <c r="IT8" t="e">
        <f>#REF!+"Z?)!r"</f>
        <v>#REF!</v>
      </c>
      <c r="IU8" t="e">
        <f>#REF!+"Z?)!s"</f>
        <v>#REF!</v>
      </c>
      <c r="IV8" t="e">
        <f>#REF!+"Z?)!t"</f>
        <v>#REF!</v>
      </c>
    </row>
    <row r="9" spans="1:256" x14ac:dyDescent="0.25">
      <c r="A9" t="s">
        <v>14</v>
      </c>
      <c r="F9" t="e">
        <f>#REF!+"Z?)!u"</f>
        <v>#REF!</v>
      </c>
      <c r="G9" t="e">
        <f>#REF!+"Z?)!v"</f>
        <v>#REF!</v>
      </c>
      <c r="H9" t="e">
        <f>#REF!+"Z?)!w"</f>
        <v>#REF!</v>
      </c>
      <c r="I9" t="e">
        <f>#REF!+"Z?)!x"</f>
        <v>#REF!</v>
      </c>
      <c r="J9" t="e">
        <f>#REF!+"Z?)!y"</f>
        <v>#REF!</v>
      </c>
      <c r="K9" t="e">
        <f>#REF!+"Z?)!{"</f>
        <v>#REF!</v>
      </c>
      <c r="L9" t="e">
        <f>#REF!+"Z?)!|"</f>
        <v>#REF!</v>
      </c>
      <c r="M9" t="e">
        <f>#REF!+"Z?)!}"</f>
        <v>#REF!</v>
      </c>
      <c r="N9" t="e">
        <f>#REF!+"Z?)!~"</f>
        <v>#REF!</v>
      </c>
      <c r="O9" t="e">
        <f>#REF!+"Z?)!$#"</f>
        <v>#REF!</v>
      </c>
      <c r="P9" t="e">
        <f>#REF!+"Z?)!$$"</f>
        <v>#REF!</v>
      </c>
      <c r="Q9" t="e">
        <f>#REF!+"Z?)!$%"</f>
        <v>#REF!</v>
      </c>
      <c r="R9" t="e">
        <f>#REF!+"Z?)!$&amp;"</f>
        <v>#REF!</v>
      </c>
      <c r="S9" t="e">
        <f>#REF!+"Z?)!$'"</f>
        <v>#REF!</v>
      </c>
      <c r="T9" t="e">
        <f>#REF!+"Z?)!$("</f>
        <v>#REF!</v>
      </c>
      <c r="U9" t="e">
        <f>#REF!+"Z?)!$)"</f>
        <v>#REF!</v>
      </c>
      <c r="V9" t="e">
        <f>#REF!+"Z?)!$."</f>
        <v>#REF!</v>
      </c>
      <c r="W9" t="e">
        <f>#REF!+"Z?)!$/"</f>
        <v>#REF!</v>
      </c>
      <c r="X9" t="e">
        <f>#REF!+"Z?)!$0"</f>
        <v>#REF!</v>
      </c>
      <c r="Y9" t="e">
        <f>#REF!+"Z?)!$1"</f>
        <v>#REF!</v>
      </c>
      <c r="Z9" t="e">
        <f>#REF!+"Z?)!$2"</f>
        <v>#REF!</v>
      </c>
      <c r="AA9" t="e">
        <f>#REF!*"Z?)!$4"</f>
        <v>#REF!</v>
      </c>
      <c r="AB9" t="e">
        <f>#REF!*"Z?)!$5"</f>
        <v>#REF!</v>
      </c>
      <c r="AC9" t="e">
        <f>#REF!*"Z?)!$6"</f>
        <v>#REF!</v>
      </c>
      <c r="AD9" t="e">
        <f>#REF!*"Z?)!$7"</f>
        <v>#REF!</v>
      </c>
      <c r="AE9" t="e">
        <f>#REF!*"Z?)!$8"</f>
        <v>#REF!</v>
      </c>
      <c r="AF9" t="e">
        <f>#REF!*"Z?)!$9"</f>
        <v>#REF!</v>
      </c>
      <c r="AG9" t="e">
        <f>#REF!*"Z?)!$:"</f>
        <v>#REF!</v>
      </c>
      <c r="AH9" t="e">
        <f>#REF!*"Z?)!$;"</f>
        <v>#REF!</v>
      </c>
      <c r="AI9" t="e">
        <f>#REF!*"Z?)!$&lt;"</f>
        <v>#REF!</v>
      </c>
      <c r="AJ9" t="e">
        <f>#REF!*"Z?)!$="</f>
        <v>#REF!</v>
      </c>
      <c r="AK9" t="e">
        <f>#REF!*"Z?)!$&gt;"</f>
        <v>#REF!</v>
      </c>
      <c r="AL9" t="e">
        <f>#REF!*"Z?)!$?"</f>
        <v>#REF!</v>
      </c>
      <c r="AM9" t="e">
        <f>#REF!*"Z?)!$@"</f>
        <v>#REF!</v>
      </c>
      <c r="AN9" t="e">
        <f>#REF!*"Z?)!$A"</f>
        <v>#REF!</v>
      </c>
      <c r="AO9" t="e">
        <f>#REF!*"Z?)!$B"</f>
        <v>#REF!</v>
      </c>
      <c r="AP9" t="e">
        <f>#REF!*"Z?)!$C"</f>
        <v>#REF!</v>
      </c>
      <c r="AQ9" t="e">
        <f>#REF!*"Z?)!$D"</f>
        <v>#REF!</v>
      </c>
      <c r="AR9" t="e">
        <f>#REF!*"Z?)!$E"</f>
        <v>#REF!</v>
      </c>
      <c r="AS9" t="e">
        <f>#REF!*"Z?)!$F"</f>
        <v>#REF!</v>
      </c>
      <c r="AT9" t="e">
        <f>#REF!*"Z?)!$G"</f>
        <v>#REF!</v>
      </c>
      <c r="AU9" t="e">
        <f>#REF!*"Z?)!$H"</f>
        <v>#REF!</v>
      </c>
      <c r="AV9" t="e">
        <f>#REF!*"Z?)!$I"</f>
        <v>#REF!</v>
      </c>
      <c r="AW9" t="e">
        <f>#REF!*"Z?)!$J"</f>
        <v>#REF!</v>
      </c>
      <c r="AX9" t="e">
        <f>#REF!*"Z?)!$K"</f>
        <v>#REF!</v>
      </c>
      <c r="AY9" t="e">
        <f>#REF!*"Z?)!$L"</f>
        <v>#REF!</v>
      </c>
      <c r="AZ9" t="e">
        <f>#REF!*"Z?)!$M"</f>
        <v>#REF!</v>
      </c>
      <c r="BA9" t="e">
        <f>#REF!*"Z?)!$N"</f>
        <v>#REF!</v>
      </c>
      <c r="BB9" t="e">
        <f>#REF!*"Z?)!$O"</f>
        <v>#REF!</v>
      </c>
      <c r="BC9" t="e">
        <f>#REF!*"Z?)!$P"</f>
        <v>#REF!</v>
      </c>
      <c r="BD9" t="e">
        <f>#REF!*"Z?)!$Q"</f>
        <v>#REF!</v>
      </c>
      <c r="BE9" t="e">
        <f>#REF!*"Z?)!$R"</f>
        <v>#REF!</v>
      </c>
      <c r="BF9" t="e">
        <f>#REF!*"Z?)!$S"</f>
        <v>#REF!</v>
      </c>
      <c r="BG9" t="e">
        <f>#REF!*"Z?)!$T"</f>
        <v>#REF!</v>
      </c>
      <c r="BH9" t="e">
        <f>#REF!*"Z?)!$U"</f>
        <v>#REF!</v>
      </c>
      <c r="BI9" t="e">
        <f>#REF!*"Z?)!$V"</f>
        <v>#REF!</v>
      </c>
      <c r="BJ9" t="e">
        <f>#REF!*"Z?)!$W"</f>
        <v>#REF!</v>
      </c>
      <c r="BK9" t="e">
        <f>#REF!*"Z?)!$X"</f>
        <v>#REF!</v>
      </c>
      <c r="BL9" t="e">
        <f>#REF!*"Z?)!$Y"</f>
        <v>#REF!</v>
      </c>
      <c r="BM9" t="e">
        <f>#REF!*"Z?)!$Z"</f>
        <v>#REF!</v>
      </c>
      <c r="BN9" t="e">
        <f>#REF!*"Z?)!$["</f>
        <v>#REF!</v>
      </c>
      <c r="BO9" t="e">
        <f>#REF!*"Z?)!$\"</f>
        <v>#REF!</v>
      </c>
      <c r="BP9" t="e">
        <f>#REF!*"Z?)!$]"</f>
        <v>#REF!</v>
      </c>
      <c r="BQ9" t="e">
        <f>#REF!*"Z?)!$^"</f>
        <v>#REF!</v>
      </c>
      <c r="BR9" t="e">
        <f>#REF!*"Z?)!$_"</f>
        <v>#REF!</v>
      </c>
      <c r="BS9" t="e">
        <f>#REF!*"Z?)!$`"</f>
        <v>#REF!</v>
      </c>
      <c r="BT9" t="e">
        <f>#REF!*"Z?)!$a"</f>
        <v>#REF!</v>
      </c>
      <c r="BU9" t="e">
        <f>#REF!*"Z?)!$b"</f>
        <v>#REF!</v>
      </c>
      <c r="BV9" t="e">
        <f>#REF!*"Z?)!$c"</f>
        <v>#REF!</v>
      </c>
      <c r="BW9" t="e">
        <f>#REF!*"Z?)!$d"</f>
        <v>#REF!</v>
      </c>
      <c r="BX9" t="e">
        <f>#REF!*"Z?)!$e"</f>
        <v>#REF!</v>
      </c>
      <c r="BY9" t="e">
        <f>#REF!*"Z?)!$f"</f>
        <v>#REF!</v>
      </c>
      <c r="BZ9" t="e">
        <f>#REF!-"Z?)!$g"</f>
        <v>#REF!</v>
      </c>
      <c r="CA9" t="e">
        <f>#REF!-"Z?)!$h"</f>
        <v>#REF!</v>
      </c>
      <c r="CB9" t="e">
        <f>#REF!-"Z?)!$i"</f>
        <v>#REF!</v>
      </c>
      <c r="CC9" t="e">
        <f>#REF!-"Z?)!$j"</f>
        <v>#REF!</v>
      </c>
      <c r="CD9" t="e">
        <f>#REF!-"Z?)!$k"</f>
        <v>#REF!</v>
      </c>
      <c r="CE9" t="e">
        <f>#REF!-"Z?)!$l"</f>
        <v>#REF!</v>
      </c>
      <c r="CF9" t="e">
        <f>#REF!-"Z?)!$m"</f>
        <v>#REF!</v>
      </c>
      <c r="CG9" t="e">
        <f>#REF!-"Z?)!$n"</f>
        <v>#REF!</v>
      </c>
      <c r="CH9" t="e">
        <f>#REF!-"Z?)!$o"</f>
        <v>#REF!</v>
      </c>
      <c r="CI9" t="e">
        <f>#REF!-"Z?)!$p"</f>
        <v>#REF!</v>
      </c>
      <c r="CJ9" t="e">
        <f>#REF!-"Z?)!$q"</f>
        <v>#REF!</v>
      </c>
      <c r="CK9" t="e">
        <f>#REF!-"Z?)!$r"</f>
        <v>#REF!</v>
      </c>
      <c r="CL9" t="e">
        <f>#REF!-"Z?)!$s"</f>
        <v>#REF!</v>
      </c>
      <c r="CM9" t="e">
        <f>#REF!-"Z?)!$t"</f>
        <v>#REF!</v>
      </c>
      <c r="CN9" t="e">
        <f>#REF!-"Z?)!$u"</f>
        <v>#REF!</v>
      </c>
      <c r="CO9" t="e">
        <f>#REF!-"Z?)!$v"</f>
        <v>#REF!</v>
      </c>
      <c r="CP9" t="e">
        <f>#REF!-"Z?)!$w"</f>
        <v>#REF!</v>
      </c>
      <c r="CQ9" t="e">
        <f>#REF!-"Z?)!$x"</f>
        <v>#REF!</v>
      </c>
      <c r="CR9" t="e">
        <f>#REF!-"Z?)!$y"</f>
        <v>#REF!</v>
      </c>
      <c r="CS9" t="e">
        <f>#REF!-"Z?)!$z"</f>
        <v>#REF!</v>
      </c>
      <c r="CT9" t="e">
        <f>#REF!-"Z?)!${"</f>
        <v>#REF!</v>
      </c>
      <c r="CU9" t="e">
        <f>#REF!-"Z?)!$|"</f>
        <v>#REF!</v>
      </c>
      <c r="CV9" t="e">
        <f>#REF!-"Z?)!$}"</f>
        <v>#REF!</v>
      </c>
      <c r="CW9" t="e">
        <f>#REF!-"Z?)!$~"</f>
        <v>#REF!</v>
      </c>
      <c r="CX9" t="e">
        <f>#REF!-"Z?)!%#"</f>
        <v>#REF!</v>
      </c>
      <c r="CY9" t="e">
        <f>#REF!-"Z?)!%$"</f>
        <v>#REF!</v>
      </c>
      <c r="CZ9" t="e">
        <f>#REF!-"Z?)!%%"</f>
        <v>#REF!</v>
      </c>
      <c r="DA9" t="e">
        <f>#REF!-"Z?)!%&amp;"</f>
        <v>#REF!</v>
      </c>
      <c r="DB9" t="e">
        <f>#REF!-"Z?)!%'"</f>
        <v>#REF!</v>
      </c>
      <c r="DC9" t="e">
        <f>#REF!-"Z?)!%("</f>
        <v>#REF!</v>
      </c>
      <c r="DD9" t="e">
        <f>#REF!-"Z?)!%)"</f>
        <v>#REF!</v>
      </c>
      <c r="DE9" t="e">
        <f>#REF!-"Z?)!%."</f>
        <v>#REF!</v>
      </c>
      <c r="DF9" t="e">
        <f>#REF!-"Z?)!%/"</f>
        <v>#REF!</v>
      </c>
      <c r="DG9" t="e">
        <f>#REF!-"Z?)!%0"</f>
        <v>#REF!</v>
      </c>
      <c r="DH9" t="e">
        <f>#REF!-"Z?)!%1"</f>
        <v>#REF!</v>
      </c>
      <c r="DI9" t="e">
        <f>#REF!-"Z?)!%2"</f>
        <v>#REF!</v>
      </c>
      <c r="DJ9" t="e">
        <f>#REF!-"Z?)!%3"</f>
        <v>#REF!</v>
      </c>
      <c r="DK9" t="e">
        <f>#REF!-"Z?)!%4"</f>
        <v>#REF!</v>
      </c>
      <c r="DL9" t="e">
        <f>#REF!-"Z?)!%5"</f>
        <v>#REF!</v>
      </c>
      <c r="DM9" t="e">
        <f>#REF!-"Z?)!%6"</f>
        <v>#REF!</v>
      </c>
      <c r="DN9" t="e">
        <f>#REF!-"Z?)!%7"</f>
        <v>#REF!</v>
      </c>
      <c r="DO9" t="e">
        <f>#REF!-"Z?)!%8"</f>
        <v>#REF!</v>
      </c>
      <c r="DP9" t="e">
        <f>#REF!-"Z?)!%9"</f>
        <v>#REF!</v>
      </c>
      <c r="DQ9" t="e">
        <f>#REF!-"Z?)!%:"</f>
        <v>#REF!</v>
      </c>
      <c r="DR9" t="e">
        <f>#REF!-"Z?)!%;"</f>
        <v>#REF!</v>
      </c>
      <c r="DS9" t="e">
        <f>#REF!-"Z?)!%&lt;"</f>
        <v>#REF!</v>
      </c>
      <c r="DT9" t="e">
        <f>#REF!-"Z?)!%="</f>
        <v>#REF!</v>
      </c>
      <c r="DU9" t="e">
        <f>#REF!-"Z?)!%&gt;"</f>
        <v>#REF!</v>
      </c>
      <c r="DV9" t="e">
        <f>#REF!-"Z?)!%?"</f>
        <v>#REF!</v>
      </c>
      <c r="DW9" t="e">
        <f>#REF!-"Z?)!%@"</f>
        <v>#REF!</v>
      </c>
      <c r="DX9" t="e">
        <f>#REF!-"Z?)!%A"</f>
        <v>#REF!</v>
      </c>
      <c r="DY9" t="e">
        <f>#REF!-"Z?)!%B"</f>
        <v>#REF!</v>
      </c>
      <c r="DZ9" t="e">
        <f>#REF!-"Z?)!%C"</f>
        <v>#REF!</v>
      </c>
      <c r="EA9" t="e">
        <f>#REF!-"Z?)!%D"</f>
        <v>#REF!</v>
      </c>
      <c r="EB9" t="e">
        <f>#REF!-"Z?)!%E"</f>
        <v>#REF!</v>
      </c>
      <c r="EC9" t="e">
        <f>#REF!-"Z?)!%F"</f>
        <v>#REF!</v>
      </c>
      <c r="ED9" t="e">
        <f>#REF!-"Z?)!%G"</f>
        <v>#REF!</v>
      </c>
      <c r="EE9" t="e">
        <f>#REF!-"Z?)!%H"</f>
        <v>#REF!</v>
      </c>
      <c r="EF9" t="e">
        <f>#REF!-"Z?)!%I"</f>
        <v>#REF!</v>
      </c>
      <c r="EG9" t="e">
        <f>#REF!-"Z?)!%J"</f>
        <v>#REF!</v>
      </c>
      <c r="EH9" t="e">
        <f>#REF!-"Z?)!%K"</f>
        <v>#REF!</v>
      </c>
      <c r="EI9" t="e">
        <f>#REF!-"Z?)!%L"</f>
        <v>#REF!</v>
      </c>
      <c r="EJ9" t="e">
        <f>#REF!-"Z?)!%M"</f>
        <v>#REF!</v>
      </c>
      <c r="EK9" t="e">
        <f>#REF!-"Z?)!%N"</f>
        <v>#REF!</v>
      </c>
      <c r="EL9" t="e">
        <f>#REF!-"Z?)!%O"</f>
        <v>#REF!</v>
      </c>
      <c r="EM9" t="e">
        <f>#REF!-"Z?)!%P"</f>
        <v>#REF!</v>
      </c>
      <c r="EN9" t="e">
        <f>#REF!-"Z?)!%Q"</f>
        <v>#REF!</v>
      </c>
      <c r="EO9" t="e">
        <f>#REF!-"Z?)!%R"</f>
        <v>#REF!</v>
      </c>
      <c r="EP9" t="e">
        <f>#REF!-"Z?)!%S"</f>
        <v>#REF!</v>
      </c>
      <c r="EQ9" t="e">
        <f>#REF!-"Z?)!%T"</f>
        <v>#REF!</v>
      </c>
      <c r="ER9" t="e">
        <f>#REF!-"Z?)!%U"</f>
        <v>#REF!</v>
      </c>
      <c r="ES9" t="e">
        <f>#REF!-"Z?)!%V"</f>
        <v>#REF!</v>
      </c>
      <c r="ET9" t="e">
        <f>#REF!+"Z?)!%W"</f>
        <v>#REF!</v>
      </c>
      <c r="EU9" t="e">
        <f>#REF!+"Z?)!%X"</f>
        <v>#REF!</v>
      </c>
      <c r="EV9" t="e">
        <f>#REF!+"Z?)!%Y"</f>
        <v>#REF!</v>
      </c>
      <c r="EW9" t="e">
        <f>#REF!+"Z?)!%Z"</f>
        <v>#REF!</v>
      </c>
      <c r="EX9" t="e">
        <f>#REF!+"Z?)!%["</f>
        <v>#REF!</v>
      </c>
      <c r="EY9" t="e">
        <f>#REF!+"Z?)!%\"</f>
        <v>#REF!</v>
      </c>
      <c r="EZ9" t="e">
        <f>#REF!+"Z?)!%]"</f>
        <v>#REF!</v>
      </c>
      <c r="FA9" t="e">
        <f>#REF!+"Z?)!%^"</f>
        <v>#REF!</v>
      </c>
      <c r="FB9" t="e">
        <f>#REF!+"Z?)!%_"</f>
        <v>#REF!</v>
      </c>
      <c r="FC9" t="e">
        <f>#REF!+"Z?)!%`"</f>
        <v>#REF!</v>
      </c>
      <c r="FD9" t="e">
        <f>#REF!+"Z?)!%a"</f>
        <v>#REF!</v>
      </c>
      <c r="FE9" t="e">
        <f>#REF!+"Z?)!%b"</f>
        <v>#REF!</v>
      </c>
      <c r="FF9" t="e">
        <f>#REF!+"Z?)!%c"</f>
        <v>#REF!</v>
      </c>
      <c r="FG9" t="e">
        <f>#REF!+"Z?)!%d"</f>
        <v>#REF!</v>
      </c>
      <c r="FH9" t="e">
        <f>#REF!+"Z?)!%e"</f>
        <v>#REF!</v>
      </c>
      <c r="FI9" t="e">
        <f>#REF!+"Z?)!%f"</f>
        <v>#REF!</v>
      </c>
      <c r="FJ9" t="e">
        <f>#REF!+"Z?)!%g"</f>
        <v>#REF!</v>
      </c>
      <c r="FK9" t="e">
        <f>#REF!+"Z?)!%h"</f>
        <v>#REF!</v>
      </c>
      <c r="FL9" t="e">
        <f>#REF!+"Z?)!%i"</f>
        <v>#REF!</v>
      </c>
      <c r="FM9" t="e">
        <f>#REF!+"Z?)!%j"</f>
        <v>#REF!</v>
      </c>
      <c r="FN9" t="e">
        <f>#REF!+"Z?)!%k"</f>
        <v>#REF!</v>
      </c>
      <c r="FO9" t="e">
        <f>#REF!+"Z?)!%l"</f>
        <v>#REF!</v>
      </c>
      <c r="FP9" t="e">
        <f>#REF!+"Z?)!%m"</f>
        <v>#REF!</v>
      </c>
      <c r="FQ9" t="e">
        <f>#REF!+"Z?)!%n"</f>
        <v>#REF!</v>
      </c>
      <c r="FR9" t="e">
        <f>#REF!+"Z?)!%o"</f>
        <v>#REF!</v>
      </c>
      <c r="FS9" t="e">
        <f>#REF!+"Z?)!%p"</f>
        <v>#REF!</v>
      </c>
      <c r="FT9" t="e">
        <f>#REF!+"Z?)!%q"</f>
        <v>#REF!</v>
      </c>
      <c r="FU9" t="e">
        <f>#REF!+"Z?)!%r"</f>
        <v>#REF!</v>
      </c>
      <c r="FV9" t="e">
        <f>#REF!+"Z?)!%s"</f>
        <v>#REF!</v>
      </c>
      <c r="FW9" t="e">
        <f>#REF!+"Z?)!%t"</f>
        <v>#REF!</v>
      </c>
      <c r="FX9" t="e">
        <f>#REF!+"Z?)!%u"</f>
        <v>#REF!</v>
      </c>
      <c r="FY9" t="e">
        <f>#REF!+"Z?)!%v"</f>
        <v>#REF!</v>
      </c>
      <c r="FZ9" t="e">
        <f>#REF!+"Z?)!%w"</f>
        <v>#REF!</v>
      </c>
      <c r="GA9" t="e">
        <f>#REF!+"Z?)!%x"</f>
        <v>#REF!</v>
      </c>
      <c r="GB9" t="e">
        <f>#REF!+"Z?)!%y"</f>
        <v>#REF!</v>
      </c>
      <c r="GC9" t="e">
        <f>#REF!+"Z?)!%z"</f>
        <v>#REF!</v>
      </c>
      <c r="GD9" t="e">
        <f>#REF!+"Z?)!%{"</f>
        <v>#REF!</v>
      </c>
      <c r="GE9" t="e">
        <f>#REF!+"Z?)!%|"</f>
        <v>#REF!</v>
      </c>
      <c r="GF9" t="e">
        <f>#REF!+"Z?)!%}"</f>
        <v>#REF!</v>
      </c>
      <c r="GG9" t="e">
        <f>#REF!+"Z?)!%~"</f>
        <v>#REF!</v>
      </c>
      <c r="GH9" t="e">
        <f>#REF!+"Z?)!&amp;#"</f>
        <v>#REF!</v>
      </c>
      <c r="GI9" t="e">
        <f>#REF!+"Z?)!&amp;$"</f>
        <v>#REF!</v>
      </c>
      <c r="GJ9" t="e">
        <f>#REF!+"Z?)!&amp;%"</f>
        <v>#REF!</v>
      </c>
      <c r="GK9" t="e">
        <f>#REF!+"Z?)!&amp;&amp;"</f>
        <v>#REF!</v>
      </c>
      <c r="GL9" t="e">
        <f>#REF!+"Z?)!&amp;'"</f>
        <v>#REF!</v>
      </c>
      <c r="GM9" t="e">
        <f>#REF!+"Z?)!&amp;("</f>
        <v>#REF!</v>
      </c>
      <c r="GN9" t="e">
        <f>#REF!+"Z?)!&amp;)"</f>
        <v>#REF!</v>
      </c>
      <c r="GO9" t="e">
        <f>#REF!+"Z?)!&amp;."</f>
        <v>#REF!</v>
      </c>
      <c r="GP9" t="e">
        <f>#REF!+"Z?)!&amp;/"</f>
        <v>#REF!</v>
      </c>
      <c r="GQ9" t="e">
        <f>#REF!+"Z?)!&amp;0"</f>
        <v>#REF!</v>
      </c>
      <c r="GR9" t="e">
        <f>#REF!+"Z?)!&amp;1"</f>
        <v>#REF!</v>
      </c>
      <c r="GS9" t="e">
        <f>#REF!+"Z?)!&amp;2"</f>
        <v>#REF!</v>
      </c>
      <c r="GT9" t="e">
        <f>#REF!+"Z?)!&amp;3"</f>
        <v>#REF!</v>
      </c>
      <c r="GU9" t="e">
        <f>#REF!+"Z?)!&amp;4"</f>
        <v>#REF!</v>
      </c>
      <c r="GV9" t="e">
        <f>#REF!+"Z?)!&amp;5"</f>
        <v>#REF!</v>
      </c>
      <c r="GW9" t="e">
        <f>#REF!+"Z?)!&amp;6"</f>
        <v>#REF!</v>
      </c>
      <c r="GX9" t="e">
        <f>#REF!+"Z?)!&amp;7"</f>
        <v>#REF!</v>
      </c>
      <c r="GY9" t="e">
        <f>#REF!+"Z?)!&amp;8"</f>
        <v>#REF!</v>
      </c>
      <c r="GZ9" t="e">
        <f>#REF!+"Z?)!&amp;9"</f>
        <v>#REF!</v>
      </c>
      <c r="HA9" t="e">
        <f>#REF!+"Z?)!&amp;:"</f>
        <v>#REF!</v>
      </c>
      <c r="HB9" t="e">
        <f>#REF!+"Z?)!&amp;;"</f>
        <v>#REF!</v>
      </c>
      <c r="HC9" t="e">
        <f>#REF!+"Z?)!&amp;&lt;"</f>
        <v>#REF!</v>
      </c>
      <c r="HD9" t="e">
        <f>#REF!+"Z?)!&amp;="</f>
        <v>#REF!</v>
      </c>
      <c r="HE9" t="e">
        <f>#REF!+"Z?)!&amp;&gt;"</f>
        <v>#REF!</v>
      </c>
      <c r="HF9" t="e">
        <f>#REF!+"Z?)!&amp;?"</f>
        <v>#REF!</v>
      </c>
      <c r="HG9" t="e">
        <f>#REF!+"Z?)!&amp;@"</f>
        <v>#REF!</v>
      </c>
      <c r="HH9" t="e">
        <f>#REF!+"Z?)!&amp;A"</f>
        <v>#REF!</v>
      </c>
      <c r="HI9" t="e">
        <f>#REF!+"Z?)!&amp;B"</f>
        <v>#REF!</v>
      </c>
      <c r="HJ9" t="e">
        <f>#REF!+"Z?)!&amp;C"</f>
        <v>#REF!</v>
      </c>
      <c r="HK9" t="e">
        <f>#REF!+"Z?)!&amp;D"</f>
        <v>#REF!</v>
      </c>
      <c r="HL9" t="e">
        <f>#REF!+"Z?)!&amp;E"</f>
        <v>#REF!</v>
      </c>
      <c r="HM9" t="e">
        <f>#REF!+"Z?)!&amp;F"</f>
        <v>#REF!</v>
      </c>
      <c r="HN9" t="e">
        <f>#REF!+"Z?)!&amp;G"</f>
        <v>#REF!</v>
      </c>
      <c r="HO9" t="e">
        <f>#REF!+"Z?)!&amp;H"</f>
        <v>#REF!</v>
      </c>
      <c r="HP9" t="e">
        <f>#REF!+"Z?)!&amp;I"</f>
        <v>#REF!</v>
      </c>
      <c r="HQ9" t="e">
        <f>#REF!+"Z?)!&amp;J"</f>
        <v>#REF!</v>
      </c>
      <c r="HR9" t="e">
        <f>#REF!+"Z?)!&amp;K"</f>
        <v>#REF!</v>
      </c>
      <c r="HS9" t="e">
        <f>#REF!+"Z?)!&amp;L"</f>
        <v>#REF!</v>
      </c>
      <c r="HT9" t="e">
        <f>#REF!+"Z?)!&amp;M"</f>
        <v>#REF!</v>
      </c>
      <c r="HU9" t="e">
        <f>#REF!+"Z?)!&amp;N"</f>
        <v>#REF!</v>
      </c>
      <c r="HV9" t="e">
        <f>#REF!+"Z?)!&amp;O"</f>
        <v>#REF!</v>
      </c>
      <c r="HW9" t="e">
        <f>#REF!+"Z?)!&amp;P"</f>
        <v>#REF!</v>
      </c>
      <c r="HX9" t="e">
        <f>#REF!+"Z?)!&amp;Q"</f>
        <v>#REF!</v>
      </c>
      <c r="HY9" t="e">
        <f>#REF!+"Z?)!&amp;R"</f>
        <v>#REF!</v>
      </c>
      <c r="HZ9" t="e">
        <f>#REF!+"Z?)!&amp;S"</f>
        <v>#REF!</v>
      </c>
      <c r="IA9" t="e">
        <f>#REF!+"Z?)!&amp;T"</f>
        <v>#REF!</v>
      </c>
      <c r="IB9" t="e">
        <f>#REF!+"Z?)!&amp;U"</f>
        <v>#REF!</v>
      </c>
      <c r="IC9" t="e">
        <f>#REF!+"Z?)!&amp;V"</f>
        <v>#REF!</v>
      </c>
      <c r="ID9" t="e">
        <f>#REF!+"Z?)!&amp;W"</f>
        <v>#REF!</v>
      </c>
      <c r="IE9" t="e">
        <f>#REF!+"Z?)!&amp;X"</f>
        <v>#REF!</v>
      </c>
      <c r="IF9" t="e">
        <f>#REF!+"Z?)!&amp;Y"</f>
        <v>#REF!</v>
      </c>
      <c r="IG9" t="e">
        <f>#REF!+"Z?)!&amp;Z"</f>
        <v>#REF!</v>
      </c>
      <c r="IH9" t="e">
        <f>#REF!+"Z?)!&amp;["</f>
        <v>#REF!</v>
      </c>
      <c r="II9" t="e">
        <f>#REF!+"Z?)!&amp;\"</f>
        <v>#REF!</v>
      </c>
      <c r="IJ9" t="e">
        <f>#REF!+"Z?)!&amp;]"</f>
        <v>#REF!</v>
      </c>
      <c r="IK9" t="e">
        <f>#REF!+"Z?)!&amp;^"</f>
        <v>#REF!</v>
      </c>
      <c r="IL9" t="e">
        <f>#REF!+"Z?)!&amp;_"</f>
        <v>#REF!</v>
      </c>
      <c r="IM9" t="e">
        <f>#REF!+"Z?)!&amp;`"</f>
        <v>#REF!</v>
      </c>
      <c r="IN9" t="e">
        <f>#REF!+"Z?)!&amp;a"</f>
        <v>#REF!</v>
      </c>
      <c r="IO9" t="e">
        <f>#REF!+"Z?)!&amp;b"</f>
        <v>#REF!</v>
      </c>
      <c r="IP9" t="e">
        <f>#REF!+"Z?)!&amp;c"</f>
        <v>#REF!</v>
      </c>
      <c r="IQ9" t="e">
        <f>#REF!+"Z?)!&amp;d"</f>
        <v>#REF!</v>
      </c>
      <c r="IR9" t="e">
        <f>#REF!+"Z?)!&amp;e"</f>
        <v>#REF!</v>
      </c>
      <c r="IS9" t="e">
        <f>#REF!+"Z?)!&amp;f"</f>
        <v>#REF!</v>
      </c>
      <c r="IT9" t="e">
        <f>#REF!+"Z?)!&amp;g"</f>
        <v>#REF!</v>
      </c>
      <c r="IU9" t="e">
        <f>#REF!+"Z?)!&amp;h"</f>
        <v>#REF!</v>
      </c>
      <c r="IV9" t="e">
        <f>#REF!+"Z?)!&amp;i"</f>
        <v>#REF!</v>
      </c>
    </row>
    <row r="10" spans="1:256" x14ac:dyDescent="0.25">
      <c r="A10" t="s">
        <v>25</v>
      </c>
      <c r="F10" t="e">
        <f>#REF!+"Z?)!&amp;j"</f>
        <v>#REF!</v>
      </c>
      <c r="G10" t="e">
        <f>#REF!+"Z?)!&amp;k"</f>
        <v>#REF!</v>
      </c>
      <c r="H10" t="e">
        <f>#REF!+"Z?)!&amp;l"</f>
        <v>#REF!</v>
      </c>
      <c r="I10" t="e">
        <f>#REF!+"Z?)!&amp;m"</f>
        <v>#REF!</v>
      </c>
      <c r="J10" t="e">
        <f>#REF!+"Z?)!&amp;n"</f>
        <v>#REF!</v>
      </c>
      <c r="K10" t="e">
        <f>#REF!+"Z?)!&amp;o"</f>
        <v>#REF!</v>
      </c>
      <c r="L10" t="e">
        <f>#REF!+"Z?)!&amp;p"</f>
        <v>#REF!</v>
      </c>
      <c r="M10" t="e">
        <f>#REF!+"Z?)!&amp;q"</f>
        <v>#REF!</v>
      </c>
      <c r="N10" t="e">
        <f>#REF!+"Z?)!&amp;r"</f>
        <v>#REF!</v>
      </c>
      <c r="O10" t="e">
        <f>#REF!+"Z?)!&amp;s"</f>
        <v>#REF!</v>
      </c>
      <c r="P10" t="e">
        <f>#REF!+"Z?)!&amp;t"</f>
        <v>#REF!</v>
      </c>
      <c r="Q10" t="e">
        <f>#REF!+"Z?)!&amp;u"</f>
        <v>#REF!</v>
      </c>
      <c r="R10" t="e">
        <f>#REF!+"Z?)!&amp;v"</f>
        <v>#REF!</v>
      </c>
      <c r="S10" t="e">
        <f>#REF!+"Z?)!&amp;w"</f>
        <v>#REF!</v>
      </c>
      <c r="T10" t="e">
        <f>#REF!+"Z?)!&amp;x"</f>
        <v>#REF!</v>
      </c>
      <c r="U10" t="e">
        <f>#REF!+"Z?)!&amp;y"</f>
        <v>#REF!</v>
      </c>
      <c r="V10" t="e">
        <f>#REF!+"Z?)!&amp;z"</f>
        <v>#REF!</v>
      </c>
      <c r="W10" t="e">
        <f>#REF!+"Z?)!&amp;{"</f>
        <v>#REF!</v>
      </c>
      <c r="X10" t="e">
        <f>#REF!+"Z?)!&amp;|"</f>
        <v>#REF!</v>
      </c>
      <c r="Y10" t="e">
        <f>#REF!+"Z?)!&amp;}"</f>
        <v>#REF!</v>
      </c>
      <c r="Z10" t="e">
        <f>#REF!+"Z?)!&amp;~"</f>
        <v>#REF!</v>
      </c>
      <c r="AA10" t="e">
        <f>#REF!+"Z?)!'#"</f>
        <v>#REF!</v>
      </c>
      <c r="AB10" t="e">
        <f>#REF!+"Z?)!'$"</f>
        <v>#REF!</v>
      </c>
      <c r="AC10" t="e">
        <f>#REF!+"Z?)!'%"</f>
        <v>#REF!</v>
      </c>
      <c r="AD10" t="e">
        <f>#REF!+"Z?)!'&amp;"</f>
        <v>#REF!</v>
      </c>
      <c r="AE10" t="e">
        <f>#REF!+"Z?)!''"</f>
        <v>#REF!</v>
      </c>
      <c r="AF10" t="e">
        <f>#REF!+"Z?)!'("</f>
        <v>#REF!</v>
      </c>
      <c r="AG10" t="e">
        <f>#REF!+"Z?)!')"</f>
        <v>#REF!</v>
      </c>
      <c r="AH10" t="e">
        <f>#REF!+"Z?)!'."</f>
        <v>#REF!</v>
      </c>
      <c r="AI10" t="e">
        <f>#REF!+"Z?)!'/"</f>
        <v>#REF!</v>
      </c>
      <c r="AJ10" t="e">
        <f>#REF!+"Z?)!'0"</f>
        <v>#REF!</v>
      </c>
      <c r="AK10" t="e">
        <f>#REF!+"Z?)!'1"</f>
        <v>#REF!</v>
      </c>
      <c r="AL10" t="e">
        <f>#REF!+"Z?)!'2"</f>
        <v>#REF!</v>
      </c>
      <c r="AM10" t="e">
        <f>#REF!+"Z?)!'3"</f>
        <v>#REF!</v>
      </c>
      <c r="AN10" t="e">
        <f>#REF!+"Z?)!'4"</f>
        <v>#REF!</v>
      </c>
      <c r="AO10" t="e">
        <f>#REF!+"Z?)!'5"</f>
        <v>#REF!</v>
      </c>
      <c r="AP10" t="e">
        <f>#REF!+"Z?)!'6"</f>
        <v>#REF!</v>
      </c>
      <c r="AQ10" t="e">
        <f>#REF!+"Z?)!'7"</f>
        <v>#REF!</v>
      </c>
      <c r="AR10" t="e">
        <f>#REF!+"Z?)!'8"</f>
        <v>#REF!</v>
      </c>
      <c r="AS10" t="e">
        <f>#REF!+"Z?)!'9"</f>
        <v>#REF!</v>
      </c>
      <c r="AT10" t="e">
        <f>#REF!+"Z?)!':"</f>
        <v>#REF!</v>
      </c>
      <c r="AU10" t="e">
        <f>#REF!+"Z?)!';"</f>
        <v>#REF!</v>
      </c>
      <c r="AV10" t="e">
        <f>#REF!+"Z?)!'&lt;"</f>
        <v>#REF!</v>
      </c>
      <c r="AW10" t="e">
        <f>#REF!+"Z?)!'="</f>
        <v>#REF!</v>
      </c>
      <c r="AX10" t="e">
        <f>#REF!+"Z?)!'&gt;"</f>
        <v>#REF!</v>
      </c>
      <c r="AY10" t="e">
        <f>#REF!+"Z?)!'?"</f>
        <v>#REF!</v>
      </c>
      <c r="AZ10" t="e">
        <f>#REF!+"Z?)!'@"</f>
        <v>#REF!</v>
      </c>
      <c r="BA10" t="e">
        <f>#REF!+"Z?)!'A"</f>
        <v>#REF!</v>
      </c>
      <c r="BB10" t="e">
        <f>#REF!+"Z?)!'B"</f>
        <v>#REF!</v>
      </c>
      <c r="BC10" t="e">
        <f>#REF!+"Z?)!'C"</f>
        <v>#REF!</v>
      </c>
      <c r="BD10" t="e">
        <f>#REF!+"Z?)!'D"</f>
        <v>#REF!</v>
      </c>
      <c r="BE10" t="e">
        <f>#REF!+"Z?)!'E"</f>
        <v>#REF!</v>
      </c>
      <c r="BF10" t="e">
        <f>#REF!+"Z?)!'F"</f>
        <v>#REF!</v>
      </c>
      <c r="BG10" t="e">
        <f>#REF!+"Z?)!'G"</f>
        <v>#REF!</v>
      </c>
      <c r="BH10" t="e">
        <f>#REF!+"Z?)!'H"</f>
        <v>#REF!</v>
      </c>
      <c r="BI10" t="e">
        <f>#REF!+"Z?)!'I"</f>
        <v>#REF!</v>
      </c>
      <c r="BJ10" t="e">
        <f>#REF!+"Z?)!'J"</f>
        <v>#REF!</v>
      </c>
      <c r="BK10" t="e">
        <f>#REF!+"Z?)!'K"</f>
        <v>#REF!</v>
      </c>
      <c r="BL10" t="e">
        <f>#REF!+"Z?)!'L"</f>
        <v>#REF!</v>
      </c>
      <c r="BM10" t="e">
        <f>#REF!+"Z?)!'M"</f>
        <v>#REF!</v>
      </c>
      <c r="BN10" t="e">
        <f>#REF!+"Z?)!'N"</f>
        <v>#REF!</v>
      </c>
      <c r="BO10" t="e">
        <f>#REF!+"Z?)!'O"</f>
        <v>#REF!</v>
      </c>
      <c r="BP10" t="e">
        <f>#REF!+"Z?)!'P"</f>
        <v>#REF!</v>
      </c>
      <c r="BQ10" t="e">
        <f>#REF!+"Z?)!'Q"</f>
        <v>#REF!</v>
      </c>
      <c r="BR10" t="e">
        <f>#REF!+"Z?)!'R"</f>
        <v>#REF!</v>
      </c>
      <c r="BS10" t="e">
        <f>#REF!+"Z?)!'S"</f>
        <v>#REF!</v>
      </c>
      <c r="BT10" t="e">
        <f>#REF!+"Z?)!'T"</f>
        <v>#REF!</v>
      </c>
      <c r="BU10" t="e">
        <f>#REF!+"Z?)!'U"</f>
        <v>#REF!</v>
      </c>
      <c r="BV10" t="e">
        <f>#REF!+"Z?)!'V"</f>
        <v>#REF!</v>
      </c>
      <c r="BW10" t="e">
        <f>#REF!+"Z?)!'W"</f>
        <v>#REF!</v>
      </c>
      <c r="BX10" t="e">
        <f>#REF!+"Z?)!'X"</f>
        <v>#REF!</v>
      </c>
      <c r="BY10" t="e">
        <f>#REF!+"Z?)!'Y"</f>
        <v>#REF!</v>
      </c>
      <c r="BZ10" t="e">
        <f>#REF!+"Z?)!'Z"</f>
        <v>#REF!</v>
      </c>
      <c r="CA10" t="e">
        <f>#REF!+"Z?)!'["</f>
        <v>#REF!</v>
      </c>
      <c r="CB10" t="e">
        <f>#REF!+"Z?)!'\"</f>
        <v>#REF!</v>
      </c>
      <c r="CC10" t="e">
        <f>#REF!+"Z?)!']"</f>
        <v>#REF!</v>
      </c>
      <c r="CD10" t="e">
        <f>#REF!+"Z?)!'^"</f>
        <v>#REF!</v>
      </c>
      <c r="CE10" t="e">
        <f>#REF!+"Z?)!'_"</f>
        <v>#REF!</v>
      </c>
      <c r="CF10" t="e">
        <f>#REF!+"Z?)!'`"</f>
        <v>#REF!</v>
      </c>
      <c r="CG10" t="e">
        <f>#REF!+"Z?)!'a"</f>
        <v>#REF!</v>
      </c>
      <c r="CH10" t="e">
        <f>#REF!+"Z?)!'b"</f>
        <v>#REF!</v>
      </c>
      <c r="CI10" t="e">
        <f>#REF!+"Z?)!'c"</f>
        <v>#REF!</v>
      </c>
      <c r="CJ10" t="e">
        <f>#REF!+"Z?)!'d"</f>
        <v>#REF!</v>
      </c>
      <c r="CK10" t="e">
        <f>#REF!+"Z?)!'e"</f>
        <v>#REF!</v>
      </c>
      <c r="CL10" t="e">
        <f>#REF!+"Z?)!'f"</f>
        <v>#REF!</v>
      </c>
      <c r="CM10" t="e">
        <f>#REF!+"Z?)!'g"</f>
        <v>#REF!</v>
      </c>
      <c r="CN10" t="e">
        <f>#REF!+"Z?)!'h"</f>
        <v>#REF!</v>
      </c>
      <c r="CO10" t="e">
        <f>#REF!+"Z?)!'i"</f>
        <v>#REF!</v>
      </c>
      <c r="CP10" t="e">
        <f>#REF!+"Z?)!'j"</f>
        <v>#REF!</v>
      </c>
      <c r="CQ10" t="e">
        <f>#REF!+"Z?)!'k"</f>
        <v>#REF!</v>
      </c>
      <c r="CR10" t="e">
        <f>#REF!+"Z?)!'l"</f>
        <v>#REF!</v>
      </c>
      <c r="CS10" t="e">
        <f>#REF!+"Z?)!'m"</f>
        <v>#REF!</v>
      </c>
      <c r="CT10" t="e">
        <f>#REF!+"Z?)!'n"</f>
        <v>#REF!</v>
      </c>
      <c r="CU10" t="e">
        <f>#REF!+"Z?)!'o"</f>
        <v>#REF!</v>
      </c>
      <c r="CV10" t="e">
        <f>#REF!+"Z?)!'p"</f>
        <v>#REF!</v>
      </c>
      <c r="CW10" t="e">
        <f>#REF!+"Z?)!'q"</f>
        <v>#REF!</v>
      </c>
      <c r="CX10" t="e">
        <f>#REF!+"Z?)!'r"</f>
        <v>#REF!</v>
      </c>
      <c r="CY10" t="e">
        <f>#REF!+"Z?)!'s"</f>
        <v>#REF!</v>
      </c>
      <c r="CZ10" t="e">
        <f>#REF!+"Z?)!'t"</f>
        <v>#REF!</v>
      </c>
      <c r="DA10" t="e">
        <f>#REF!+"Z?)!'u"</f>
        <v>#REF!</v>
      </c>
      <c r="DB10" t="e">
        <f>#REF!+"Z?)!'v"</f>
        <v>#REF!</v>
      </c>
      <c r="DC10" t="e">
        <f>#REF!+"Z?)!'w"</f>
        <v>#REF!</v>
      </c>
      <c r="DD10" t="e">
        <f>#REF!+"Z?)!'x"</f>
        <v>#REF!</v>
      </c>
      <c r="DE10" t="e">
        <f>#REF!+"Z?)!'y"</f>
        <v>#REF!</v>
      </c>
      <c r="DF10" t="e">
        <f>#REF!+"Z?)!'z"</f>
        <v>#REF!</v>
      </c>
      <c r="DG10" t="e">
        <f>#REF!+"Z?)!'{"</f>
        <v>#REF!</v>
      </c>
      <c r="DH10" t="e">
        <f>#REF!+"Z?)!'|"</f>
        <v>#REF!</v>
      </c>
      <c r="DI10" t="e">
        <f>#REF!+"Z?)!'}"</f>
        <v>#REF!</v>
      </c>
      <c r="DJ10" t="e">
        <f>#REF!+"Z?)!'~"</f>
        <v>#REF!</v>
      </c>
      <c r="DK10" t="e">
        <f>#REF!+"Z?)!(#"</f>
        <v>#REF!</v>
      </c>
      <c r="DL10" t="e">
        <f>#REF!+"Z?)!($"</f>
        <v>#REF!</v>
      </c>
      <c r="DM10" t="e">
        <f>#REF!+"Z?)!(%"</f>
        <v>#REF!</v>
      </c>
      <c r="DN10" t="e">
        <f>#REF!+"Z?)!(&amp;"</f>
        <v>#REF!</v>
      </c>
      <c r="DO10" t="e">
        <f>#REF!+"Z?)!('"</f>
        <v>#REF!</v>
      </c>
      <c r="DP10" t="e">
        <f>#REF!+"Z?)!(("</f>
        <v>#REF!</v>
      </c>
      <c r="DQ10" t="e">
        <f>#REF!+"Z?)!()"</f>
        <v>#REF!</v>
      </c>
      <c r="DR10" t="e">
        <f>#REF!+"Z?)!(."</f>
        <v>#REF!</v>
      </c>
      <c r="DS10" t="e">
        <f>#REF!+"Z?)!(/"</f>
        <v>#REF!</v>
      </c>
      <c r="DT10" t="e">
        <f>#REF!+"Z?)!(0"</f>
        <v>#REF!</v>
      </c>
      <c r="DU10" t="e">
        <f>#REF!+"Z?)!(1"</f>
        <v>#REF!</v>
      </c>
      <c r="DV10" t="e">
        <f>#REF!+"Z?)!(2"</f>
        <v>#REF!</v>
      </c>
      <c r="DW10" t="e">
        <f>#REF!+"Z?)!(3"</f>
        <v>#REF!</v>
      </c>
      <c r="DX10" t="e">
        <f>#REF!+"Z?)!(4"</f>
        <v>#REF!</v>
      </c>
      <c r="DY10" t="e">
        <f>#REF!+"Z?)!(5"</f>
        <v>#REF!</v>
      </c>
      <c r="DZ10" t="e">
        <f>#REF!+"Z?)!(6"</f>
        <v>#REF!</v>
      </c>
      <c r="EA10" t="e">
        <f>#REF!+"Z?)!(7"</f>
        <v>#REF!</v>
      </c>
      <c r="EB10" t="e">
        <f>#REF!+"Z?)!(8"</f>
        <v>#REF!</v>
      </c>
      <c r="EC10" t="e">
        <f>#REF!+"Z?)!(9"</f>
        <v>#REF!</v>
      </c>
      <c r="ED10" t="e">
        <f>#REF!+"Z?)!(:"</f>
        <v>#REF!</v>
      </c>
      <c r="EE10" t="e">
        <f>#REF!+"Z?)!(;"</f>
        <v>#REF!</v>
      </c>
      <c r="EF10" t="e">
        <f>#REF!+"Z?)!(&lt;"</f>
        <v>#REF!</v>
      </c>
      <c r="EG10" t="e">
        <f>#REF!+"Z?)!(="</f>
        <v>#REF!</v>
      </c>
      <c r="EH10" t="e">
        <f>#REF!+"Z?)!(&gt;"</f>
        <v>#REF!</v>
      </c>
      <c r="EI10" t="e">
        <f>#REF!+"Z?)!(?"</f>
        <v>#REF!</v>
      </c>
      <c r="EJ10" t="e">
        <f>#REF!+"Z?)!(@"</f>
        <v>#REF!</v>
      </c>
      <c r="EK10" t="e">
        <f>#REF!+"Z?)!(A"</f>
        <v>#REF!</v>
      </c>
      <c r="EL10" t="e">
        <f>#REF!-"Z?)!(D"</f>
        <v>#REF!</v>
      </c>
      <c r="EM10" t="e">
        <f>#REF!+"Z?)!(E"</f>
        <v>#REF!</v>
      </c>
      <c r="EN10" t="e">
        <f>#REF!+"Z?)!(F"</f>
        <v>#REF!</v>
      </c>
      <c r="EO10" t="e">
        <f>#REF!+"Z?)!(G"</f>
        <v>#REF!</v>
      </c>
      <c r="EP10" t="e">
        <f>#REF!+"Z?)!(H"</f>
        <v>#REF!</v>
      </c>
      <c r="EQ10" t="e">
        <f>#REF!+"Z?)!(I"</f>
        <v>#REF!</v>
      </c>
      <c r="ER10" t="e">
        <f>#REF!+"Z?)!(J"</f>
        <v>#REF!</v>
      </c>
      <c r="ES10" t="e">
        <f>#REF!+"Z?)!(K"</f>
        <v>#REF!</v>
      </c>
      <c r="ET10" t="e">
        <f>#REF!+"Z?)!(L"</f>
        <v>#REF!</v>
      </c>
      <c r="EU10" t="e">
        <f>#REF!+"Z?)!(M"</f>
        <v>#REF!</v>
      </c>
      <c r="EV10" t="e">
        <f>#REF!+"Z?)!(N"</f>
        <v>#REF!</v>
      </c>
      <c r="EW10" t="e">
        <f>#REF!+"Z?)!(O"</f>
        <v>#REF!</v>
      </c>
      <c r="EX10" t="e">
        <f>#REF!+"Z?)!(P"</f>
        <v>#REF!</v>
      </c>
      <c r="EY10" t="e">
        <f>#REF!+"Z?)!(Q"</f>
        <v>#REF!</v>
      </c>
      <c r="EZ10" t="e">
        <f>#REF!+"Z?)!(R"</f>
        <v>#REF!</v>
      </c>
      <c r="FA10" t="e">
        <f>#REF!+"Z?)!(S"</f>
        <v>#REF!</v>
      </c>
      <c r="FB10" t="e">
        <f>#REF!+"Z?)!(T"</f>
        <v>#REF!</v>
      </c>
      <c r="FC10" t="e">
        <f>#REF!+"Z?)!(U"</f>
        <v>#REF!</v>
      </c>
      <c r="FD10" t="e">
        <f>#REF!+"Z?)!(V"</f>
        <v>#REF!</v>
      </c>
      <c r="FE10" t="e">
        <f>#REF!+"Z?)!(W"</f>
        <v>#REF!</v>
      </c>
      <c r="FF10" t="e">
        <f>#REF!+"Z?)!(X"</f>
        <v>#REF!</v>
      </c>
      <c r="FG10" t="e">
        <f>#REF!+"Z?)!(Y"</f>
        <v>#REF!</v>
      </c>
      <c r="FH10" t="e">
        <f>#REF!+"Z?)!(Z"</f>
        <v>#REF!</v>
      </c>
      <c r="FI10" t="e">
        <f>#REF!+"Z?)!(["</f>
        <v>#REF!</v>
      </c>
      <c r="FJ10" t="e">
        <f>#REF!+"Z?)!(\"</f>
        <v>#REF!</v>
      </c>
      <c r="FK10" t="e">
        <f>#REF!+"Z?)!(]"</f>
        <v>#REF!</v>
      </c>
      <c r="FL10" t="e">
        <f>#REF!+"Z?)!(^"</f>
        <v>#REF!</v>
      </c>
      <c r="FM10" t="e">
        <f>#REF!+"Z?)!(_"</f>
        <v>#REF!</v>
      </c>
      <c r="FN10" t="e">
        <f>#REF!+"Z?)!(`"</f>
        <v>#REF!</v>
      </c>
      <c r="FO10" t="e">
        <f>#REF!+"Z?)!(a"</f>
        <v>#REF!</v>
      </c>
      <c r="FP10" t="e">
        <f>#REF!+"Z?)!(b"</f>
        <v>#REF!</v>
      </c>
      <c r="FQ10" t="e">
        <f>#REF!+"Z?)!(c"</f>
        <v>#REF!</v>
      </c>
      <c r="FR10" t="e">
        <f>#REF!+"Z?)!(d"</f>
        <v>#REF!</v>
      </c>
      <c r="FS10" t="e">
        <f>#REF!+"Z?)!(e"</f>
        <v>#REF!</v>
      </c>
      <c r="FT10" t="e">
        <f>#REF!+"Z?)!(f"</f>
        <v>#REF!</v>
      </c>
      <c r="FU10" t="e">
        <f>#REF!+"Z?)!(g"</f>
        <v>#REF!</v>
      </c>
      <c r="FV10" t="e">
        <f>#REF!+"Z?)!(h"</f>
        <v>#REF!</v>
      </c>
      <c r="FW10" t="e">
        <f>#REF!+"Z?)!(i"</f>
        <v>#REF!</v>
      </c>
      <c r="FX10" t="e">
        <f>#REF!+"Z?)!(j"</f>
        <v>#REF!</v>
      </c>
      <c r="FY10" t="e">
        <f>#REF!+"Z?)!(k"</f>
        <v>#REF!</v>
      </c>
      <c r="FZ10" t="e">
        <f>#REF!+"Z?)!(l"</f>
        <v>#REF!</v>
      </c>
      <c r="GA10" t="e">
        <f>#REF!+"Z?)!(m"</f>
        <v>#REF!</v>
      </c>
      <c r="GB10" t="e">
        <f>#REF!+"Z?)!(n"</f>
        <v>#REF!</v>
      </c>
      <c r="GC10" t="e">
        <f>#REF!+"Z?)!(o"</f>
        <v>#REF!</v>
      </c>
      <c r="GD10" t="e">
        <f>#REF!+"Z?)!(p"</f>
        <v>#REF!</v>
      </c>
      <c r="GE10" t="e">
        <f>#REF!+"Z?)!(q"</f>
        <v>#REF!</v>
      </c>
      <c r="GF10" t="e">
        <f>#REF!+"Z?)!(r"</f>
        <v>#REF!</v>
      </c>
      <c r="GG10" t="e">
        <f>#REF!+"Z?)!(s"</f>
        <v>#REF!</v>
      </c>
      <c r="GH10" t="e">
        <f>#REF!+"Z?)!(t"</f>
        <v>#REF!</v>
      </c>
      <c r="GI10" t="e">
        <f>#REF!+"Z?)!(u"</f>
        <v>#REF!</v>
      </c>
      <c r="GJ10" t="e">
        <f>#REF!+"Z?)!(v"</f>
        <v>#REF!</v>
      </c>
      <c r="GK10" t="e">
        <f>#REF!+"Z?)!(w"</f>
        <v>#REF!</v>
      </c>
      <c r="GL10" t="e">
        <f>#REF!+"Z?)!(x"</f>
        <v>#REF!</v>
      </c>
      <c r="GM10" t="e">
        <f>#REF!+"Z?)!(y"</f>
        <v>#REF!</v>
      </c>
      <c r="GN10" t="e">
        <f>#REF!+"Z?)!(z"</f>
        <v>#REF!</v>
      </c>
      <c r="GO10" t="e">
        <f>#REF!+"Z?)!({"</f>
        <v>#REF!</v>
      </c>
      <c r="GP10" t="e">
        <f>#REF!+"Z?)!(|"</f>
        <v>#REF!</v>
      </c>
      <c r="GQ10" t="e">
        <f>#REF!+"Z?)!(}"</f>
        <v>#REF!</v>
      </c>
      <c r="GR10" t="e">
        <f>#REF!+"Z?)!(~"</f>
        <v>#REF!</v>
      </c>
      <c r="GS10" t="e">
        <f>#REF!+"Z?)!)#"</f>
        <v>#REF!</v>
      </c>
      <c r="GT10" t="e">
        <f>#REF!+"Z?)!)$"</f>
        <v>#REF!</v>
      </c>
      <c r="GU10" t="e">
        <f>#REF!+"Z?)!)%"</f>
        <v>#REF!</v>
      </c>
      <c r="GV10" t="e">
        <f>#REF!+"Z?)!)&amp;"</f>
        <v>#REF!</v>
      </c>
      <c r="GW10" t="e">
        <f>#REF!+"Z?)!)'"</f>
        <v>#REF!</v>
      </c>
      <c r="GX10" t="e">
        <f>#REF!+"Z?)!)("</f>
        <v>#REF!</v>
      </c>
      <c r="GY10" t="e">
        <f>#REF!+"Z?)!))"</f>
        <v>#REF!</v>
      </c>
      <c r="GZ10" t="e">
        <f>#REF!+"Z?)!)."</f>
        <v>#REF!</v>
      </c>
      <c r="HA10" t="e">
        <f>#REF!+"Z?)!)/"</f>
        <v>#REF!</v>
      </c>
      <c r="HB10" t="e">
        <f>#REF!+"Z?)!)0"</f>
        <v>#REF!</v>
      </c>
      <c r="HC10" t="e">
        <f>#REF!+"Z?)!)1"</f>
        <v>#REF!</v>
      </c>
      <c r="HD10" t="e">
        <f>#REF!+"Z?)!)2"</f>
        <v>#REF!</v>
      </c>
      <c r="HE10" t="e">
        <f>#REF!+"Z?)!)3"</f>
        <v>#REF!</v>
      </c>
      <c r="HF10" t="e">
        <f>#REF!+"Z?)!)4"</f>
        <v>#REF!</v>
      </c>
      <c r="HG10" t="e">
        <f>#REF!+"Z?)!)5"</f>
        <v>#REF!</v>
      </c>
      <c r="HH10" t="e">
        <f>#REF!+"Z?)!)6"</f>
        <v>#REF!</v>
      </c>
      <c r="HI10" t="e">
        <f>#REF!+"Z?)!)7"</f>
        <v>#REF!</v>
      </c>
      <c r="HJ10" t="e">
        <f>#REF!+"Z?)!)8"</f>
        <v>#REF!</v>
      </c>
      <c r="HK10" t="e">
        <f>#REF!+"Z?)!)9"</f>
        <v>#REF!</v>
      </c>
      <c r="HL10" t="e">
        <f>#REF!+"Z?)!):"</f>
        <v>#REF!</v>
      </c>
      <c r="HM10" t="e">
        <f>#REF!+"Z?)!);"</f>
        <v>#REF!</v>
      </c>
      <c r="HN10" t="e">
        <f>#REF!+"Z?)!)&lt;"</f>
        <v>#REF!</v>
      </c>
      <c r="HO10" t="e">
        <f>#REF!+"Z?)!)="</f>
        <v>#REF!</v>
      </c>
      <c r="HP10" t="e">
        <f>#REF!+"Z?)!)&gt;"</f>
        <v>#REF!</v>
      </c>
      <c r="HQ10" t="e">
        <f>#REF!+"Z?)!)?"</f>
        <v>#REF!</v>
      </c>
      <c r="HR10" t="e">
        <f>#REF!+"Z?)!)@"</f>
        <v>#REF!</v>
      </c>
      <c r="HS10" t="e">
        <f>#REF!+"Z?)!)A"</f>
        <v>#REF!</v>
      </c>
      <c r="HT10" t="e">
        <f>#REF!+"Z?)!)B"</f>
        <v>#REF!</v>
      </c>
      <c r="HU10" t="e">
        <f>#REF!+"Z?)!)C"</f>
        <v>#REF!</v>
      </c>
      <c r="HV10" t="e">
        <f>#REF!+"Z?)!)D"</f>
        <v>#REF!</v>
      </c>
      <c r="HW10" t="e">
        <f>#REF!+"Z?)!)E"</f>
        <v>#REF!</v>
      </c>
      <c r="HX10" t="e">
        <f>#REF!+"Z?)!)F"</f>
        <v>#REF!</v>
      </c>
      <c r="HY10" t="e">
        <f>#REF!+"Z?)!)G"</f>
        <v>#REF!</v>
      </c>
      <c r="HZ10" t="e">
        <f>#REF!+"Z?)!)H"</f>
        <v>#REF!</v>
      </c>
      <c r="IA10" t="e">
        <f>#REF!+"Z?)!)I"</f>
        <v>#REF!</v>
      </c>
      <c r="IB10" t="e">
        <f>#REF!+"Z?)!)J"</f>
        <v>#REF!</v>
      </c>
      <c r="IC10" t="e">
        <f>#REF!+"Z?)!)K"</f>
        <v>#REF!</v>
      </c>
      <c r="ID10" t="e">
        <f>#REF!+"Z?)!)L"</f>
        <v>#REF!</v>
      </c>
      <c r="IE10" t="e">
        <f>#REF!+"Z?)!)M"</f>
        <v>#REF!</v>
      </c>
      <c r="IF10" t="e">
        <f>#REF!+"Z?)!)N"</f>
        <v>#REF!</v>
      </c>
      <c r="IG10" t="e">
        <f>#REF!+"Z?)!)O"</f>
        <v>#REF!</v>
      </c>
      <c r="IH10" t="e">
        <f>#REF!+"Z?)!)P"</f>
        <v>#REF!</v>
      </c>
      <c r="II10" t="e">
        <f>#REF!+"Z?)!)Q"</f>
        <v>#REF!</v>
      </c>
      <c r="IJ10" t="e">
        <f>#REF!+"Z?)!)R"</f>
        <v>#REF!</v>
      </c>
      <c r="IK10" t="e">
        <f>#REF!+"Z?)!)S"</f>
        <v>#REF!</v>
      </c>
      <c r="IL10" t="e">
        <f>#REF!+"Z?)!)T"</f>
        <v>#REF!</v>
      </c>
      <c r="IM10" t="e">
        <f>#REF!+"Z?)!)U"</f>
        <v>#REF!</v>
      </c>
      <c r="IN10" t="e">
        <f>#REF!+"Z?)!)V"</f>
        <v>#REF!</v>
      </c>
      <c r="IO10" t="e">
        <f>#REF!+"Z?)!)W"</f>
        <v>#REF!</v>
      </c>
      <c r="IP10" t="e">
        <f>#REF!+"Z?)!)X"</f>
        <v>#REF!</v>
      </c>
      <c r="IQ10" t="e">
        <f>#REF!+"Z?)!)Y"</f>
        <v>#REF!</v>
      </c>
      <c r="IR10" t="e">
        <f>#REF!+"Z?)!)Z"</f>
        <v>#REF!</v>
      </c>
      <c r="IS10" t="e">
        <f>#REF!+"Z?)!)["</f>
        <v>#REF!</v>
      </c>
      <c r="IT10" t="e">
        <f>#REF!+"Z?)!)\"</f>
        <v>#REF!</v>
      </c>
      <c r="IU10" t="e">
        <f>#REF!+"Z?)!)]"</f>
        <v>#REF!</v>
      </c>
      <c r="IV10" t="e">
        <f>#REF!+"Z?)!)^"</f>
        <v>#REF!</v>
      </c>
    </row>
    <row r="11" spans="1:256" x14ac:dyDescent="0.25">
      <c r="A11" t="s">
        <v>26</v>
      </c>
      <c r="F11" t="e">
        <f>#REF!+"Z?)!)_"</f>
        <v>#REF!</v>
      </c>
      <c r="G11" t="e">
        <f>#REF!+"Z?)!)`"</f>
        <v>#REF!</v>
      </c>
      <c r="H11" t="e">
        <f>#REF!+"Z?)!)a"</f>
        <v>#REF!</v>
      </c>
      <c r="I11" t="e">
        <f>#REF!+"Z?)!)b"</f>
        <v>#REF!</v>
      </c>
      <c r="J11" t="e">
        <f>#REF!+"Z?)!)c"</f>
        <v>#REF!</v>
      </c>
      <c r="K11" t="e">
        <f>#REF!+"Z?)!)d"</f>
        <v>#REF!</v>
      </c>
      <c r="L11" t="e">
        <f>#REF!+"Z?)!)e"</f>
        <v>#REF!</v>
      </c>
      <c r="M11" t="e">
        <f>#REF!+"Z?)!)f"</f>
        <v>#REF!</v>
      </c>
      <c r="N11" t="e">
        <f>#REF!+"Z?)!)g"</f>
        <v>#REF!</v>
      </c>
      <c r="O11" t="e">
        <f>#REF!+"Z?)!)h"</f>
        <v>#REF!</v>
      </c>
      <c r="P11" t="e">
        <f>#REF!+"Z?)!)i"</f>
        <v>#REF!</v>
      </c>
      <c r="Q11" t="e">
        <f>#REF!+"Z?)!)j"</f>
        <v>#REF!</v>
      </c>
      <c r="R11" t="e">
        <f>#REF!+"Z?)!)k"</f>
        <v>#REF!</v>
      </c>
      <c r="S11" t="e">
        <f>#REF!+"Z?)!)l"</f>
        <v>#REF!</v>
      </c>
      <c r="T11" t="e">
        <f>#REF!+"Z?)!)m"</f>
        <v>#REF!</v>
      </c>
      <c r="U11" t="e">
        <f>#REF!+"Z?)!)n"</f>
        <v>#REF!</v>
      </c>
      <c r="V11" t="e">
        <f>#REF!+"Z?)!)o"</f>
        <v>#REF!</v>
      </c>
      <c r="W11" t="e">
        <f>#REF!+"Z?)!)p"</f>
        <v>#REF!</v>
      </c>
      <c r="X11" t="e">
        <f>#REF!+"Z?)!)q"</f>
        <v>#REF!</v>
      </c>
      <c r="Y11" t="e">
        <f>#REF!+"Z?)!)r"</f>
        <v>#REF!</v>
      </c>
      <c r="Z11" t="e">
        <f>#REF!+"Z?)!)s"</f>
        <v>#REF!</v>
      </c>
      <c r="AA11" t="e">
        <f>#REF!+"Z?)!)t"</f>
        <v>#REF!</v>
      </c>
      <c r="AB11" t="e">
        <f>#REF!+"Z?)!)u"</f>
        <v>#REF!</v>
      </c>
      <c r="AC11" t="e">
        <f>#REF!+"Z?)!)v"</f>
        <v>#REF!</v>
      </c>
      <c r="AD11" t="e">
        <f>#REF!+"Z?)!)w"</f>
        <v>#REF!</v>
      </c>
      <c r="AE11" t="e">
        <f>#REF!+"Z?)!)x"</f>
        <v>#REF!</v>
      </c>
      <c r="AF11" t="e">
        <f>#REF!+"Z?)!)y"</f>
        <v>#REF!</v>
      </c>
      <c r="AG11" t="e">
        <f>#REF!+"Z?)!)z"</f>
        <v>#REF!</v>
      </c>
      <c r="AH11" t="e">
        <f>#REF!+"Z?)!){"</f>
        <v>#REF!</v>
      </c>
      <c r="AI11" t="e">
        <f>#REF!+"Z?)!)|"</f>
        <v>#REF!</v>
      </c>
      <c r="AJ11" t="e">
        <f>#REF!+"Z?)!)}"</f>
        <v>#REF!</v>
      </c>
      <c r="AK11" t="e">
        <f>#REF!+"Z?)!)~"</f>
        <v>#REF!</v>
      </c>
      <c r="AL11" t="e">
        <f>#REF!+"Z?)!.#"</f>
        <v>#REF!</v>
      </c>
      <c r="AM11" t="e">
        <f>#REF!+"Z?)!.$"</f>
        <v>#REF!</v>
      </c>
      <c r="AN11" t="e">
        <f>#REF!+"Z?)!.%"</f>
        <v>#REF!</v>
      </c>
      <c r="AO11" t="e">
        <f>#REF!+"Z?)!.&amp;"</f>
        <v>#REF!</v>
      </c>
      <c r="AP11" t="e">
        <f>#REF!+"Z?)!.'"</f>
        <v>#REF!</v>
      </c>
      <c r="AQ11" t="e">
        <f>#REF!+"Z?)!.("</f>
        <v>#REF!</v>
      </c>
      <c r="AR11" t="e">
        <f>#REF!+"Z?)!.)"</f>
        <v>#REF!</v>
      </c>
      <c r="AS11" t="e">
        <f>#REF!+"Z?)!.."</f>
        <v>#REF!</v>
      </c>
      <c r="AT11" t="e">
        <f>#REF!+"Z?)!./"</f>
        <v>#REF!</v>
      </c>
      <c r="AU11" t="e">
        <f>#REF!+"Z?)!.0"</f>
        <v>#REF!</v>
      </c>
      <c r="AV11" t="e">
        <f>#REF!+"Z?)!.1"</f>
        <v>#REF!</v>
      </c>
      <c r="AW11" t="e">
        <f>#REF!+"Z?)!.2"</f>
        <v>#REF!</v>
      </c>
      <c r="AX11" t="e">
        <f>#REF!+"Z?)!.3"</f>
        <v>#REF!</v>
      </c>
      <c r="AY11" t="e">
        <f>#REF!+"Z?)!.4"</f>
        <v>#REF!</v>
      </c>
      <c r="AZ11" t="e">
        <f>#REF!+"Z?)!.5"</f>
        <v>#REF!</v>
      </c>
      <c r="BA11" t="e">
        <f>#REF!+"Z?)!.6"</f>
        <v>#REF!</v>
      </c>
      <c r="BB11" t="e">
        <f>#REF!+"Z?)!.7"</f>
        <v>#REF!</v>
      </c>
      <c r="BC11" t="e">
        <f>#REF!+"Z?)!.8"</f>
        <v>#REF!</v>
      </c>
      <c r="BD11" t="e">
        <f>#REF!+"Z?)!.9"</f>
        <v>#REF!</v>
      </c>
      <c r="BE11" t="e">
        <f>#REF!+"Z?)!.:"</f>
        <v>#REF!</v>
      </c>
      <c r="BF11" t="e">
        <f>#REF!+"Z?)!.;"</f>
        <v>#REF!</v>
      </c>
      <c r="BG11" t="e">
        <f>#REF!+"Z?)!.&lt;"</f>
        <v>#REF!</v>
      </c>
      <c r="BH11" t="e">
        <f>#REF!+"Z?)!.="</f>
        <v>#REF!</v>
      </c>
      <c r="BI11" t="e">
        <f>#REF!+"Z?)!.&gt;"</f>
        <v>#REF!</v>
      </c>
      <c r="BJ11" t="e">
        <f>#REF!+"Z?)!.?"</f>
        <v>#REF!</v>
      </c>
      <c r="BK11" t="e">
        <f>#REF!+"Z?)!.@"</f>
        <v>#REF!</v>
      </c>
      <c r="BL11" t="e">
        <f>#REF!+"Z?)!.A"</f>
        <v>#REF!</v>
      </c>
      <c r="BM11" t="e">
        <f>#REF!+"Z?)!.B"</f>
        <v>#REF!</v>
      </c>
      <c r="BN11" t="e">
        <f>#REF!+"Z?)!.C"</f>
        <v>#REF!</v>
      </c>
      <c r="BO11" t="e">
        <f>#REF!+"Z?)!.D"</f>
        <v>#REF!</v>
      </c>
      <c r="BP11" t="e">
        <f>#REF!+"Z?)!.E"</f>
        <v>#REF!</v>
      </c>
      <c r="BQ11" t="e">
        <f>#REF!+"Z?)!.F"</f>
        <v>#REF!</v>
      </c>
      <c r="BR11" t="e">
        <f>#REF!+"Z?)!.G"</f>
        <v>#REF!</v>
      </c>
      <c r="BS11" t="e">
        <f>#REF!+"Z?)!.H"</f>
        <v>#REF!</v>
      </c>
      <c r="BT11" t="e">
        <f>#REF!+"Z?)!.I"</f>
        <v>#REF!</v>
      </c>
      <c r="BU11" t="e">
        <f>#REF!+"Z?)!.J"</f>
        <v>#REF!</v>
      </c>
      <c r="BV11" t="e">
        <f>#REF!+"Z?)!.K"</f>
        <v>#REF!</v>
      </c>
      <c r="BW11" t="e">
        <f>#REF!+"Z?)!.L"</f>
        <v>#REF!</v>
      </c>
      <c r="BX11" t="e">
        <f>#REF!+"Z?)!.M"</f>
        <v>#REF!</v>
      </c>
      <c r="BY11" t="e">
        <f>#REF!+"Z?)!.N"</f>
        <v>#REF!</v>
      </c>
      <c r="BZ11" t="e">
        <f>#REF!+"Z?)!.O"</f>
        <v>#REF!</v>
      </c>
      <c r="CA11" t="e">
        <f>#REF!+"Z?)!.P"</f>
        <v>#REF!</v>
      </c>
      <c r="CB11" t="e">
        <f>#REF!+"Z?)!.Q"</f>
        <v>#REF!</v>
      </c>
      <c r="CC11" t="e">
        <f>#REF!+"Z?)!.R"</f>
        <v>#REF!</v>
      </c>
      <c r="CD11" t="e">
        <f>#REF!+"Z?)!.S"</f>
        <v>#REF!</v>
      </c>
      <c r="CE11" t="e">
        <f>#REF!+"Z?)!.T"</f>
        <v>#REF!</v>
      </c>
      <c r="CF11" t="e">
        <f>#REF!+"Z?)!.U"</f>
        <v>#REF!</v>
      </c>
      <c r="CG11" t="e">
        <f>#REF!+"Z?)!.V"</f>
        <v>#REF!</v>
      </c>
      <c r="CH11" t="e">
        <f>#REF!+"Z?)!.W"</f>
        <v>#REF!</v>
      </c>
      <c r="CI11" t="e">
        <f>#REF!+"Z?)!.X"</f>
        <v>#REF!</v>
      </c>
      <c r="CJ11" t="e">
        <f>#REF!+"Z?)!.Y"</f>
        <v>#REF!</v>
      </c>
      <c r="CK11" t="e">
        <f>#REF!+"Z?)!.Z"</f>
        <v>#REF!</v>
      </c>
      <c r="CL11" t="e">
        <f>#REF!+"Z?)!.["</f>
        <v>#REF!</v>
      </c>
      <c r="CM11" t="e">
        <f>#REF!+"Z?)!.\"</f>
        <v>#REF!</v>
      </c>
      <c r="CN11" t="e">
        <f>#REF!+"Z?)!.]"</f>
        <v>#REF!</v>
      </c>
      <c r="CO11" t="e">
        <f>#REF!+"Z?)!.^"</f>
        <v>#REF!</v>
      </c>
      <c r="CP11" t="e">
        <f>#REF!+"Z?)!._"</f>
        <v>#REF!</v>
      </c>
      <c r="CQ11" t="e">
        <f>#REF!+"Z?)!.`"</f>
        <v>#REF!</v>
      </c>
      <c r="CR11" t="e">
        <f>#REF!+"Z?)!.a"</f>
        <v>#REF!</v>
      </c>
      <c r="CS11" t="e">
        <f>#REF!+"Z?)!.b"</f>
        <v>#REF!</v>
      </c>
      <c r="CT11" t="e">
        <f>#REF!+"Z?)!.c"</f>
        <v>#REF!</v>
      </c>
      <c r="CU11" t="e">
        <f>#REF!+"Z?)!.d"</f>
        <v>#REF!</v>
      </c>
      <c r="CV11" t="e">
        <f>#REF!+"Z?)!.e"</f>
        <v>#REF!</v>
      </c>
      <c r="CW11" t="e">
        <f>#REF!+"Z?)!.f"</f>
        <v>#REF!</v>
      </c>
      <c r="CX11" t="e">
        <f>#REF!+"Z?)!.g"</f>
        <v>#REF!</v>
      </c>
      <c r="CY11" t="e">
        <f>#REF!+"Z?)!.h"</f>
        <v>#REF!</v>
      </c>
      <c r="CZ11" t="e">
        <f>#REF!+"Z?)!.i"</f>
        <v>#REF!</v>
      </c>
      <c r="DA11" t="e">
        <f>#REF!+"Z?)!.j"</f>
        <v>#REF!</v>
      </c>
      <c r="DB11" t="e">
        <f>#REF!+"Z?)!.k"</f>
        <v>#REF!</v>
      </c>
      <c r="DC11" t="e">
        <f>#REF!+"Z?)!.l"</f>
        <v>#REF!</v>
      </c>
      <c r="DD11" t="e">
        <f>#REF!+"Z?)!.m"</f>
        <v>#REF!</v>
      </c>
      <c r="DE11" t="e">
        <f>#REF!+"Z?)!.n"</f>
        <v>#REF!</v>
      </c>
      <c r="DF11" t="e">
        <f>#REF!+"Z?)!.o"</f>
        <v>#REF!</v>
      </c>
      <c r="DG11" t="e">
        <f>#REF!+"Z?)!.p"</f>
        <v>#REF!</v>
      </c>
      <c r="DH11" t="e">
        <f>#REF!+"Z?)!.q"</f>
        <v>#REF!</v>
      </c>
      <c r="DI11" t="e">
        <f>#REF!+"Z?)!.r"</f>
        <v>#REF!</v>
      </c>
      <c r="DJ11" t="e">
        <f>#REF!+"Z?)!.s"</f>
        <v>#REF!</v>
      </c>
      <c r="DK11" t="e">
        <f>#REF!+"Z?)!.t"</f>
        <v>#REF!</v>
      </c>
      <c r="DL11" t="e">
        <f>#REF!+"Z?)!.u"</f>
        <v>#REF!</v>
      </c>
      <c r="DM11" t="e">
        <f>#REF!+"Z?)!.v"</f>
        <v>#REF!</v>
      </c>
      <c r="DN11" t="e">
        <f>#REF!+"Z?)!.w"</f>
        <v>#REF!</v>
      </c>
      <c r="DO11" t="e">
        <f>#REF!+"Z?)!.x"</f>
        <v>#REF!</v>
      </c>
      <c r="DP11" t="e">
        <f>#REF!+"Z?)!.y"</f>
        <v>#REF!</v>
      </c>
      <c r="DQ11" t="e">
        <f>#REF!+"Z?)!.z"</f>
        <v>#REF!</v>
      </c>
      <c r="DR11" t="e">
        <f>#REF!+"Z?)!.{"</f>
        <v>#REF!</v>
      </c>
      <c r="DS11" t="e">
        <f>#REF!+"Z?)!.|"</f>
        <v>#REF!</v>
      </c>
      <c r="DT11" t="e">
        <f>#REF!+"Z?)!.}"</f>
        <v>#REF!</v>
      </c>
      <c r="DU11" t="e">
        <f>#REF!+"Z?)!.~"</f>
        <v>#REF!</v>
      </c>
      <c r="DV11" t="e">
        <f>#REF!+"Z?)!/#"</f>
        <v>#REF!</v>
      </c>
      <c r="DW11" t="e">
        <f>#REF!+"Z?)!/$"</f>
        <v>#REF!</v>
      </c>
      <c r="DX11" t="e">
        <f>#REF!+"Z?)!/%"</f>
        <v>#REF!</v>
      </c>
      <c r="DY11" t="e">
        <f>#REF!+"Z?)!/&amp;"</f>
        <v>#REF!</v>
      </c>
      <c r="DZ11" t="e">
        <f>#REF!+"Z?)!/'"</f>
        <v>#REF!</v>
      </c>
      <c r="EA11" t="e">
        <f>#REF!+"Z?)!/("</f>
        <v>#REF!</v>
      </c>
      <c r="EB11" t="e">
        <f>#REF!+"Z?)!/)"</f>
        <v>#REF!</v>
      </c>
      <c r="EC11" t="e">
        <f>#REF!+"Z?)!/."</f>
        <v>#REF!</v>
      </c>
      <c r="ED11" t="e">
        <f>#REF!+"Z?)!//"</f>
        <v>#REF!</v>
      </c>
      <c r="EE11" t="e">
        <f>#REF!+"Z?)!/0"</f>
        <v>#REF!</v>
      </c>
      <c r="EF11" t="e">
        <f>#REF!+"Z?)!/1"</f>
        <v>#REF!</v>
      </c>
      <c r="EG11" t="e">
        <f>#REF!+"Z?)!/2"</f>
        <v>#REF!</v>
      </c>
      <c r="EH11" t="e">
        <f>#REF!+"Z?)!/3"</f>
        <v>#REF!</v>
      </c>
      <c r="EI11" t="e">
        <f>#REF!+"Z?)!/4"</f>
        <v>#REF!</v>
      </c>
      <c r="EJ11" t="e">
        <f>#REF!+"Z?)!/5"</f>
        <v>#REF!</v>
      </c>
      <c r="EK11" t="e">
        <f>#REF!+"Z?)!/6"</f>
        <v>#REF!</v>
      </c>
      <c r="EL11" t="e">
        <f>#REF!+"Z?)!/7"</f>
        <v>#REF!</v>
      </c>
      <c r="EM11" t="e">
        <f>#REF!+"Z?)!/8"</f>
        <v>#REF!</v>
      </c>
      <c r="EN11" t="e">
        <f>#REF!+"Z?)!/9"</f>
        <v>#REF!</v>
      </c>
      <c r="EO11" t="e">
        <f>#REF!+"Z?)!/:"</f>
        <v>#REF!</v>
      </c>
      <c r="EP11" t="e">
        <f>#REF!+"Z?)!/;"</f>
        <v>#REF!</v>
      </c>
      <c r="EQ11" t="e">
        <f>#REF!+"Z?)!/&lt;"</f>
        <v>#REF!</v>
      </c>
      <c r="ER11" t="e">
        <f>#REF!+"Z?)!/="</f>
        <v>#REF!</v>
      </c>
      <c r="ES11" t="e">
        <f>#REF!+"Z?)!/&gt;"</f>
        <v>#REF!</v>
      </c>
      <c r="ET11" t="e">
        <f>#REF!+"Z?)!/?"</f>
        <v>#REF!</v>
      </c>
      <c r="EU11" t="e">
        <f>#REF!+"Z?)!/@"</f>
        <v>#REF!</v>
      </c>
      <c r="EV11" t="e">
        <f>#REF!+"Z?)!/A"</f>
        <v>#REF!</v>
      </c>
      <c r="EW11" t="e">
        <f>#REF!+"Z?)!/B"</f>
        <v>#REF!</v>
      </c>
      <c r="EX11" t="e">
        <f>#REF!+"Z?)!/C"</f>
        <v>#REF!</v>
      </c>
      <c r="EY11" t="e">
        <f>#REF!+"Z?)!/D"</f>
        <v>#REF!</v>
      </c>
      <c r="EZ11" t="e">
        <f>#REF!+"Z?)!/E"</f>
        <v>#REF!</v>
      </c>
      <c r="FA11" t="e">
        <f>#REF!+"Z?)!/F"</f>
        <v>#REF!</v>
      </c>
      <c r="FB11" t="e">
        <f>#REF!+"Z?)!/G"</f>
        <v>#REF!</v>
      </c>
      <c r="FC11" t="e">
        <f>#REF!+"Z?)!/H"</f>
        <v>#REF!</v>
      </c>
      <c r="FD11" t="e">
        <f>#REF!+"Z?)!/I"</f>
        <v>#REF!</v>
      </c>
      <c r="FE11" t="e">
        <f>#REF!+"Z?)!/J"</f>
        <v>#REF!</v>
      </c>
      <c r="FF11" t="e">
        <f>#REF!+"Z?)!/K"</f>
        <v>#REF!</v>
      </c>
      <c r="FG11" t="e">
        <f>#REF!+"Z?)!/L"</f>
        <v>#REF!</v>
      </c>
      <c r="FH11" t="e">
        <f>#REF!+"Z?)!/M"</f>
        <v>#REF!</v>
      </c>
      <c r="FI11" t="e">
        <f>#REF!+"Z?)!/N"</f>
        <v>#REF!</v>
      </c>
      <c r="FJ11" t="e">
        <f>#REF!+"Z?)!/O"</f>
        <v>#REF!</v>
      </c>
      <c r="FK11" t="e">
        <f>#REF!+"Z?)!/P"</f>
        <v>#REF!</v>
      </c>
      <c r="FL11" t="e">
        <f>#REF!+"Z?)!/Q"</f>
        <v>#REF!</v>
      </c>
      <c r="FM11" t="e">
        <f>#REF!+"Z?)!/R"</f>
        <v>#REF!</v>
      </c>
      <c r="FN11" t="e">
        <f>#REF!+"Z?)!/S"</f>
        <v>#REF!</v>
      </c>
      <c r="FO11" t="e">
        <f>#REF!+"Z?)!/T"</f>
        <v>#REF!</v>
      </c>
      <c r="FP11" t="e">
        <f>#REF!+"Z?)!/U"</f>
        <v>#REF!</v>
      </c>
      <c r="FQ11" t="e">
        <f>#REF!+"Z?)!/V"</f>
        <v>#REF!</v>
      </c>
      <c r="FR11" t="e">
        <f>#REF!+"Z?)!/W"</f>
        <v>#REF!</v>
      </c>
      <c r="FS11" t="e">
        <f>#REF!+"Z?)!/X"</f>
        <v>#REF!</v>
      </c>
      <c r="FT11" t="e">
        <f>#REF!+"Z?)!/Y"</f>
        <v>#REF!</v>
      </c>
      <c r="FU11" t="e">
        <f>#REF!+"Z?)!/Z"</f>
        <v>#REF!</v>
      </c>
      <c r="FV11" t="e">
        <f>#REF!+"Z?)!/["</f>
        <v>#REF!</v>
      </c>
      <c r="FW11" t="e">
        <f>#REF!+"Z?)!/\"</f>
        <v>#REF!</v>
      </c>
      <c r="FX11" t="e">
        <f>#REF!+"Z?)!/]"</f>
        <v>#REF!</v>
      </c>
      <c r="FY11" t="e">
        <f>#REF!+"Z?)!/^"</f>
        <v>#REF!</v>
      </c>
      <c r="FZ11" t="e">
        <f>#REF!+"Z?)!/_"</f>
        <v>#REF!</v>
      </c>
      <c r="GA11" t="e">
        <f>#REF!+"Z?)!/`"</f>
        <v>#REF!</v>
      </c>
      <c r="GB11" t="e">
        <f>#REF!+"Z?)!/a"</f>
        <v>#REF!</v>
      </c>
      <c r="GC11" t="e">
        <f>#REF!+"Z?)!/b"</f>
        <v>#REF!</v>
      </c>
      <c r="GD11" t="e">
        <f>#REF!+"Z?)!/c"</f>
        <v>#REF!</v>
      </c>
      <c r="GE11" t="e">
        <f>#REF!+"Z?)!/d"</f>
        <v>#REF!</v>
      </c>
      <c r="GF11" t="e">
        <f>#REF!+"Z?)!/e"</f>
        <v>#REF!</v>
      </c>
      <c r="GG11" t="e">
        <f>#REF!+"Z?)!/f"</f>
        <v>#REF!</v>
      </c>
      <c r="GH11" t="e">
        <f>#REF!+"Z?)!/g"</f>
        <v>#REF!</v>
      </c>
      <c r="GI11" t="e">
        <f>#REF!+"Z?)!/h"</f>
        <v>#REF!</v>
      </c>
      <c r="GJ11" t="e">
        <f>#REF!+"Z?)!/i"</f>
        <v>#REF!</v>
      </c>
      <c r="GK11" t="e">
        <f>#REF!+"Z?)!/j"</f>
        <v>#REF!</v>
      </c>
      <c r="GL11" t="e">
        <f>#REF!+"Z?)!/k"</f>
        <v>#REF!</v>
      </c>
      <c r="GM11" t="e">
        <f>#REF!+"Z?)!/l"</f>
        <v>#REF!</v>
      </c>
      <c r="GN11" t="e">
        <f>#REF!+"Z?)!/m"</f>
        <v>#REF!</v>
      </c>
      <c r="GO11" t="e">
        <f>#REF!+"Z?)!/n"</f>
        <v>#REF!</v>
      </c>
      <c r="GP11" t="e">
        <f>#REF!+"Z?)!/o"</f>
        <v>#REF!</v>
      </c>
      <c r="GQ11" t="e">
        <f>#REF!+"Z?)!/p"</f>
        <v>#REF!</v>
      </c>
      <c r="GR11" t="e">
        <f>#REF!+"Z?)!/q"</f>
        <v>#REF!</v>
      </c>
      <c r="GS11" t="e">
        <f>#REF!+"Z?)!/r"</f>
        <v>#REF!</v>
      </c>
      <c r="GT11" t="e">
        <f>#REF!+"Z?)!/s"</f>
        <v>#REF!</v>
      </c>
      <c r="GU11" t="e">
        <f>#REF!+"Z?)!/t"</f>
        <v>#REF!</v>
      </c>
      <c r="GV11" t="e">
        <f>#REF!+"Z?)!/u"</f>
        <v>#REF!</v>
      </c>
      <c r="GW11" t="e">
        <f>#REF!+"Z?)!/v"</f>
        <v>#REF!</v>
      </c>
      <c r="GX11" t="e">
        <f>#REF!+"Z?)!/w"</f>
        <v>#REF!</v>
      </c>
      <c r="GY11" t="e">
        <f>#REF!+"Z?)!/x"</f>
        <v>#REF!</v>
      </c>
      <c r="GZ11" t="e">
        <f>#REF!+"Z?)!/y"</f>
        <v>#REF!</v>
      </c>
      <c r="HA11" t="e">
        <f>#REF!+"Z?)!/{"</f>
        <v>#REF!</v>
      </c>
      <c r="HB11" t="e">
        <f>#REF!+"Z?)!/|"</f>
        <v>#REF!</v>
      </c>
      <c r="HC11" t="e">
        <f>#REF!+"Z?)!/}"</f>
        <v>#REF!</v>
      </c>
      <c r="HD11" t="e">
        <f>#REF!+"Z?)!/~"</f>
        <v>#REF!</v>
      </c>
      <c r="HE11" t="e">
        <f>#REF!+"Z?)!0#"</f>
        <v>#REF!</v>
      </c>
      <c r="HF11" t="e">
        <f>#REF!+"Z?)!0$"</f>
        <v>#REF!</v>
      </c>
      <c r="HG11" t="e">
        <f>#REF!+"Z?)!0%"</f>
        <v>#REF!</v>
      </c>
      <c r="HH11" t="e">
        <f>#REF!+"Z?)!0&amp;"</f>
        <v>#REF!</v>
      </c>
      <c r="HI11" t="e">
        <f>#REF!+"Z?)!0'"</f>
        <v>#REF!</v>
      </c>
      <c r="HJ11" t="e">
        <f>#REF!+"Z?)!0("</f>
        <v>#REF!</v>
      </c>
      <c r="HK11" t="e">
        <f>#REF!+"Z?)!0)"</f>
        <v>#REF!</v>
      </c>
      <c r="HL11" t="e">
        <f>#REF!+"Z?)!0."</f>
        <v>#REF!</v>
      </c>
      <c r="HM11" t="e">
        <f>#REF!+"Z?)!0/"</f>
        <v>#REF!</v>
      </c>
      <c r="HN11" t="e">
        <f>#REF!+"Z?)!00"</f>
        <v>#REF!</v>
      </c>
      <c r="HO11" t="e">
        <f>#REF!+"Z?)!01"</f>
        <v>#REF!</v>
      </c>
      <c r="HP11" t="e">
        <f>#REF!+"Z?)!02"</f>
        <v>#REF!</v>
      </c>
      <c r="HQ11" t="e">
        <f>#REF!+"Z?)!03"</f>
        <v>#REF!</v>
      </c>
      <c r="HR11" t="e">
        <f>#REF!+"Z?)!04"</f>
        <v>#REF!</v>
      </c>
      <c r="HS11" t="e">
        <f>#REF!+"Z?)!05"</f>
        <v>#REF!</v>
      </c>
      <c r="HT11" t="e">
        <f>#REF!+"Z?)!06"</f>
        <v>#REF!</v>
      </c>
      <c r="HU11" t="e">
        <f>#REF!+"Z?)!07"</f>
        <v>#REF!</v>
      </c>
      <c r="HV11" t="e">
        <f>#REF!+"Z?)!08"</f>
        <v>#REF!</v>
      </c>
      <c r="HW11" t="e">
        <f>#REF!+"Z?)!09"</f>
        <v>#REF!</v>
      </c>
      <c r="HX11" t="e">
        <f>#REF!+"Z?)!0:"</f>
        <v>#REF!</v>
      </c>
      <c r="HY11" t="e">
        <f>#REF!+"Z?)!0;"</f>
        <v>#REF!</v>
      </c>
      <c r="HZ11" t="e">
        <f>#REF!+"Z?)!0&lt;"</f>
        <v>#REF!</v>
      </c>
      <c r="IA11" t="e">
        <f>#REF!+"Z?)!0="</f>
        <v>#REF!</v>
      </c>
      <c r="IB11" t="e">
        <f>#REF!+"Z?)!0&gt;"</f>
        <v>#REF!</v>
      </c>
      <c r="IC11" t="e">
        <f>#REF!+"Z?)!0?"</f>
        <v>#REF!</v>
      </c>
      <c r="ID11" t="e">
        <f>#REF!+"Z?)!0@"</f>
        <v>#REF!</v>
      </c>
      <c r="IE11" t="e">
        <f>#REF!+"Z?)!0A"</f>
        <v>#REF!</v>
      </c>
      <c r="IF11" t="e">
        <f>#REF!+"Z?)!0B"</f>
        <v>#REF!</v>
      </c>
      <c r="IG11" t="e">
        <f>#REF!+"Z?)!0C"</f>
        <v>#REF!</v>
      </c>
      <c r="IH11" t="e">
        <f>#REF!+"Z?)!0D"</f>
        <v>#REF!</v>
      </c>
      <c r="II11" t="e">
        <f>#REF!-"bXY!3?"</f>
        <v>#REF!</v>
      </c>
      <c r="IJ11" t="e">
        <f>#REF!-"bXY!3@"</f>
        <v>#REF!</v>
      </c>
      <c r="IK11" t="e">
        <f>#REF!+"bXY!3A"</f>
        <v>#REF!</v>
      </c>
      <c r="IL11" t="e">
        <f>#REF!+"bXY!3B"</f>
        <v>#REF!</v>
      </c>
      <c r="IM11" t="e">
        <f>#REF!+"bXY!3C"</f>
        <v>#REF!</v>
      </c>
      <c r="IN11" t="e">
        <f>#REF!+"bXY!3D"</f>
        <v>#REF!</v>
      </c>
      <c r="IO11" t="e">
        <f>#REF!+"bXY!3E"</f>
        <v>#REF!</v>
      </c>
      <c r="IP11" t="e">
        <f>#REF!+"bXY!3F"</f>
        <v>#REF!</v>
      </c>
      <c r="IQ11" t="e">
        <f>#REF!+"bXY!3G"</f>
        <v>#REF!</v>
      </c>
      <c r="IR11" t="e">
        <f>#REF!+"bXY!3H"</f>
        <v>#REF!</v>
      </c>
      <c r="IS11" t="e">
        <f>#REF!+"bXY!3I"</f>
        <v>#REF!</v>
      </c>
      <c r="IT11" t="e">
        <f>#REF!+"bXY!3J"</f>
        <v>#REF!</v>
      </c>
      <c r="IU11" t="e">
        <f>#REF!+"bXY!3K"</f>
        <v>#REF!</v>
      </c>
      <c r="IV11" t="e">
        <f>#REF!+"bXY!3L"</f>
        <v>#REF!</v>
      </c>
    </row>
    <row r="12" spans="1:256" x14ac:dyDescent="0.25">
      <c r="A12" t="s">
        <v>27</v>
      </c>
      <c r="F12" t="e">
        <f>#REF!+"bXY!3M"</f>
        <v>#REF!</v>
      </c>
      <c r="G12" t="e">
        <f>#REF!+"bXY!3N"</f>
        <v>#REF!</v>
      </c>
      <c r="H12" t="e">
        <f>#REF!+"bXY!3O"</f>
        <v>#REF!</v>
      </c>
      <c r="I12" t="e">
        <f>#REF!+"bXY!3P"</f>
        <v>#REF!</v>
      </c>
      <c r="J12" t="e">
        <f>#REF!+"bXY!3Q"</f>
        <v>#REF!</v>
      </c>
      <c r="K12" t="e">
        <f>#REF!+"bXY!3R"</f>
        <v>#REF!</v>
      </c>
      <c r="L12" t="e">
        <f>#REF!+"bXY!3S"</f>
        <v>#REF!</v>
      </c>
      <c r="M12" t="e">
        <f>#REF!+"bXY!3T"</f>
        <v>#REF!</v>
      </c>
      <c r="N12" t="e">
        <f>#REF!+"bXY!3U"</f>
        <v>#REF!</v>
      </c>
      <c r="O12" t="e">
        <f>#REF!+"bXY!3V"</f>
        <v>#REF!</v>
      </c>
      <c r="P12" t="e">
        <f>#REF!+"bXY!3W"</f>
        <v>#REF!</v>
      </c>
      <c r="Q12" t="e">
        <f>#REF!+"bXY!3X"</f>
        <v>#REF!</v>
      </c>
      <c r="R12" t="e">
        <f>#REF!+"bXY!3Y"</f>
        <v>#REF!</v>
      </c>
      <c r="S12" t="e">
        <f>#REF!+"bXY!3Z"</f>
        <v>#REF!</v>
      </c>
      <c r="T12" t="e">
        <f>#REF!+"bXY!3["</f>
        <v>#REF!</v>
      </c>
      <c r="U12" t="e">
        <f>#REF!+"bXY!3\"</f>
        <v>#REF!</v>
      </c>
      <c r="V12" t="e">
        <f>#REF!+"bXY!3]"</f>
        <v>#REF!</v>
      </c>
      <c r="W12" t="e">
        <f>#REF!+"bXY!3^"</f>
        <v>#REF!</v>
      </c>
      <c r="X12" t="e">
        <f>#REF!+"bXY!3_"</f>
        <v>#REF!</v>
      </c>
      <c r="Y12" t="e">
        <f>#REF!+"bXY!3`"</f>
        <v>#REF!</v>
      </c>
      <c r="Z12" t="e">
        <f>#REF!+"bXY!3a"</f>
        <v>#REF!</v>
      </c>
      <c r="AA12" t="e">
        <f>#REF!+"bXY!3b"</f>
        <v>#REF!</v>
      </c>
      <c r="AB12" t="e">
        <f>#REF!+"bXY!3c"</f>
        <v>#REF!</v>
      </c>
      <c r="AC12" t="e">
        <f>#REF!+"bXY!3d"</f>
        <v>#REF!</v>
      </c>
      <c r="AD12" t="e">
        <f>#REF!+"bXY!3e"</f>
        <v>#REF!</v>
      </c>
      <c r="AE12" t="e">
        <f>#REF!+"bXY!3f"</f>
        <v>#REF!</v>
      </c>
      <c r="AF12" t="e">
        <f>#REF!+"bXY!3g"</f>
        <v>#REF!</v>
      </c>
      <c r="AG12" t="e">
        <f>#REF!+"bXY!3h"</f>
        <v>#REF!</v>
      </c>
      <c r="AH12" t="e">
        <f>#REF!+"bXY!3i"</f>
        <v>#REF!</v>
      </c>
      <c r="AI12" t="e">
        <f>#REF!+"bXY!3j"</f>
        <v>#REF!</v>
      </c>
      <c r="AJ12" t="e">
        <f>#REF!+"bXY!3k"</f>
        <v>#REF!</v>
      </c>
      <c r="AK12" t="e">
        <f>#REF!+"bXY!3l"</f>
        <v>#REF!</v>
      </c>
      <c r="AL12" t="e">
        <f>#REF!+"bXY!3m"</f>
        <v>#REF!</v>
      </c>
      <c r="AM12" t="e">
        <f>#REF!+"bXY!3n"</f>
        <v>#REF!</v>
      </c>
      <c r="AN12" t="e">
        <f>#REF!+"bXY!3o"</f>
        <v>#REF!</v>
      </c>
      <c r="AO12" t="e">
        <f>#REF!+"bXY!3p"</f>
        <v>#REF!</v>
      </c>
      <c r="AP12" t="e">
        <f>#REF!+"bXY!3q"</f>
        <v>#REF!</v>
      </c>
      <c r="AQ12" t="e">
        <f>#REF!+"bXY!3r"</f>
        <v>#REF!</v>
      </c>
      <c r="AR12" t="e">
        <f>#REF!*"V9[!%"</f>
        <v>#REF!</v>
      </c>
      <c r="AS12" t="e">
        <f>#REF!*"V9[!&amp;"</f>
        <v>#REF!</v>
      </c>
      <c r="AT12" t="e">
        <f>#REF!*"V9[!'"</f>
        <v>#REF!</v>
      </c>
      <c r="AU12" t="e">
        <f>#REF!*"V9[!("</f>
        <v>#REF!</v>
      </c>
      <c r="AV12" t="e">
        <f>#REF!*"V9[!)"</f>
        <v>#REF!</v>
      </c>
      <c r="AW12" t="e">
        <f>#REF!*"V9[!."</f>
        <v>#REF!</v>
      </c>
      <c r="AX12" t="e">
        <f>#REF!*"V9[!/"</f>
        <v>#REF!</v>
      </c>
      <c r="AY12" t="e">
        <f>#REF!*"V9[!0"</f>
        <v>#REF!</v>
      </c>
      <c r="AZ12" t="e">
        <f>#REF!*"V9[!1"</f>
        <v>#REF!</v>
      </c>
      <c r="BA12" t="e">
        <f>#REF!*"V9[!2"</f>
        <v>#REF!</v>
      </c>
      <c r="BB12" t="e">
        <f>#REF!*"V9[!3"</f>
        <v>#REF!</v>
      </c>
      <c r="BC12" t="e">
        <f>#REF!*"V9[!4"</f>
        <v>#REF!</v>
      </c>
      <c r="BD12" t="e">
        <f>#REF!*"V9[!5"</f>
        <v>#REF!</v>
      </c>
      <c r="BE12" t="e">
        <f>#REF!*"V9[!6"</f>
        <v>#REF!</v>
      </c>
      <c r="BF12" t="e">
        <f>#REF!*"V9[!7"</f>
        <v>#REF!</v>
      </c>
      <c r="BG12" t="e">
        <f>#REF!*"V9[!8"</f>
        <v>#REF!</v>
      </c>
      <c r="BH12" t="e">
        <f>#REF!-"V9[!9"</f>
        <v>#REF!</v>
      </c>
      <c r="BI12" t="e">
        <f>#REF!+"V9[!:"</f>
        <v>#REF!</v>
      </c>
      <c r="BJ12" t="e">
        <f>#REF!+"V9[!;"</f>
        <v>#REF!</v>
      </c>
      <c r="BK12" t="e">
        <f>#REF!+"V9[!&lt;"</f>
        <v>#REF!</v>
      </c>
      <c r="BL12" t="e">
        <f>#REF!+"V9[!="</f>
        <v>#REF!</v>
      </c>
      <c r="BM12" t="e">
        <f>#REF!+"V9[!&gt;"</f>
        <v>#REF!</v>
      </c>
      <c r="BN12" t="e">
        <f>#REF!+"V9[!?"</f>
        <v>#REF!</v>
      </c>
      <c r="BO12" t="e">
        <f>#REF!+"V9[!@"</f>
        <v>#REF!</v>
      </c>
      <c r="BP12" t="e">
        <f>#REF!+"V9[!A"</f>
        <v>#REF!</v>
      </c>
      <c r="BQ12" t="e">
        <f>#REF!+"V9[!B"</f>
        <v>#REF!</v>
      </c>
      <c r="BR12" t="e">
        <f>#REF!+"V9[!C"</f>
        <v>#REF!</v>
      </c>
      <c r="BS12" t="e">
        <f>#REF!+"V9[!D"</f>
        <v>#REF!</v>
      </c>
      <c r="BT12" t="e">
        <f>#REF!+"V9[!E"</f>
        <v>#REF!</v>
      </c>
      <c r="BU12" t="e">
        <f>#REF!+"V9[!F"</f>
        <v>#REF!</v>
      </c>
      <c r="BV12" t="e">
        <f>#REF!+"V9[!G"</f>
        <v>#REF!</v>
      </c>
      <c r="BW12" t="e">
        <f>#REF!+"V9[!H"</f>
        <v>#REF!</v>
      </c>
      <c r="BX12" t="e">
        <f>#REF!+"V9[!I"</f>
        <v>#REF!</v>
      </c>
      <c r="BY12" t="e">
        <f>#REF!+"V9[!J"</f>
        <v>#REF!</v>
      </c>
      <c r="BZ12" t="e">
        <f>#REF!+"V9[!K"</f>
        <v>#REF!</v>
      </c>
      <c r="CA12" t="e">
        <f>#REF!+"V9[!L"</f>
        <v>#REF!</v>
      </c>
      <c r="CB12" t="e">
        <f>#REF!+"V9[!M"</f>
        <v>#REF!</v>
      </c>
      <c r="CC12" t="e">
        <f>#REF!+"V9[!N"</f>
        <v>#REF!</v>
      </c>
      <c r="CD12" t="e">
        <f>#REF!+"V9[!O"</f>
        <v>#REF!</v>
      </c>
      <c r="CE12" t="e">
        <f>#REF!+"V9[!P"</f>
        <v>#REF!</v>
      </c>
      <c r="CF12" t="e">
        <f>#REF!+"V9[!Q"</f>
        <v>#REF!</v>
      </c>
      <c r="CG12" t="e">
        <f>#REF!+"V9[!R"</f>
        <v>#REF!</v>
      </c>
      <c r="CH12" t="e">
        <f>#REF!+"V9[!S"</f>
        <v>#REF!</v>
      </c>
      <c r="CI12" t="e">
        <f>#REF!+"V9[!T"</f>
        <v>#REF!</v>
      </c>
      <c r="CJ12" t="e">
        <f>#REF!+"V9[!U"</f>
        <v>#REF!</v>
      </c>
      <c r="CK12" t="e">
        <f>#REF!+"V9[!V"</f>
        <v>#REF!</v>
      </c>
      <c r="CL12" t="e">
        <f>#REF!+"V9[!W"</f>
        <v>#REF!</v>
      </c>
      <c r="CM12" t="e">
        <f>#REF!+"V9[!X"</f>
        <v>#REF!</v>
      </c>
      <c r="CN12" t="e">
        <f>#REF!+"V9[!Y"</f>
        <v>#REF!</v>
      </c>
      <c r="CO12" t="e">
        <f>#REF!+"V9[!Z"</f>
        <v>#REF!</v>
      </c>
      <c r="CP12" t="e">
        <f>#REF!+"V9[!["</f>
        <v>#REF!</v>
      </c>
      <c r="CQ12" t="e">
        <f>#REF!+"V9[!\"</f>
        <v>#REF!</v>
      </c>
      <c r="CR12" t="e">
        <f>#REF!+"V9[!]"</f>
        <v>#REF!</v>
      </c>
      <c r="CS12" t="e">
        <f>#REF!+"V9[!^"</f>
        <v>#REF!</v>
      </c>
      <c r="CT12" t="e">
        <f>#REF!+"V9[!_"</f>
        <v>#REF!</v>
      </c>
      <c r="CU12" t="e">
        <f>#REF!+"V9[!`"</f>
        <v>#REF!</v>
      </c>
      <c r="CV12" t="e">
        <f>#REF!+"V9[!a"</f>
        <v>#REF!</v>
      </c>
      <c r="CW12" t="e">
        <f>#REF!+"V9[!b"</f>
        <v>#REF!</v>
      </c>
      <c r="CX12" t="e">
        <f>#REF!+"V9[!c"</f>
        <v>#REF!</v>
      </c>
      <c r="CY12" t="e">
        <f>#REF!+"V9[!d"</f>
        <v>#REF!</v>
      </c>
      <c r="CZ12" t="e">
        <f>#REF!+"V9[!e"</f>
        <v>#REF!</v>
      </c>
      <c r="DA12" t="e">
        <f>#REF!+"V9[!f"</f>
        <v>#REF!</v>
      </c>
      <c r="DB12" t="e">
        <f>#REF!+"V9[!g"</f>
        <v>#REF!</v>
      </c>
      <c r="DC12" t="e">
        <f>#REF!+"V9[!h"</f>
        <v>#REF!</v>
      </c>
      <c r="DD12" t="e">
        <f>#REF!+"V9[!i"</f>
        <v>#REF!</v>
      </c>
      <c r="DE12" t="e">
        <f>#REF!+"V9[!j"</f>
        <v>#REF!</v>
      </c>
      <c r="DF12" t="e">
        <f>#REF!+"V9[!k"</f>
        <v>#REF!</v>
      </c>
      <c r="DG12" t="e">
        <f>#REF!+"V9[!l"</f>
        <v>#REF!</v>
      </c>
      <c r="DH12" t="e">
        <f>#REF!+"V9[!m"</f>
        <v>#REF!</v>
      </c>
      <c r="DI12" t="e">
        <f>#REF!+"V9[!n"</f>
        <v>#REF!</v>
      </c>
      <c r="DJ12" t="e">
        <f>#REF!+"V9[!o"</f>
        <v>#REF!</v>
      </c>
      <c r="DK12" t="e">
        <f>#REF!+"V9[!p"</f>
        <v>#REF!</v>
      </c>
      <c r="DL12" t="e">
        <f>#REF!+"V9[!q"</f>
        <v>#REF!</v>
      </c>
      <c r="DM12" t="e">
        <f>#REF!+"V9[!r"</f>
        <v>#REF!</v>
      </c>
      <c r="DN12" t="e">
        <f>#REF!+"V9[!s"</f>
        <v>#REF!</v>
      </c>
      <c r="DO12" t="e">
        <f>#REF!+"V9[!t"</f>
        <v>#REF!</v>
      </c>
      <c r="DP12" t="e">
        <f>#REF!+"V9[!u"</f>
        <v>#REF!</v>
      </c>
      <c r="DQ12" t="e">
        <f>#REF!+"V9[!v"</f>
        <v>#REF!</v>
      </c>
      <c r="DR12" t="e">
        <f>#REF!+"V9[!w"</f>
        <v>#REF!</v>
      </c>
      <c r="DS12" t="e">
        <f>#REF!+"V9[!x"</f>
        <v>#REF!</v>
      </c>
      <c r="DT12" t="e">
        <f>#REF!+"V9[!y"</f>
        <v>#REF!</v>
      </c>
      <c r="DU12" t="e">
        <f>#REF!+"V9[!z"</f>
        <v>#REF!</v>
      </c>
      <c r="DV12" t="e">
        <f>#REF!+"V9[!{"</f>
        <v>#REF!</v>
      </c>
      <c r="DW12" t="e">
        <f>#REF!+"V9[!|"</f>
        <v>#REF!</v>
      </c>
      <c r="DX12" t="e">
        <f>#REF!+"V9[!}"</f>
        <v>#REF!</v>
      </c>
      <c r="DY12" t="e">
        <f>#REF!+"V9[!~"</f>
        <v>#REF!</v>
      </c>
      <c r="DZ12" t="e">
        <f>#REF!+"V9[!$#"</f>
        <v>#REF!</v>
      </c>
      <c r="EA12" t="e">
        <f>#REF!+"V9[!$$"</f>
        <v>#REF!</v>
      </c>
      <c r="EB12" t="e">
        <f>#REF!+"V9[!$%"</f>
        <v>#REF!</v>
      </c>
      <c r="EC12" t="e">
        <f>#REF!+"V9[!$&amp;"</f>
        <v>#REF!</v>
      </c>
      <c r="ED12" t="e">
        <f>#REF!+"V9[!$'"</f>
        <v>#REF!</v>
      </c>
      <c r="EE12" t="e">
        <f>#REF!+"V9[!$("</f>
        <v>#REF!</v>
      </c>
      <c r="EF12" t="e">
        <f>#REF!+"V9[!$)"</f>
        <v>#REF!</v>
      </c>
      <c r="EG12" t="e">
        <f>#REF!+"V9[!$."</f>
        <v>#REF!</v>
      </c>
      <c r="EH12" t="e">
        <f>#REF!+"V9[!$/"</f>
        <v>#REF!</v>
      </c>
      <c r="EI12" t="e">
        <f>#REF!+"V9[!$0"</f>
        <v>#REF!</v>
      </c>
      <c r="EJ12" t="e">
        <f>#REF!+"V9[!$1"</f>
        <v>#REF!</v>
      </c>
      <c r="EK12" t="e">
        <f>#REF!+"V9[!$2"</f>
        <v>#REF!</v>
      </c>
      <c r="EL12" t="e">
        <f>#REF!+"V9[!$3"</f>
        <v>#REF!</v>
      </c>
      <c r="EM12" t="e">
        <f>#REF!+"V9[!$4"</f>
        <v>#REF!</v>
      </c>
      <c r="EN12" t="e">
        <f>#REF!+"V9[!$5"</f>
        <v>#REF!</v>
      </c>
      <c r="EO12" t="e">
        <f>#REF!+"V9[!$6"</f>
        <v>#REF!</v>
      </c>
      <c r="EP12" t="e">
        <f>#REF!+"V9[!$7"</f>
        <v>#REF!</v>
      </c>
      <c r="EQ12" t="e">
        <f>#REF!+"V9[!$8"</f>
        <v>#REF!</v>
      </c>
      <c r="ER12" t="e">
        <f>#REF!+"V9[!$9"</f>
        <v>#REF!</v>
      </c>
      <c r="ES12" t="e">
        <f>#REF!+"V9[!$:"</f>
        <v>#REF!</v>
      </c>
      <c r="ET12" t="e">
        <f>#REF!+"V9[!$;"</f>
        <v>#REF!</v>
      </c>
      <c r="EU12" t="e">
        <f>#REF!+"V9[!$&lt;"</f>
        <v>#REF!</v>
      </c>
      <c r="EV12" t="e">
        <f>#REF!+"V9[!$="</f>
        <v>#REF!</v>
      </c>
      <c r="EW12" t="e">
        <f>#REF!+"V9[!$&gt;"</f>
        <v>#REF!</v>
      </c>
      <c r="EX12" t="e">
        <f>#REF!+"V9[!$?"</f>
        <v>#REF!</v>
      </c>
      <c r="EY12" t="e">
        <f>#REF!+"V9[!$@"</f>
        <v>#REF!</v>
      </c>
      <c r="EZ12" t="e">
        <f>#REF!+"V9[!$A"</f>
        <v>#REF!</v>
      </c>
      <c r="FA12" t="e">
        <f>#REF!+"V9[!$B"</f>
        <v>#REF!</v>
      </c>
      <c r="FB12" t="e">
        <f>#REF!+"V9[!$C"</f>
        <v>#REF!</v>
      </c>
      <c r="FC12" t="e">
        <f>#REF!+"V9[!$D"</f>
        <v>#REF!</v>
      </c>
      <c r="FD12" t="e">
        <f>#REF!+"V9[!$E"</f>
        <v>#REF!</v>
      </c>
      <c r="FE12" t="e">
        <f>#REF!+"V9[!$F"</f>
        <v>#REF!</v>
      </c>
      <c r="FF12" t="e">
        <f>#REF!+"V9[!$G"</f>
        <v>#REF!</v>
      </c>
      <c r="FG12" t="e">
        <f>#REF!+"V9[!$H"</f>
        <v>#REF!</v>
      </c>
      <c r="FH12" t="e">
        <f>#REF!+"V9[!$I"</f>
        <v>#REF!</v>
      </c>
      <c r="FI12" t="e">
        <f>#REF!+"V9[!$J"</f>
        <v>#REF!</v>
      </c>
      <c r="FJ12" t="e">
        <f>#REF!+"V9[!$K"</f>
        <v>#REF!</v>
      </c>
      <c r="FK12" t="e">
        <f>#REF!+"V9[!$L"</f>
        <v>#REF!</v>
      </c>
      <c r="FL12" t="e">
        <f>#REF!+"V9[!$M"</f>
        <v>#REF!</v>
      </c>
      <c r="FM12" t="e">
        <f>#REF!+"V9[!$N"</f>
        <v>#REF!</v>
      </c>
      <c r="FN12" t="e">
        <f>#REF!+"V9[!$O"</f>
        <v>#REF!</v>
      </c>
      <c r="FO12" t="e">
        <f>#REF!+"V9[!$P"</f>
        <v>#REF!</v>
      </c>
      <c r="FP12" t="e">
        <f>#REF!+"V9[!$Q"</f>
        <v>#REF!</v>
      </c>
      <c r="FQ12" t="e">
        <f>#REF!+"V9[!$R"</f>
        <v>#REF!</v>
      </c>
      <c r="FR12" t="e">
        <f>#REF!+"V9[!$S"</f>
        <v>#REF!</v>
      </c>
      <c r="FS12" t="e">
        <f>#REF!+"V9[!$T"</f>
        <v>#REF!</v>
      </c>
      <c r="FT12" t="e">
        <f>#REF!+"V9[!$U"</f>
        <v>#REF!</v>
      </c>
      <c r="FU12" t="e">
        <f>#REF!+"V9[!$V"</f>
        <v>#REF!</v>
      </c>
      <c r="FV12" t="e">
        <f>#REF!+"V9[!$W"</f>
        <v>#REF!</v>
      </c>
      <c r="FW12" t="e">
        <f>#REF!+"V9[!$X"</f>
        <v>#REF!</v>
      </c>
      <c r="FX12" t="e">
        <f>#REF!+"V9[!$Y"</f>
        <v>#REF!</v>
      </c>
      <c r="FY12" t="e">
        <f>#REF!+"V9[!$Z"</f>
        <v>#REF!</v>
      </c>
      <c r="FZ12" t="e">
        <f>#REF!+"V9[!$["</f>
        <v>#REF!</v>
      </c>
      <c r="GA12" t="e">
        <f>#REF!+"V9[!$\"</f>
        <v>#REF!</v>
      </c>
      <c r="GB12" t="e">
        <f>#REF!+"V9[!$]"</f>
        <v>#REF!</v>
      </c>
      <c r="GC12" t="e">
        <f>#REF!+"V9[!$^"</f>
        <v>#REF!</v>
      </c>
      <c r="GD12" t="e">
        <f>#REF!+"V9[!$_"</f>
        <v>#REF!</v>
      </c>
      <c r="GE12" t="e">
        <f>#REF!+"V9[!$`"</f>
        <v>#REF!</v>
      </c>
      <c r="GF12" t="e">
        <f>#REF!+"V9[!$a"</f>
        <v>#REF!</v>
      </c>
      <c r="GG12" t="e">
        <f>#REF!+"V9[!$b"</f>
        <v>#REF!</v>
      </c>
      <c r="GH12" t="e">
        <f>#REF!+"V9[!$c"</f>
        <v>#REF!</v>
      </c>
      <c r="GI12" t="e">
        <f>#REF!+"V9[!$d"</f>
        <v>#REF!</v>
      </c>
      <c r="GJ12" t="e">
        <f>#REF!+"V9[!$e"</f>
        <v>#REF!</v>
      </c>
      <c r="GK12" t="e">
        <f>#REF!+"V9[!$f"</f>
        <v>#REF!</v>
      </c>
      <c r="GL12" t="e">
        <f>#REF!+"V9[!$g"</f>
        <v>#REF!</v>
      </c>
      <c r="GM12" t="e">
        <f>#REF!+"V9[!$h"</f>
        <v>#REF!</v>
      </c>
      <c r="GN12" t="e">
        <f>#REF!+"V9[!$i"</f>
        <v>#REF!</v>
      </c>
      <c r="GO12" t="e">
        <f>#REF!+"V9[!$j"</f>
        <v>#REF!</v>
      </c>
      <c r="GP12" t="e">
        <f>#REF!+"V9[!$k"</f>
        <v>#REF!</v>
      </c>
      <c r="GQ12" t="e">
        <f>#REF!+"V9[!$l"</f>
        <v>#REF!</v>
      </c>
      <c r="GR12" t="e">
        <f>#REF!+"V9[!$m"</f>
        <v>#REF!</v>
      </c>
      <c r="GS12" t="e">
        <f>#REF!+"V9[!$n"</f>
        <v>#REF!</v>
      </c>
      <c r="GT12" t="e">
        <f>#REF!+"V9[!$o"</f>
        <v>#REF!</v>
      </c>
      <c r="GU12" t="e">
        <f>#REF!+"V9[!$p"</f>
        <v>#REF!</v>
      </c>
      <c r="GV12" t="e">
        <f>#REF!+"V9[!$q"</f>
        <v>#REF!</v>
      </c>
      <c r="GW12" t="e">
        <f>#REF!+"V9[!$r"</f>
        <v>#REF!</v>
      </c>
      <c r="GX12" t="e">
        <f>#REF!+"V9[!$s"</f>
        <v>#REF!</v>
      </c>
      <c r="GY12" t="e">
        <f>#REF!+"V9[!$t"</f>
        <v>#REF!</v>
      </c>
      <c r="GZ12" t="e">
        <f>#REF!+"V9[!$u"</f>
        <v>#REF!</v>
      </c>
      <c r="HA12" t="e">
        <f>#REF!+"V9[!$v"</f>
        <v>#REF!</v>
      </c>
      <c r="HB12" t="e">
        <f>#REF!+"V9[!$w"</f>
        <v>#REF!</v>
      </c>
      <c r="HC12" t="e">
        <f>#REF!+"V9[!$x"</f>
        <v>#REF!</v>
      </c>
      <c r="HD12" t="e">
        <f>#REF!+"V9[!$y"</f>
        <v>#REF!</v>
      </c>
      <c r="HE12" t="e">
        <f>#REF!+"V9[!$z"</f>
        <v>#REF!</v>
      </c>
      <c r="HF12" t="e">
        <f>#REF!+"V9[!${"</f>
        <v>#REF!</v>
      </c>
      <c r="HG12" t="e">
        <f>#REF!+"V9[!$|"</f>
        <v>#REF!</v>
      </c>
      <c r="HH12" t="e">
        <f>#REF!+"V9[!$}"</f>
        <v>#REF!</v>
      </c>
      <c r="HI12" t="e">
        <f>#REF!+"V9[!$~"</f>
        <v>#REF!</v>
      </c>
      <c r="HJ12" t="e">
        <f>#REF!+"V9[!%#"</f>
        <v>#REF!</v>
      </c>
      <c r="HK12" t="e">
        <f>#REF!+"V9[!%$"</f>
        <v>#REF!</v>
      </c>
      <c r="HL12" t="e">
        <f>#REF!+"V9[!%%"</f>
        <v>#REF!</v>
      </c>
      <c r="HM12" t="e">
        <f>#REF!+"V9[!%&amp;"</f>
        <v>#REF!</v>
      </c>
      <c r="HN12" t="e">
        <f>#REF!+"V9[!%'"</f>
        <v>#REF!</v>
      </c>
      <c r="HO12" t="e">
        <f>#REF!+"V9[!%("</f>
        <v>#REF!</v>
      </c>
      <c r="HP12" t="e">
        <f>#REF!+"V9[!%)"</f>
        <v>#REF!</v>
      </c>
      <c r="HQ12" t="e">
        <f>#REF!+"V9[!%."</f>
        <v>#REF!</v>
      </c>
      <c r="HR12" t="e">
        <f>#REF!+"V9[!%/"</f>
        <v>#REF!</v>
      </c>
      <c r="HS12" t="e">
        <f>#REF!+"V9[!%0"</f>
        <v>#REF!</v>
      </c>
      <c r="HT12" t="e">
        <f>#REF!+"V9[!%1"</f>
        <v>#REF!</v>
      </c>
      <c r="HU12" t="e">
        <f>#REF!+"V9[!%2"</f>
        <v>#REF!</v>
      </c>
      <c r="HV12" t="e">
        <f>#REF!+"V9[!%3"</f>
        <v>#REF!</v>
      </c>
      <c r="HW12" t="e">
        <f>#REF!+"V9[!%4"</f>
        <v>#REF!</v>
      </c>
      <c r="HX12" t="e">
        <f>#REF!+"V9[!%5"</f>
        <v>#REF!</v>
      </c>
      <c r="HY12" t="e">
        <f>#REF!+"V9[!%6"</f>
        <v>#REF!</v>
      </c>
      <c r="HZ12" t="e">
        <f>#REF!+"V9[!%7"</f>
        <v>#REF!</v>
      </c>
      <c r="IA12" t="e">
        <f>#REF!+"V9[!%8"</f>
        <v>#REF!</v>
      </c>
      <c r="IB12" t="e">
        <f>#REF!+"V9[!%9"</f>
        <v>#REF!</v>
      </c>
      <c r="IC12" t="e">
        <f>#REF!+"V9[!%:"</f>
        <v>#REF!</v>
      </c>
      <c r="ID12" t="e">
        <f>#REF!+"V9[!%;"</f>
        <v>#REF!</v>
      </c>
      <c r="IE12" t="e">
        <f>#REF!+"V9[!%&lt;"</f>
        <v>#REF!</v>
      </c>
      <c r="IF12" t="e">
        <f>#REF!+"V9[!%="</f>
        <v>#REF!</v>
      </c>
      <c r="IG12" t="e">
        <f>#REF!+"V9[!%&gt;"</f>
        <v>#REF!</v>
      </c>
      <c r="IH12" t="e">
        <f>#REF!+"V9[!%?"</f>
        <v>#REF!</v>
      </c>
      <c r="II12" t="e">
        <f>#REF!+"V9[!%@"</f>
        <v>#REF!</v>
      </c>
      <c r="IJ12" t="e">
        <f>#REF!+"V9[!%A"</f>
        <v>#REF!</v>
      </c>
      <c r="IK12" t="e">
        <f>#REF!+"V9[!%B"</f>
        <v>#REF!</v>
      </c>
      <c r="IL12" t="e">
        <f>#REF!+"V9[!%C"</f>
        <v>#REF!</v>
      </c>
      <c r="IM12" t="e">
        <f>#REF!+"V9[!%D"</f>
        <v>#REF!</v>
      </c>
      <c r="IN12" t="e">
        <f>#REF!+"V9[!%E"</f>
        <v>#REF!</v>
      </c>
      <c r="IO12" t="e">
        <f>#REF!+"V9[!%F"</f>
        <v>#REF!</v>
      </c>
      <c r="IP12" t="e">
        <f>#REF!+"V9[!%G"</f>
        <v>#REF!</v>
      </c>
      <c r="IQ12" t="e">
        <f>#REF!+"V9[!%H"</f>
        <v>#REF!</v>
      </c>
      <c r="IR12" t="e">
        <f>#REF!+"V9[!%I"</f>
        <v>#REF!</v>
      </c>
      <c r="IS12" t="e">
        <f>#REF!+"V9[!%J"</f>
        <v>#REF!</v>
      </c>
      <c r="IT12" t="e">
        <f>#REF!+"V9[!%K"</f>
        <v>#REF!</v>
      </c>
      <c r="IU12" t="e">
        <f>#REF!+"V9[!%L"</f>
        <v>#REF!</v>
      </c>
      <c r="IV12" t="e">
        <f>#REF!+"V9[!%M"</f>
        <v>#REF!</v>
      </c>
    </row>
    <row r="13" spans="1:256" x14ac:dyDescent="0.25">
      <c r="A13" t="s">
        <v>28</v>
      </c>
      <c r="F13" t="e">
        <f>#REF!+"V9[!%N"</f>
        <v>#REF!</v>
      </c>
      <c r="G13" t="e">
        <f>#REF!+"V9[!%O"</f>
        <v>#REF!</v>
      </c>
      <c r="H13" t="e">
        <f>#REF!+"V9[!%P"</f>
        <v>#REF!</v>
      </c>
      <c r="I13" t="e">
        <f>#REF!+"V9[!%Q"</f>
        <v>#REF!</v>
      </c>
      <c r="J13" t="e">
        <f>#REF!+"V9[!%R"</f>
        <v>#REF!</v>
      </c>
      <c r="K13" t="e">
        <f>#REF!+"V9[!%S"</f>
        <v>#REF!</v>
      </c>
      <c r="L13" t="e">
        <f>#REF!+"V9[!%T"</f>
        <v>#REF!</v>
      </c>
      <c r="M13" t="e">
        <f>#REF!+"V9[!%U"</f>
        <v>#REF!</v>
      </c>
      <c r="N13" t="e">
        <f>#REF!+"V9[!%V"</f>
        <v>#REF!</v>
      </c>
      <c r="O13" t="e">
        <f>#REF!+"V9[!%W"</f>
        <v>#REF!</v>
      </c>
      <c r="P13" t="e">
        <f>#REF!+"V9[!%X"</f>
        <v>#REF!</v>
      </c>
      <c r="Q13" t="e">
        <f>#REF!+"V9[!%Y"</f>
        <v>#REF!</v>
      </c>
      <c r="R13" t="e">
        <f>#REF!+"V9[!%Z"</f>
        <v>#REF!</v>
      </c>
      <c r="S13" t="e">
        <f>#REF!+"V9[!%["</f>
        <v>#REF!</v>
      </c>
      <c r="T13" t="e">
        <f>#REF!+"V9[!%\"</f>
        <v>#REF!</v>
      </c>
      <c r="U13" t="e">
        <f>#REF!+"V9[!%]"</f>
        <v>#REF!</v>
      </c>
      <c r="V13" t="e">
        <f>#REF!+"V9[!%^"</f>
        <v>#REF!</v>
      </c>
      <c r="W13" t="e">
        <f>#REF!+"V9[!%_"</f>
        <v>#REF!</v>
      </c>
      <c r="X13" t="e">
        <f>#REF!+"V9[!%`"</f>
        <v>#REF!</v>
      </c>
      <c r="Y13" t="e">
        <f>#REF!+"V9[!%a"</f>
        <v>#REF!</v>
      </c>
      <c r="Z13" t="e">
        <f>#REF!+"V9[!%b"</f>
        <v>#REF!</v>
      </c>
      <c r="AA13" t="e">
        <f>#REF!+"V9[!%c"</f>
        <v>#REF!</v>
      </c>
      <c r="AB13" t="e">
        <f>#REF!+"V9[!%d"</f>
        <v>#REF!</v>
      </c>
      <c r="AC13" t="e">
        <f>#REF!+"V9[!%e"</f>
        <v>#REF!</v>
      </c>
      <c r="AD13" t="e">
        <f>#REF!+"V9[!%f"</f>
        <v>#REF!</v>
      </c>
      <c r="AE13" t="e">
        <f>#REF!+"V9[!%g"</f>
        <v>#REF!</v>
      </c>
      <c r="AF13" t="e">
        <f>#REF!+"V9[!%h"</f>
        <v>#REF!</v>
      </c>
      <c r="AG13" t="e">
        <f>#REF!+"V9[!%i"</f>
        <v>#REF!</v>
      </c>
      <c r="AH13" t="e">
        <f>#REF!+"V9[!%j"</f>
        <v>#REF!</v>
      </c>
      <c r="AI13" t="e">
        <f>#REF!+"V9[!%k"</f>
        <v>#REF!</v>
      </c>
      <c r="AJ13" t="e">
        <f>#REF!+"V9[!%l"</f>
        <v>#REF!</v>
      </c>
      <c r="AK13" t="e">
        <f>#REF!+"V9[!%m"</f>
        <v>#REF!</v>
      </c>
      <c r="AL13" t="e">
        <f>#REF!+"V9[!%n"</f>
        <v>#REF!</v>
      </c>
      <c r="AM13" t="e">
        <f>#REF!+"V9[!%o"</f>
        <v>#REF!</v>
      </c>
      <c r="AN13" t="e">
        <f>#REF!+"V9[!%p"</f>
        <v>#REF!</v>
      </c>
      <c r="AO13" t="e">
        <f>#REF!+"V9[!%q"</f>
        <v>#REF!</v>
      </c>
      <c r="AP13" t="e">
        <f>#REF!+"V9[!%r"</f>
        <v>#REF!</v>
      </c>
      <c r="AQ13" t="e">
        <f>#REF!+"V9[!%s"</f>
        <v>#REF!</v>
      </c>
      <c r="AR13" t="e">
        <f>#REF!+"V9[!%t"</f>
        <v>#REF!</v>
      </c>
      <c r="AS13" t="e">
        <f>#REF!+"V9[!%u"</f>
        <v>#REF!</v>
      </c>
      <c r="AT13" t="e">
        <f>#REF!+"V9[!%v"</f>
        <v>#REF!</v>
      </c>
      <c r="AU13" t="e">
        <f>#REF!+"V9[!%w"</f>
        <v>#REF!</v>
      </c>
      <c r="AV13" t="e">
        <f>#REF!+"V9[!%x"</f>
        <v>#REF!</v>
      </c>
      <c r="AW13" t="e">
        <f>#REF!+"V9[!%y"</f>
        <v>#REF!</v>
      </c>
      <c r="AX13" t="e">
        <f>#REF!+"V9[!%z"</f>
        <v>#REF!</v>
      </c>
      <c r="AY13" t="e">
        <f>#REF!+"V9[!%{"</f>
        <v>#REF!</v>
      </c>
      <c r="AZ13" t="e">
        <f>#REF!+"V9[!%|"</f>
        <v>#REF!</v>
      </c>
      <c r="BA13" t="e">
        <f>#REF!+"V9[!%}"</f>
        <v>#REF!</v>
      </c>
      <c r="BB13" t="e">
        <f>#REF!+"V9[!%~"</f>
        <v>#REF!</v>
      </c>
      <c r="BC13" t="e">
        <f>#REF!+"V9[!&amp;#"</f>
        <v>#REF!</v>
      </c>
      <c r="BD13" t="e">
        <f>#REF!+"V9[!&amp;$"</f>
        <v>#REF!</v>
      </c>
      <c r="BE13" t="e">
        <f>#REF!+"V9[!&amp;%"</f>
        <v>#REF!</v>
      </c>
      <c r="BF13" t="e">
        <f>#REF!+"V9[!&amp;&amp;"</f>
        <v>#REF!</v>
      </c>
      <c r="BG13" t="e">
        <f>#REF!+"V9[!&amp;'"</f>
        <v>#REF!</v>
      </c>
      <c r="BH13" t="e">
        <f>#REF!+"V9[!&amp;("</f>
        <v>#REF!</v>
      </c>
      <c r="BI13" t="e">
        <f>#REF!+"V9[!&amp;)"</f>
        <v>#REF!</v>
      </c>
      <c r="BJ13" t="e">
        <f>#REF!+"V9[!&amp;."</f>
        <v>#REF!</v>
      </c>
      <c r="BK13" t="e">
        <f>#REF!+"V9[!&amp;/"</f>
        <v>#REF!</v>
      </c>
      <c r="BL13" t="e">
        <f>#REF!+"V9[!&amp;0"</f>
        <v>#REF!</v>
      </c>
      <c r="BM13" t="e">
        <f>#REF!+"V9[!&amp;1"</f>
        <v>#REF!</v>
      </c>
      <c r="BN13" t="e">
        <f>#REF!+"V9[!&amp;2"</f>
        <v>#REF!</v>
      </c>
      <c r="BO13" t="e">
        <f>#REF!+"V9[!&amp;3"</f>
        <v>#REF!</v>
      </c>
      <c r="BP13" t="e">
        <f>#REF!+"V9[!&amp;4"</f>
        <v>#REF!</v>
      </c>
      <c r="BQ13" t="e">
        <f>#REF!+"V9[!&amp;5"</f>
        <v>#REF!</v>
      </c>
      <c r="BR13" t="e">
        <f>#REF!+"V9[!&amp;6"</f>
        <v>#REF!</v>
      </c>
      <c r="BS13" t="e">
        <f>#REF!+"V9[!&amp;7"</f>
        <v>#REF!</v>
      </c>
      <c r="BT13" t="e">
        <f>#REF!+"V9[!&amp;8"</f>
        <v>#REF!</v>
      </c>
      <c r="BU13" t="e">
        <f>#REF!+"V9[!&amp;9"</f>
        <v>#REF!</v>
      </c>
      <c r="BV13" t="e">
        <f>#REF!+"V9[!&amp;:"</f>
        <v>#REF!</v>
      </c>
      <c r="BW13" t="e">
        <f>#REF!+"V9[!&amp;;"</f>
        <v>#REF!</v>
      </c>
      <c r="BX13" t="e">
        <f>#REF!+"V9[!&amp;&lt;"</f>
        <v>#REF!</v>
      </c>
      <c r="BY13" t="e">
        <f>#REF!+"V9[!&amp;="</f>
        <v>#REF!</v>
      </c>
      <c r="BZ13" t="e">
        <f>#REF!+"V9[!&amp;&gt;"</f>
        <v>#REF!</v>
      </c>
      <c r="CA13" t="e">
        <f>#REF!+"V9[!&amp;?"</f>
        <v>#REF!</v>
      </c>
      <c r="CB13" t="e">
        <f>#REF!+"V9[!&amp;@"</f>
        <v>#REF!</v>
      </c>
      <c r="CC13" t="e">
        <f>#REF!+"V9[!&amp;A"</f>
        <v>#REF!</v>
      </c>
      <c r="CD13" t="e">
        <f>#REF!+"V9[!&amp;B"</f>
        <v>#REF!</v>
      </c>
      <c r="CE13" t="e">
        <f>#REF!+"V9[!&amp;C"</f>
        <v>#REF!</v>
      </c>
      <c r="CF13" t="e">
        <f>#REF!+"V9[!&amp;D"</f>
        <v>#REF!</v>
      </c>
      <c r="CG13" t="e">
        <f>#REF!+"V9[!&amp;E"</f>
        <v>#REF!</v>
      </c>
      <c r="CH13" t="e">
        <f>#REF!+"V9[!&amp;F"</f>
        <v>#REF!</v>
      </c>
      <c r="CI13" t="e">
        <f>#REF!+"V9[!&amp;G"</f>
        <v>#REF!</v>
      </c>
      <c r="CJ13" t="e">
        <f>#REF!+"V9[!&amp;H"</f>
        <v>#REF!</v>
      </c>
      <c r="CK13" t="e">
        <f>#REF!+"V9[!&amp;I"</f>
        <v>#REF!</v>
      </c>
      <c r="CL13" t="e">
        <f>#REF!+"V9[!&amp;J"</f>
        <v>#REF!</v>
      </c>
      <c r="CM13" t="e">
        <f>#REF!+"V9[!&amp;K"</f>
        <v>#REF!</v>
      </c>
      <c r="CN13" t="e">
        <f>#REF!+"V9[!&amp;L"</f>
        <v>#REF!</v>
      </c>
      <c r="CO13" t="e">
        <f>#REF!+"V9[!&amp;M"</f>
        <v>#REF!</v>
      </c>
      <c r="CP13" t="e">
        <f>#REF!+"V9[!&amp;N"</f>
        <v>#REF!</v>
      </c>
      <c r="CQ13" t="e">
        <f>#REF!+"V9[!&amp;O"</f>
        <v>#REF!</v>
      </c>
      <c r="CR13" t="e">
        <f>#REF!+"V9[!&amp;P"</f>
        <v>#REF!</v>
      </c>
      <c r="CS13" t="e">
        <f>#REF!+"V9[!&amp;Q"</f>
        <v>#REF!</v>
      </c>
      <c r="CT13" t="e">
        <f>#REF!+"V9[!&amp;R"</f>
        <v>#REF!</v>
      </c>
      <c r="CU13" t="e">
        <f>#REF!+"V9[!&amp;S"</f>
        <v>#REF!</v>
      </c>
      <c r="CV13" t="e">
        <f>#REF!+"V9[!&amp;T"</f>
        <v>#REF!</v>
      </c>
      <c r="CW13" t="e">
        <f>#REF!+"V9[!&amp;U"</f>
        <v>#REF!</v>
      </c>
      <c r="CX13" t="e">
        <f>#REF!+"V9[!&amp;V"</f>
        <v>#REF!</v>
      </c>
      <c r="CY13" t="e">
        <f>#REF!+"V9[!&amp;W"</f>
        <v>#REF!</v>
      </c>
      <c r="CZ13" t="e">
        <f>#REF!+"V9[!&amp;X"</f>
        <v>#REF!</v>
      </c>
      <c r="DA13" t="e">
        <f>#REF!+"V9[!&amp;Y"</f>
        <v>#REF!</v>
      </c>
      <c r="DB13" t="e">
        <f>#REF!+"V9[!&amp;Z"</f>
        <v>#REF!</v>
      </c>
      <c r="DC13" t="e">
        <f>#REF!+"V9[!&amp;["</f>
        <v>#REF!</v>
      </c>
      <c r="DD13" t="e">
        <f>#REF!+"V9[!&amp;\"</f>
        <v>#REF!</v>
      </c>
      <c r="DE13" t="e">
        <f>#REF!+"V9[!&amp;]"</f>
        <v>#REF!</v>
      </c>
      <c r="DF13" t="e">
        <f>#REF!+"V9[!&amp;^"</f>
        <v>#REF!</v>
      </c>
      <c r="DG13" t="e">
        <f>#REF!+"V9[!&amp;_"</f>
        <v>#REF!</v>
      </c>
      <c r="DH13" t="e">
        <f>#REF!+"V9[!&amp;`"</f>
        <v>#REF!</v>
      </c>
      <c r="DI13" t="e">
        <f>#REF!+"V9[!&amp;a"</f>
        <v>#REF!</v>
      </c>
      <c r="DJ13" t="e">
        <f>#REF!+"V9[!&amp;b"</f>
        <v>#REF!</v>
      </c>
      <c r="DK13" t="e">
        <f>#REF!+"V9[!&amp;c"</f>
        <v>#REF!</v>
      </c>
      <c r="DL13" t="e">
        <f>#REF!+"V9[!&amp;d"</f>
        <v>#REF!</v>
      </c>
      <c r="DM13" t="e">
        <f>#REF!+"V9[!&amp;e"</f>
        <v>#REF!</v>
      </c>
      <c r="DN13" t="e">
        <f>#REF!+"V9[!&amp;f"</f>
        <v>#REF!</v>
      </c>
      <c r="DO13" t="e">
        <f>#REF!+"V9[!&amp;g"</f>
        <v>#REF!</v>
      </c>
      <c r="DP13" t="e">
        <f>#REF!+"V9[!&amp;h"</f>
        <v>#REF!</v>
      </c>
      <c r="DQ13" t="e">
        <f>#REF!+"V9[!&amp;i"</f>
        <v>#REF!</v>
      </c>
      <c r="DR13" t="e">
        <f>#REF!+"V9[!&amp;j"</f>
        <v>#REF!</v>
      </c>
      <c r="DS13" t="e">
        <f>#REF!+"V9[!&amp;k"</f>
        <v>#REF!</v>
      </c>
      <c r="DT13" t="e">
        <f>#REF!+"V9[!&amp;l"</f>
        <v>#REF!</v>
      </c>
      <c r="DU13" t="e">
        <f>#REF!+"V9[!&amp;m"</f>
        <v>#REF!</v>
      </c>
      <c r="DV13" t="e">
        <f>#REF!+"V9[!&amp;n"</f>
        <v>#REF!</v>
      </c>
      <c r="DW13" t="e">
        <f>#REF!+"V9[!&amp;o"</f>
        <v>#REF!</v>
      </c>
      <c r="DX13" t="e">
        <f>#REF!+"V9[!&amp;p"</f>
        <v>#REF!</v>
      </c>
      <c r="DY13" t="e">
        <f>#REF!+"V9[!&amp;q"</f>
        <v>#REF!</v>
      </c>
      <c r="DZ13" t="e">
        <f>#REF!+"V9[!&amp;r"</f>
        <v>#REF!</v>
      </c>
      <c r="EA13" t="e">
        <f>#REF!+"V9[!&amp;s"</f>
        <v>#REF!</v>
      </c>
      <c r="EB13" t="e">
        <f>#REF!+"V9[!&amp;t"</f>
        <v>#REF!</v>
      </c>
      <c r="EC13" t="e">
        <f>#REF!+"V9[!&amp;u"</f>
        <v>#REF!</v>
      </c>
      <c r="ED13" t="e">
        <f>#REF!+"V9[!&amp;v"</f>
        <v>#REF!</v>
      </c>
      <c r="EE13" t="e">
        <f>#REF!+"V9[!&amp;w"</f>
        <v>#REF!</v>
      </c>
      <c r="EF13" t="e">
        <f>#REF!+"V9[!&amp;x"</f>
        <v>#REF!</v>
      </c>
      <c r="EG13" t="e">
        <f>#REF!+"V9[!&amp;y"</f>
        <v>#REF!</v>
      </c>
      <c r="EH13" t="e">
        <f>#REF!+"V9[!&amp;z"</f>
        <v>#REF!</v>
      </c>
      <c r="EI13" t="e">
        <f>#REF!+"V9[!&amp;{"</f>
        <v>#REF!</v>
      </c>
      <c r="EJ13" t="e">
        <f>#REF!+"V9[!&amp;|"</f>
        <v>#REF!</v>
      </c>
      <c r="EK13" t="e">
        <f>#REF!+"V9[!&amp;}"</f>
        <v>#REF!</v>
      </c>
      <c r="EL13" t="e">
        <f>#REF!+"V9[!&amp;~"</f>
        <v>#REF!</v>
      </c>
      <c r="EM13" t="e">
        <f>#REF!+"V9[!'#"</f>
        <v>#REF!</v>
      </c>
      <c r="EN13" t="e">
        <f>#REF!+"V9[!'$"</f>
        <v>#REF!</v>
      </c>
      <c r="EO13" t="e">
        <f>#REF!+"V9[!'%"</f>
        <v>#REF!</v>
      </c>
      <c r="EP13" t="e">
        <f>#REF!+"V9[!'&amp;"</f>
        <v>#REF!</v>
      </c>
      <c r="EQ13" t="e">
        <f>#REF!+"V9[!''"</f>
        <v>#REF!</v>
      </c>
      <c r="ER13" t="e">
        <f>#REF!+"V9[!'("</f>
        <v>#REF!</v>
      </c>
      <c r="ES13" t="e">
        <f>#REF!+"V9[!')"</f>
        <v>#REF!</v>
      </c>
      <c r="ET13" t="e">
        <f>#REF!+"V9[!'."</f>
        <v>#REF!</v>
      </c>
      <c r="EU13" t="e">
        <f>#REF!+"V9[!'/"</f>
        <v>#REF!</v>
      </c>
      <c r="EV13" t="e">
        <f>#REF!+"V9[!'0"</f>
        <v>#REF!</v>
      </c>
      <c r="EW13" t="e">
        <f>#REF!+"V9[!'1"</f>
        <v>#REF!</v>
      </c>
      <c r="EX13" t="e">
        <f>#REF!+"V9[!'2"</f>
        <v>#REF!</v>
      </c>
      <c r="EY13" t="e">
        <f>#REF!+"V9[!'3"</f>
        <v>#REF!</v>
      </c>
      <c r="EZ13" t="e">
        <f>#REF!+"V9[!'4"</f>
        <v>#REF!</v>
      </c>
      <c r="FA13" t="e">
        <f>#REF!+"V9[!'5"</f>
        <v>#REF!</v>
      </c>
      <c r="FB13" t="e">
        <f>#REF!+"V9[!'6"</f>
        <v>#REF!</v>
      </c>
      <c r="FC13" t="e">
        <f>#REF!+"V9[!'7"</f>
        <v>#REF!</v>
      </c>
      <c r="FD13" t="e">
        <f>#REF!+"V9[!'8"</f>
        <v>#REF!</v>
      </c>
      <c r="FE13" t="e">
        <f>#REF!+"V9[!'9"</f>
        <v>#REF!</v>
      </c>
      <c r="FF13" t="e">
        <f>#REF!+"V9[!':"</f>
        <v>#REF!</v>
      </c>
      <c r="FG13" t="e">
        <f>#REF!+"V9[!';"</f>
        <v>#REF!</v>
      </c>
      <c r="FH13" t="e">
        <f>#REF!+"V9[!'&lt;"</f>
        <v>#REF!</v>
      </c>
      <c r="FI13" t="e">
        <f>#REF!+"V9[!'="</f>
        <v>#REF!</v>
      </c>
      <c r="FJ13" t="e">
        <f>#REF!+"V9[!'&gt;"</f>
        <v>#REF!</v>
      </c>
      <c r="FK13" t="e">
        <f>#REF!+"V9[!'?"</f>
        <v>#REF!</v>
      </c>
      <c r="FL13" t="e">
        <f>#REF!+"V9[!'@"</f>
        <v>#REF!</v>
      </c>
      <c r="FM13" t="e">
        <f>#REF!+"V9[!'A"</f>
        <v>#REF!</v>
      </c>
      <c r="FN13" t="e">
        <f>#REF!+"V9[!'B"</f>
        <v>#REF!</v>
      </c>
      <c r="FO13" t="e">
        <f>#REF!+"V9[!'C"</f>
        <v>#REF!</v>
      </c>
      <c r="FP13" t="e">
        <f>#REF!+"V9[!'D"</f>
        <v>#REF!</v>
      </c>
      <c r="FQ13" t="e">
        <f>#REF!+"V9[!'E"</f>
        <v>#REF!</v>
      </c>
      <c r="FR13" t="e">
        <f>#REF!+"V9[!'F"</f>
        <v>#REF!</v>
      </c>
      <c r="FS13" t="e">
        <f>#REF!+"V9[!'G"</f>
        <v>#REF!</v>
      </c>
      <c r="FT13" t="e">
        <f>#REF!+"V9[!'H"</f>
        <v>#REF!</v>
      </c>
      <c r="FU13" t="e">
        <f>#REF!+"V9[!'I"</f>
        <v>#REF!</v>
      </c>
      <c r="FV13" t="e">
        <f>#REF!+"V9[!'J"</f>
        <v>#REF!</v>
      </c>
      <c r="FW13" t="e">
        <f>#REF!+"V9[!'K"</f>
        <v>#REF!</v>
      </c>
      <c r="FX13" t="e">
        <f>#REF!+"V9[!'L"</f>
        <v>#REF!</v>
      </c>
      <c r="FY13" t="e">
        <f>#REF!+"V9[!'M"</f>
        <v>#REF!</v>
      </c>
      <c r="FZ13" t="e">
        <f>#REF!+"V9[!'N"</f>
        <v>#REF!</v>
      </c>
      <c r="GA13" t="e">
        <f>#REF!+"V9[!'O"</f>
        <v>#REF!</v>
      </c>
      <c r="GB13" t="e">
        <f>#REF!+"V9[!'P"</f>
        <v>#REF!</v>
      </c>
      <c r="GC13" t="e">
        <f>#REF!+"V9[!'Q"</f>
        <v>#REF!</v>
      </c>
      <c r="GD13" t="e">
        <f>#REF!+"V9[!'R"</f>
        <v>#REF!</v>
      </c>
      <c r="GE13" t="e">
        <f>#REF!+"V9[!'S"</f>
        <v>#REF!</v>
      </c>
      <c r="GF13" t="e">
        <f>#REF!+"V9[!'T"</f>
        <v>#REF!</v>
      </c>
      <c r="GG13" t="e">
        <f>#REF!+"V9[!'U"</f>
        <v>#REF!</v>
      </c>
      <c r="GH13" t="e">
        <f>#REF!+"V9[!'V"</f>
        <v>#REF!</v>
      </c>
      <c r="GI13" t="e">
        <f>#REF!+"V9[!'W"</f>
        <v>#REF!</v>
      </c>
      <c r="GJ13" t="e">
        <f>#REF!+"V9[!'X"</f>
        <v>#REF!</v>
      </c>
      <c r="GK13" t="e">
        <f>#REF!+"V9[!'Y"</f>
        <v>#REF!</v>
      </c>
      <c r="GL13" t="e">
        <f>#REF!+"V9[!'Z"</f>
        <v>#REF!</v>
      </c>
      <c r="GM13" t="e">
        <f>#REF!+"V9[!'["</f>
        <v>#REF!</v>
      </c>
      <c r="GN13" t="e">
        <f>#REF!+"V9[!'\"</f>
        <v>#REF!</v>
      </c>
      <c r="GO13" t="e">
        <f>#REF!+"V9[!']"</f>
        <v>#REF!</v>
      </c>
      <c r="GP13" t="e">
        <f>#REF!+"V9[!'^"</f>
        <v>#REF!</v>
      </c>
      <c r="GQ13" t="e">
        <f>#REF!+"V9[!'_"</f>
        <v>#REF!</v>
      </c>
      <c r="GR13" t="e">
        <f>#REF!+"V9[!'`"</f>
        <v>#REF!</v>
      </c>
      <c r="GS13" t="e">
        <f>#REF!+"V9[!'a"</f>
        <v>#REF!</v>
      </c>
      <c r="GT13" t="e">
        <f>#REF!+"V9[!'b"</f>
        <v>#REF!</v>
      </c>
      <c r="GU13" t="e">
        <f>#REF!+"V9[!'c"</f>
        <v>#REF!</v>
      </c>
      <c r="GV13" t="e">
        <f>#REF!+"V9[!'d"</f>
        <v>#REF!</v>
      </c>
      <c r="GW13" t="e">
        <f>#REF!+"V9[!'e"</f>
        <v>#REF!</v>
      </c>
      <c r="GX13" t="e">
        <f>#REF!+"V9[!'f"</f>
        <v>#REF!</v>
      </c>
      <c r="GY13" t="e">
        <f>#REF!+"V9[!'g"</f>
        <v>#REF!</v>
      </c>
      <c r="GZ13" t="e">
        <f>#REF!+"V9[!'h"</f>
        <v>#REF!</v>
      </c>
      <c r="HA13" t="e">
        <f>#REF!+"V9[!'i"</f>
        <v>#REF!</v>
      </c>
      <c r="HB13" t="e">
        <f>#REF!+"V9[!'j"</f>
        <v>#REF!</v>
      </c>
      <c r="HC13" t="e">
        <f>#REF!+"V9[!'k"</f>
        <v>#REF!</v>
      </c>
      <c r="HD13" t="e">
        <f>#REF!+"V9[!'l"</f>
        <v>#REF!</v>
      </c>
      <c r="HE13" t="e">
        <f>#REF!+"V9[!'m"</f>
        <v>#REF!</v>
      </c>
      <c r="HF13" t="e">
        <f>#REF!+"V9[!'n"</f>
        <v>#REF!</v>
      </c>
      <c r="HG13" t="e">
        <f>#REF!+"V9[!'o"</f>
        <v>#REF!</v>
      </c>
      <c r="HH13" t="e">
        <f>#REF!+"V9[!'p"</f>
        <v>#REF!</v>
      </c>
      <c r="HI13" t="e">
        <f>#REF!+"V9[!'q"</f>
        <v>#REF!</v>
      </c>
      <c r="HJ13" t="e">
        <f>#REF!+"V9[!'r"</f>
        <v>#REF!</v>
      </c>
      <c r="HK13" t="e">
        <f>#REF!+"V9[!'s"</f>
        <v>#REF!</v>
      </c>
      <c r="HL13" t="e">
        <f>#REF!+"V9[!'t"</f>
        <v>#REF!</v>
      </c>
      <c r="HM13" t="e">
        <f>#REF!+"V9[!'u"</f>
        <v>#REF!</v>
      </c>
      <c r="HN13" t="e">
        <f>#REF!+"V9[!'v"</f>
        <v>#REF!</v>
      </c>
      <c r="HO13" t="e">
        <f>#REF!+"V9[!'w"</f>
        <v>#REF!</v>
      </c>
      <c r="HP13" t="e">
        <f>#REF!+"V9[!'x"</f>
        <v>#REF!</v>
      </c>
      <c r="HQ13" t="e">
        <f>#REF!+"V9[!'y"</f>
        <v>#REF!</v>
      </c>
      <c r="HR13" t="e">
        <f>#REF!+"V9[!'z"</f>
        <v>#REF!</v>
      </c>
      <c r="HS13" t="e">
        <f>#REF!+"V9[!'{"</f>
        <v>#REF!</v>
      </c>
      <c r="HT13" t="e">
        <f>#REF!+"V9[!'|"</f>
        <v>#REF!</v>
      </c>
      <c r="HU13" t="e">
        <f>#REF!+"V9[!'}"</f>
        <v>#REF!</v>
      </c>
      <c r="HV13" t="e">
        <f>#REF!+"V9[!'~"</f>
        <v>#REF!</v>
      </c>
      <c r="HW13" t="e">
        <f>#REF!+"V9[!(#"</f>
        <v>#REF!</v>
      </c>
      <c r="HX13" t="e">
        <f>#REF!+"V9[!($"</f>
        <v>#REF!</v>
      </c>
      <c r="HY13" t="e">
        <f>#REF!+"V9[!(%"</f>
        <v>#REF!</v>
      </c>
      <c r="HZ13" t="e">
        <f>#REF!+"V9[!(&amp;"</f>
        <v>#REF!</v>
      </c>
      <c r="IA13" t="e">
        <f>#REF!+"V9[!('"</f>
        <v>#REF!</v>
      </c>
      <c r="IB13" t="e">
        <f>#REF!+"V9[!(("</f>
        <v>#REF!</v>
      </c>
      <c r="IC13" t="e">
        <f>#REF!+"V9[!()"</f>
        <v>#REF!</v>
      </c>
      <c r="ID13" t="e">
        <f>#REF!+"V9[!(."</f>
        <v>#REF!</v>
      </c>
      <c r="IE13" t="e">
        <f>#REF!+"V9[!(/"</f>
        <v>#REF!</v>
      </c>
      <c r="IF13" t="e">
        <f>#REF!+"V9[!(0"</f>
        <v>#REF!</v>
      </c>
      <c r="IG13" t="e">
        <f>#REF!+"V9[!(1"</f>
        <v>#REF!</v>
      </c>
      <c r="IH13" t="e">
        <f>#REF!+"V9[!(2"</f>
        <v>#REF!</v>
      </c>
      <c r="II13" t="e">
        <f>#REF!+"V9[!(3"</f>
        <v>#REF!</v>
      </c>
      <c r="IJ13" t="e">
        <f>#REF!+"V9[!(4"</f>
        <v>#REF!</v>
      </c>
      <c r="IK13" t="e">
        <f>#REF!+"V9[!(5"</f>
        <v>#REF!</v>
      </c>
      <c r="IL13" t="e">
        <f>#REF!+"V9[!(6"</f>
        <v>#REF!</v>
      </c>
      <c r="IM13" t="e">
        <f>#REF!+"V9[!(7"</f>
        <v>#REF!</v>
      </c>
      <c r="IN13" t="e">
        <f>#REF!+"V9[!(8"</f>
        <v>#REF!</v>
      </c>
      <c r="IO13" t="e">
        <f>#REF!+"V9[!(9"</f>
        <v>#REF!</v>
      </c>
      <c r="IP13" t="e">
        <f>#REF!+"V9[!(:"</f>
        <v>#REF!</v>
      </c>
      <c r="IQ13" t="e">
        <f>#REF!+"V9[!(;"</f>
        <v>#REF!</v>
      </c>
      <c r="IR13" t="e">
        <f>#REF!+"V9[!(&lt;"</f>
        <v>#REF!</v>
      </c>
      <c r="IS13" t="e">
        <f>#REF!+"V9[!(="</f>
        <v>#REF!</v>
      </c>
      <c r="IT13" t="e">
        <f>#REF!+"V9[!(&gt;"</f>
        <v>#REF!</v>
      </c>
      <c r="IU13" t="e">
        <f>#REF!+"V9[!(?"</f>
        <v>#REF!</v>
      </c>
      <c r="IV13" t="e">
        <f>#REF!+"V9[!(@"</f>
        <v>#REF!</v>
      </c>
    </row>
    <row r="14" spans="1:256" x14ac:dyDescent="0.25">
      <c r="A14" t="s">
        <v>66</v>
      </c>
      <c r="F14" t="e">
        <f>#REF!+"V9[!(A"</f>
        <v>#REF!</v>
      </c>
      <c r="G14" t="e">
        <f>#REF!+"V9[!(B"</f>
        <v>#REF!</v>
      </c>
      <c r="H14" t="e">
        <f>#REF!+"V9[!(C"</f>
        <v>#REF!</v>
      </c>
      <c r="I14" t="e">
        <f>#REF!+"V9[!(D"</f>
        <v>#REF!</v>
      </c>
      <c r="J14" t="e">
        <f>#REF!+"V9[!(E"</f>
        <v>#REF!</v>
      </c>
      <c r="K14" t="e">
        <f>#REF!+"V9[!(F"</f>
        <v>#REF!</v>
      </c>
      <c r="L14" t="e">
        <f>#REF!+"V9[!(G"</f>
        <v>#REF!</v>
      </c>
      <c r="M14" t="e">
        <f>#REF!+"V9[!(H"</f>
        <v>#REF!</v>
      </c>
      <c r="N14" t="e">
        <f>#REF!+"V9[!(I"</f>
        <v>#REF!</v>
      </c>
      <c r="O14" t="e">
        <f>#REF!+"V9[!(J"</f>
        <v>#REF!</v>
      </c>
      <c r="P14" t="e">
        <f>#REF!+"V9[!(K"</f>
        <v>#REF!</v>
      </c>
      <c r="Q14" t="e">
        <f>#REF!+"V9[!(L"</f>
        <v>#REF!</v>
      </c>
      <c r="R14" t="e">
        <f>#REF!+"V9[!(M"</f>
        <v>#REF!</v>
      </c>
      <c r="S14" t="e">
        <f>#REF!+"V9[!(N"</f>
        <v>#REF!</v>
      </c>
      <c r="T14" t="e">
        <f>#REF!+"V9[!(O"</f>
        <v>#REF!</v>
      </c>
      <c r="U14" t="e">
        <f>#REF!+"V9[!(P"</f>
        <v>#REF!</v>
      </c>
      <c r="V14" t="e">
        <f>#REF!+"V9[!(Q"</f>
        <v>#REF!</v>
      </c>
      <c r="W14" t="e">
        <f>#REF!+"V9[!(R"</f>
        <v>#REF!</v>
      </c>
      <c r="X14" t="e">
        <f>#REF!+"V9[!(S"</f>
        <v>#REF!</v>
      </c>
      <c r="Y14" t="e">
        <f>#REF!+"V9[!(T"</f>
        <v>#REF!</v>
      </c>
      <c r="Z14" t="e">
        <f>#REF!+"V9[!(U"</f>
        <v>#REF!</v>
      </c>
      <c r="AA14" t="e">
        <f>#REF!+"V9[!(V"</f>
        <v>#REF!</v>
      </c>
      <c r="AB14" t="e">
        <f>#REF!+"V9[!(W"</f>
        <v>#REF!</v>
      </c>
      <c r="AC14" t="e">
        <f>#REF!+"V9[!(X"</f>
        <v>#REF!</v>
      </c>
      <c r="AD14" t="e">
        <f>#REF!+"V9[!(Y"</f>
        <v>#REF!</v>
      </c>
      <c r="AE14" t="e">
        <f>#REF!+"V9[!(Z"</f>
        <v>#REF!</v>
      </c>
      <c r="AF14" t="e">
        <f>#REF!+"V9[!(["</f>
        <v>#REF!</v>
      </c>
      <c r="AG14" t="e">
        <f>#REF!+"V9[!(\"</f>
        <v>#REF!</v>
      </c>
      <c r="AH14" t="e">
        <f>#REF!+"V9[!(]"</f>
        <v>#REF!</v>
      </c>
      <c r="AI14" t="e">
        <f>#REF!+"V9[!(^"</f>
        <v>#REF!</v>
      </c>
      <c r="AJ14" t="e">
        <f>#REF!+"V9[!(_"</f>
        <v>#REF!</v>
      </c>
      <c r="AK14" t="e">
        <f>#REF!+"V9[!(`"</f>
        <v>#REF!</v>
      </c>
      <c r="AL14" t="e">
        <f>#REF!+"V9[!(a"</f>
        <v>#REF!</v>
      </c>
      <c r="AM14" t="e">
        <f>#REF!+"V9[!(b"</f>
        <v>#REF!</v>
      </c>
      <c r="AN14" t="e">
        <f>#REF!+"V9[!(c"</f>
        <v>#REF!</v>
      </c>
      <c r="AO14" t="e">
        <f>#REF!+"V9[!(d"</f>
        <v>#REF!</v>
      </c>
      <c r="AP14" t="e">
        <f>#REF!+"V9[!(e"</f>
        <v>#REF!</v>
      </c>
      <c r="AQ14" t="e">
        <f>#REF!+"V9[!(f"</f>
        <v>#REF!</v>
      </c>
      <c r="AR14" t="e">
        <f>#REF!+"V9[!(g"</f>
        <v>#REF!</v>
      </c>
      <c r="AS14" t="e">
        <f>#REF!+"V9[!(h"</f>
        <v>#REF!</v>
      </c>
      <c r="AT14" t="e">
        <f>#REF!+"V9[!(i"</f>
        <v>#REF!</v>
      </c>
      <c r="AU14" t="e">
        <f>#REF!+"V9[!(j"</f>
        <v>#REF!</v>
      </c>
      <c r="AV14" t="e">
        <f>#REF!+"V9[!(k"</f>
        <v>#REF!</v>
      </c>
      <c r="AW14" t="e">
        <f>#REF!+"V9[!(l"</f>
        <v>#REF!</v>
      </c>
      <c r="AX14" t="e">
        <f>#REF!+"V9[!(m"</f>
        <v>#REF!</v>
      </c>
      <c r="AY14" t="e">
        <f>#REF!+"V9[!(n"</f>
        <v>#REF!</v>
      </c>
      <c r="AZ14" t="e">
        <f>#REF!+"V9[!(o"</f>
        <v>#REF!</v>
      </c>
      <c r="BA14" t="e">
        <f>#REF!+"V9[!(p"</f>
        <v>#REF!</v>
      </c>
      <c r="BB14" t="e">
        <f>#REF!+"V9[!(q"</f>
        <v>#REF!</v>
      </c>
      <c r="BC14" t="e">
        <f>#REF!+"V9[!(r"</f>
        <v>#REF!</v>
      </c>
      <c r="BD14" t="e">
        <f>#REF!+"V9[!(s"</f>
        <v>#REF!</v>
      </c>
      <c r="BE14" t="e">
        <f>#REF!+"V9[!(t"</f>
        <v>#REF!</v>
      </c>
      <c r="BF14" t="e">
        <f>#REF!+"V9[!(u"</f>
        <v>#REF!</v>
      </c>
      <c r="BG14" t="e">
        <f>#REF!+"V9[!(v"</f>
        <v>#REF!</v>
      </c>
      <c r="BH14" t="e">
        <f>#REF!+"V9[!(w"</f>
        <v>#REF!</v>
      </c>
      <c r="BI14" t="e">
        <f>#REF!+"V9[!(x"</f>
        <v>#REF!</v>
      </c>
      <c r="BJ14" t="e">
        <f>#REF!+"V9[!(y"</f>
        <v>#REF!</v>
      </c>
      <c r="BK14" t="e">
        <f>#REF!+"V9[!(z"</f>
        <v>#REF!</v>
      </c>
      <c r="BL14" t="e">
        <f>#REF!+"V9[!({"</f>
        <v>#REF!</v>
      </c>
      <c r="BM14" t="e">
        <f>#REF!+"V9[!(|"</f>
        <v>#REF!</v>
      </c>
      <c r="BN14" t="e">
        <f>#REF!+"V9[!(}"</f>
        <v>#REF!</v>
      </c>
      <c r="BO14" t="e">
        <f>#REF!+"V9[!(~"</f>
        <v>#REF!</v>
      </c>
      <c r="BP14" t="e">
        <f>#REF!+"V9[!)#"</f>
        <v>#REF!</v>
      </c>
      <c r="BQ14" t="e">
        <f>#REF!+"V9[!)$"</f>
        <v>#REF!</v>
      </c>
      <c r="BR14" t="e">
        <f>#REF!+"V9[!)%"</f>
        <v>#REF!</v>
      </c>
      <c r="BS14" t="e">
        <f>#REF!+"V9[!)&amp;"</f>
        <v>#REF!</v>
      </c>
      <c r="BT14" t="e">
        <f>#REF!+"V9[!)'"</f>
        <v>#REF!</v>
      </c>
      <c r="BU14" t="e">
        <f>#REF!+"V9[!)("</f>
        <v>#REF!</v>
      </c>
      <c r="BV14" t="e">
        <f>#REF!+"V9[!))"</f>
        <v>#REF!</v>
      </c>
      <c r="BW14" t="e">
        <f>#REF!+"V9[!)."</f>
        <v>#REF!</v>
      </c>
      <c r="BX14" t="e">
        <f>#REF!+"V9[!)/"</f>
        <v>#REF!</v>
      </c>
      <c r="BY14" t="e">
        <f>#REF!+"V9[!)0"</f>
        <v>#REF!</v>
      </c>
      <c r="BZ14" t="e">
        <f>#REF!+"V9[!)1"</f>
        <v>#REF!</v>
      </c>
      <c r="CA14" t="e">
        <f>#REF!+"V9[!)2"</f>
        <v>#REF!</v>
      </c>
      <c r="CB14" t="e">
        <f>#REF!+"V9[!)3"</f>
        <v>#REF!</v>
      </c>
      <c r="CC14" t="e">
        <f>#REF!+"V9[!)4"</f>
        <v>#REF!</v>
      </c>
      <c r="CD14" t="e">
        <f>#REF!+"V9[!)5"</f>
        <v>#REF!</v>
      </c>
      <c r="CE14" t="e">
        <f>#REF!+"V9[!)6"</f>
        <v>#REF!</v>
      </c>
      <c r="CF14" t="e">
        <f>#REF!+"V9[!)7"</f>
        <v>#REF!</v>
      </c>
      <c r="CG14" t="e">
        <f>#REF!+"V9[!)8"</f>
        <v>#REF!</v>
      </c>
      <c r="CH14" t="e">
        <f>#REF!+"V9[!)9"</f>
        <v>#REF!</v>
      </c>
      <c r="CI14" t="e">
        <f>#REF!+"V9[!):"</f>
        <v>#REF!</v>
      </c>
      <c r="CJ14" t="e">
        <f>#REF!+"V9[!);"</f>
        <v>#REF!</v>
      </c>
      <c r="CK14" t="e">
        <f>#REF!+"V9[!)&lt;"</f>
        <v>#REF!</v>
      </c>
      <c r="CL14" t="e">
        <f>#REF!+"V9[!)="</f>
        <v>#REF!</v>
      </c>
      <c r="CM14" t="e">
        <f>#REF!+"V9[!)&gt;"</f>
        <v>#REF!</v>
      </c>
      <c r="CN14" t="e">
        <f>#REF!+"V9[!)?"</f>
        <v>#REF!</v>
      </c>
      <c r="CO14" t="e">
        <f>#REF!+"V9[!)@"</f>
        <v>#REF!</v>
      </c>
      <c r="CP14" t="e">
        <f>#REF!+"V9[!)A"</f>
        <v>#REF!</v>
      </c>
      <c r="CQ14" t="e">
        <f>#REF!+"V9[!)B"</f>
        <v>#REF!</v>
      </c>
      <c r="CR14" t="e">
        <f>#REF!+"V9[!)C"</f>
        <v>#REF!</v>
      </c>
      <c r="CS14" t="e">
        <f>#REF!+"V9[!)D"</f>
        <v>#REF!</v>
      </c>
      <c r="CT14" t="e">
        <f>#REF!+"V9[!)E"</f>
        <v>#REF!</v>
      </c>
      <c r="CU14" t="e">
        <f>#REF!+"V9[!)F"</f>
        <v>#REF!</v>
      </c>
      <c r="CV14" t="e">
        <f>#REF!+"V9[!)G"</f>
        <v>#REF!</v>
      </c>
      <c r="CW14" t="e">
        <f>#REF!+"V9[!)H"</f>
        <v>#REF!</v>
      </c>
      <c r="CX14" t="e">
        <f>#REF!+"V9[!)I"</f>
        <v>#REF!</v>
      </c>
      <c r="CY14" t="e">
        <f>#REF!+"V9[!)J"</f>
        <v>#REF!</v>
      </c>
      <c r="CZ14" t="e">
        <f>#REF!+"V9[!)K"</f>
        <v>#REF!</v>
      </c>
      <c r="DA14" t="e">
        <f>#REF!+"V9[!)L"</f>
        <v>#REF!</v>
      </c>
      <c r="DB14" t="e">
        <f>#REF!+"V9[!)M"</f>
        <v>#REF!</v>
      </c>
      <c r="DC14" t="e">
        <f>#REF!+"V9[!)N"</f>
        <v>#REF!</v>
      </c>
      <c r="DD14" t="e">
        <f>#REF!+"V9[!)O"</f>
        <v>#REF!</v>
      </c>
      <c r="DE14" t="e">
        <f>#REF!+"V9[!)P"</f>
        <v>#REF!</v>
      </c>
      <c r="DF14" t="e">
        <f>#REF!+"V9[!)Q"</f>
        <v>#REF!</v>
      </c>
      <c r="DG14" t="e">
        <f>#REF!+"V9[!)R"</f>
        <v>#REF!</v>
      </c>
      <c r="DH14" t="e">
        <f>#REF!+"V9[!)S"</f>
        <v>#REF!</v>
      </c>
      <c r="DI14" t="e">
        <f>#REF!+"V9[!)T"</f>
        <v>#REF!</v>
      </c>
      <c r="DJ14" t="e">
        <f>#REF!+"V9[!)U"</f>
        <v>#REF!</v>
      </c>
      <c r="DK14" t="e">
        <f>#REF!+"V9[!)V"</f>
        <v>#REF!</v>
      </c>
      <c r="DL14" t="e">
        <f>#REF!+"V9[!)W"</f>
        <v>#REF!</v>
      </c>
      <c r="DM14" t="e">
        <f>#REF!+"V9[!)X"</f>
        <v>#REF!</v>
      </c>
      <c r="DN14" t="e">
        <f>#REF!+"V9[!)Y"</f>
        <v>#REF!</v>
      </c>
      <c r="DO14" t="e">
        <f>#REF!+"V9[!)Z"</f>
        <v>#REF!</v>
      </c>
      <c r="DP14" t="e">
        <f>#REF!+"V9[!)["</f>
        <v>#REF!</v>
      </c>
      <c r="DQ14" t="e">
        <f>#REF!+"V9[!)\"</f>
        <v>#REF!</v>
      </c>
      <c r="DR14" t="e">
        <f>#REF!+"V9[!)]"</f>
        <v>#REF!</v>
      </c>
      <c r="DS14" t="e">
        <f>#REF!+"V9[!)^"</f>
        <v>#REF!</v>
      </c>
      <c r="DT14" t="e">
        <f>#REF!+"V9[!)_"</f>
        <v>#REF!</v>
      </c>
      <c r="DU14" t="e">
        <f>#REF!+"V9[!)`"</f>
        <v>#REF!</v>
      </c>
      <c r="DV14" t="e">
        <f>#REF!+"V9[!)a"</f>
        <v>#REF!</v>
      </c>
      <c r="DW14" t="e">
        <f>#REF!+"V9[!)b"</f>
        <v>#REF!</v>
      </c>
      <c r="DX14" t="e">
        <f>#REF!+"dm/!%"</f>
        <v>#REF!</v>
      </c>
      <c r="DY14" t="e">
        <f>#REF!+"dm/!&amp;"</f>
        <v>#REF!</v>
      </c>
      <c r="DZ14" t="e">
        <f>#REF!+"dm/!'"</f>
        <v>#REF!</v>
      </c>
      <c r="EA14" t="e">
        <f>#REF!+"dm/!("</f>
        <v>#REF!</v>
      </c>
      <c r="EB14" t="e">
        <f>#REF!+"dm/!)"</f>
        <v>#REF!</v>
      </c>
      <c r="EC14" t="e">
        <f>#REF!+"dm/!."</f>
        <v>#REF!</v>
      </c>
      <c r="ED14" t="e">
        <f>#REF!+"dm/!/"</f>
        <v>#REF!</v>
      </c>
      <c r="EE14" t="e">
        <f>#REF!+"dm/!0"</f>
        <v>#REF!</v>
      </c>
      <c r="EF14" t="e">
        <f>#REF!+"dm/!1"</f>
        <v>#REF!</v>
      </c>
      <c r="EG14" t="e">
        <f>#REF!+"dm/!2"</f>
        <v>#REF!</v>
      </c>
      <c r="EH14" t="e">
        <f>#REF!+"dm/!3"</f>
        <v>#REF!</v>
      </c>
      <c r="EI14" t="e">
        <f>#REF!+"dm/!4"</f>
        <v>#REF!</v>
      </c>
      <c r="EJ14" t="e">
        <f>#REF!+"dm/!5"</f>
        <v>#REF!</v>
      </c>
      <c r="EK14" t="e">
        <f>#REF!+"dm/!6"</f>
        <v>#REF!</v>
      </c>
      <c r="EL14" t="e">
        <f>#REF!+"dm/!7"</f>
        <v>#REF!</v>
      </c>
      <c r="EM14" t="e">
        <f>#REF!+"dm/!8"</f>
        <v>#REF!</v>
      </c>
      <c r="EN14" t="e">
        <f>'Technical Skills Weighting'!B:B*"`FU!%"</f>
        <v>#VALUE!</v>
      </c>
      <c r="EO14" t="e">
        <f>'Technical Skills Weighting'!C:C*"`FU!&amp;"</f>
        <v>#VALUE!</v>
      </c>
      <c r="EP14" t="e">
        <f>'Technical Skills Weighting'!D:D*"`FU!'"</f>
        <v>#VALUE!</v>
      </c>
      <c r="EQ14" t="e">
        <f>'Technical Skills Weighting'!E:E*"`FU!("</f>
        <v>#VALUE!</v>
      </c>
      <c r="ER14" t="e">
        <f>'Technical Skills Weighting'!#REF!*"`FU!)"</f>
        <v>#REF!</v>
      </c>
      <c r="ES14" t="e">
        <f>'Technical Skills Weighting'!#REF!*"`FU!."</f>
        <v>#REF!</v>
      </c>
      <c r="ET14" t="e">
        <f>'Technical Skills Weighting'!#REF!*"`FU!/"</f>
        <v>#REF!</v>
      </c>
      <c r="EU14" t="e">
        <f>'Technical Skills Weighting'!#REF!*"`FU!0"</f>
        <v>#REF!</v>
      </c>
      <c r="EV14" t="e">
        <f>'Technical Skills Weighting'!#REF!*"`FU!1"</f>
        <v>#REF!</v>
      </c>
      <c r="EW14" t="e">
        <f>'Technical Skills Weighting'!#REF!*"`FU!2"</f>
        <v>#REF!</v>
      </c>
      <c r="EX14" t="e">
        <f>'Technical Skills Weighting'!#REF!*"`FU!3"</f>
        <v>#REF!</v>
      </c>
      <c r="EY14" t="e">
        <f>'Technical Skills Weighting'!#REF!*"`FU!4"</f>
        <v>#REF!</v>
      </c>
      <c r="EZ14" t="e">
        <f>'Technical Skills Weighting'!#REF!*"`FU!5"</f>
        <v>#REF!</v>
      </c>
      <c r="FA14" t="e">
        <f>'Technical Skills Weighting'!#REF!*"`FU!6"</f>
        <v>#REF!</v>
      </c>
      <c r="FB14" t="e">
        <f>'Technical Skills Weighting'!#REF!*"`FU!7"</f>
        <v>#REF!</v>
      </c>
      <c r="FC14" t="e">
        <f>'Technical Skills Weighting'!#REF!*"`FU!8"</f>
        <v>#REF!</v>
      </c>
      <c r="FD14" t="e">
        <f>'Technical Skills Weighting'!#REF!*"`FU!9"</f>
        <v>#REF!</v>
      </c>
      <c r="FE14" t="e">
        <f>'Technical Skills Weighting'!#REF!*"`FU!:"</f>
        <v>#REF!</v>
      </c>
      <c r="FF14" t="e">
        <f>'Technical Skills Weighting'!#REF!*"`FU!;"</f>
        <v>#REF!</v>
      </c>
      <c r="FG14" t="e">
        <f>'Technical Skills Weighting'!#REF!*"`FU!&lt;"</f>
        <v>#REF!</v>
      </c>
      <c r="FH14" t="e">
        <f>'Technical Skills Weighting'!#REF!*"`FU!="</f>
        <v>#REF!</v>
      </c>
      <c r="FI14" t="e">
        <f>'Technical Skills Weighting'!#REF!*"`FU!&gt;"</f>
        <v>#REF!</v>
      </c>
      <c r="FJ14" t="e">
        <f>'Technical Skills Weighting'!#REF!*"`FU!?"</f>
        <v>#REF!</v>
      </c>
      <c r="FK14" t="e">
        <f>'Technical Skills Weighting'!#REF!*"`FU!@"</f>
        <v>#REF!</v>
      </c>
      <c r="FL14" t="e">
        <f>'Technical Skills Weighting'!#REF!*"`FU!A"</f>
        <v>#REF!</v>
      </c>
      <c r="FM14" t="e">
        <f>'Technical Skills Weighting'!#REF!*"`FU!B"</f>
        <v>#REF!</v>
      </c>
      <c r="FN14" t="e">
        <f>'Technical Skills Weighting'!#REF!*"`FU!C"</f>
        <v>#REF!</v>
      </c>
      <c r="FO14" t="e">
        <f>'Technical Skills Weighting'!#REF!*"`FU!D"</f>
        <v>#REF!</v>
      </c>
      <c r="FP14" t="e">
        <f>'Technical Skills Weighting'!#REF!*"`FU!E"</f>
        <v>#REF!</v>
      </c>
      <c r="FQ14" t="e">
        <f>'Technical Skills Weighting'!#REF!*"`FU!F"</f>
        <v>#REF!</v>
      </c>
      <c r="FR14" t="e">
        <f>'Technical Skills Weighting'!#REF!*"`FU!G"</f>
        <v>#REF!</v>
      </c>
      <c r="FS14" t="e">
        <f>'Technical Skills Weighting'!#REF!*"`FU!H"</f>
        <v>#REF!</v>
      </c>
      <c r="FT14" t="e">
        <f>'Technical Skills Weighting'!#REF!*"`FU!I"</f>
        <v>#REF!</v>
      </c>
      <c r="FU14" t="e">
        <f>'Technical Skills Weighting'!#REF!*"`FU!J"</f>
        <v>#REF!</v>
      </c>
      <c r="FV14" t="e">
        <f>'Technical Skills Weighting'!#REF!*"`FU!K"</f>
        <v>#REF!</v>
      </c>
      <c r="FW14" t="e">
        <f>'Technical Skills Weighting'!#REF!*"`FU!L"</f>
        <v>#REF!</v>
      </c>
      <c r="FX14" t="e">
        <f>'Technical Skills Weighting'!#REF!*"`FU!M"</f>
        <v>#REF!</v>
      </c>
      <c r="FY14" t="e">
        <f>'Technical Skills Weighting'!#REF!*"`FU!N"</f>
        <v>#REF!</v>
      </c>
      <c r="FZ14" t="e">
        <f>'Technical Skills Weighting'!#REF!*"`FU!O"</f>
        <v>#REF!</v>
      </c>
      <c r="GA14" t="e">
        <f>'Technical Skills Weighting'!#REF!*"`FU!P"</f>
        <v>#REF!</v>
      </c>
      <c r="GB14" t="e">
        <f>'Technical Skills Weighting'!#REF!*"`FU!Q"</f>
        <v>#REF!</v>
      </c>
      <c r="GC14" t="e">
        <f>'Technical Skills Weighting'!#REF!*"`FU!R"</f>
        <v>#REF!</v>
      </c>
      <c r="GD14" t="e">
        <f>'Technical Skills Weighting'!#REF!*"`FU!S"</f>
        <v>#REF!</v>
      </c>
      <c r="GE14" t="e">
        <f>'Technical Skills Weighting'!#REF!*"`FU!T"</f>
        <v>#REF!</v>
      </c>
      <c r="GF14" t="e">
        <f>'Technical Skills Weighting'!#REF!*"`FU!U"</f>
        <v>#REF!</v>
      </c>
      <c r="GG14" t="e">
        <f>'Technical Skills Weighting'!#REF!*"`FU!V"</f>
        <v>#REF!</v>
      </c>
      <c r="GH14" t="e">
        <f>'Technical Skills Weighting'!#REF!*"`FU!W"</f>
        <v>#REF!</v>
      </c>
      <c r="GI14" t="e">
        <f>'Technical Skills Weighting'!#REF!*"`FU!X"</f>
        <v>#REF!</v>
      </c>
      <c r="GJ14" t="e">
        <f>'Technical Skills Weighting'!#REF!*"`FU!Y"</f>
        <v>#REF!</v>
      </c>
      <c r="GK14" t="e">
        <f>'Technical Skills Weighting'!F:F*"`FU!Z"</f>
        <v>#VALUE!</v>
      </c>
      <c r="GL14" t="e">
        <f>'Technical Skills Weighting'!G:G*"`FU!["</f>
        <v>#VALUE!</v>
      </c>
      <c r="GM14" t="e">
        <f>'Technical Skills Weighting'!H:H*"`FU!\"</f>
        <v>#VALUE!</v>
      </c>
      <c r="GN14" t="e">
        <f>'Technical Skills Weighting'!I:I*"`FU!]"</f>
        <v>#VALUE!</v>
      </c>
      <c r="GO14" t="e">
        <f>'Technical Skills Weighting'!J:J*"`FU!^"</f>
        <v>#VALUE!</v>
      </c>
      <c r="GP14" t="e">
        <f>'Technical Skills Weighting'!K:K*"`FU!_"</f>
        <v>#VALUE!</v>
      </c>
      <c r="GQ14" t="e">
        <f>'Technical Skills Weighting'!L:L*"`FU!`"</f>
        <v>#VALUE!</v>
      </c>
      <c r="GR14" t="e">
        <f>'Technical Skills Weighting'!M:M*"`FU!a"</f>
        <v>#VALUE!</v>
      </c>
      <c r="GS14" t="e">
        <f>'Technical Skills Weighting'!N:N*"`FU!b"</f>
        <v>#VALUE!</v>
      </c>
      <c r="GT14" t="e">
        <f>'Technical Skills Weighting'!O:O*"`FU!c"</f>
        <v>#VALUE!</v>
      </c>
      <c r="GU14" t="e">
        <f>'Technical Skills Weighting'!P:P*"`FU!d"</f>
        <v>#VALUE!</v>
      </c>
      <c r="GV14" t="e">
        <f>'Technical Skills Weighting'!Q:Q*"`FU!e"</f>
        <v>#VALUE!</v>
      </c>
      <c r="GW14" t="e">
        <f>'Technical Skills Weighting'!R:R*"`FU!f"</f>
        <v>#VALUE!</v>
      </c>
      <c r="GX14" t="e">
        <f>'Technical Skills Weighting'!S:S*"`FU!g"</f>
        <v>#VALUE!</v>
      </c>
      <c r="GY14" t="e">
        <f>'Technical Skills Weighting'!T:T*"`FU!h"</f>
        <v>#VALUE!</v>
      </c>
      <c r="GZ14" t="e">
        <f>'Technical Skills Weighting'!U:U*"`FU!i"</f>
        <v>#VALUE!</v>
      </c>
      <c r="HA14" t="e">
        <f>'Technical Skills Weighting'!V:V*"`FU!j"</f>
        <v>#VALUE!</v>
      </c>
      <c r="HB14" t="e">
        <f>'Technical Skills Weighting'!W:W*"`FU!k"</f>
        <v>#VALUE!</v>
      </c>
      <c r="HC14" t="e">
        <f>'Technical Skills Weighting'!X:X*"`FU!l"</f>
        <v>#VALUE!</v>
      </c>
      <c r="HD14" t="e">
        <f>'Technical Skills Weighting'!Y:Y*"`FU!m"</f>
        <v>#VALUE!</v>
      </c>
      <c r="HE14" t="e">
        <f>'Technical Skills Weighting'!Z:Z*"`FU!n"</f>
        <v>#VALUE!</v>
      </c>
      <c r="HF14" t="e">
        <f>'Technical Skills Weighting'!AA:AA*"`FU!o"</f>
        <v>#VALUE!</v>
      </c>
      <c r="HG14" t="e">
        <f>'Technical Skills Weighting'!AB:AB*"`FU!p"</f>
        <v>#VALUE!</v>
      </c>
      <c r="HH14" t="e">
        <f>'Technical Skills Weighting'!AC:AC*"`FU!q"</f>
        <v>#VALUE!</v>
      </c>
      <c r="HI14" t="e">
        <f>'Technical Skills Weighting'!AD:AD*"`FU!r"</f>
        <v>#VALUE!</v>
      </c>
      <c r="HJ14" t="e">
        <f>'Technical Skills Weighting'!AE:AE*"`FU!s"</f>
        <v>#VALUE!</v>
      </c>
      <c r="HK14" t="e">
        <f>'Technical Skills Weighting'!AF:AF*"`FU!t"</f>
        <v>#VALUE!</v>
      </c>
      <c r="HL14" t="e">
        <f>'Technical Skills Weighting'!AG:AG*"`FU!u"</f>
        <v>#VALUE!</v>
      </c>
      <c r="HM14" t="e">
        <f>'Technical Skills Weighting'!AH:AH*"`FU!v"</f>
        <v>#VALUE!</v>
      </c>
      <c r="HN14" t="e">
        <f>'Technical Skills Weighting'!AI:AI*"`FU!w"</f>
        <v>#VALUE!</v>
      </c>
      <c r="HO14" t="e">
        <f>'Technical Skills Weighting'!AJ:AJ*"`FU!x"</f>
        <v>#VALUE!</v>
      </c>
      <c r="HP14" t="e">
        <f>'Technical Skills Weighting'!AK:AK*"`FU!y"</f>
        <v>#VALUE!</v>
      </c>
      <c r="HQ14" t="e">
        <f>'Technical Skills Weighting'!AL:AL*"`FU!z"</f>
        <v>#VALUE!</v>
      </c>
      <c r="HR14" t="e">
        <f>'Technical Skills Weighting'!AM:AM*"`FU!{"</f>
        <v>#VALUE!</v>
      </c>
      <c r="HS14" t="e">
        <f>'Technical Skills Weighting'!AN:AN*"`FU!|"</f>
        <v>#VALUE!</v>
      </c>
      <c r="HT14" t="e">
        <f>'Technical Skills Weighting'!AO:AO*"`FU!}"</f>
        <v>#VALUE!</v>
      </c>
      <c r="HU14" t="e">
        <f>'Technical Skills Weighting'!AP:AP*"`FU!~"</f>
        <v>#VALUE!</v>
      </c>
      <c r="HV14" t="e">
        <f>'Technical Skills Weighting'!AQ:AQ*"`FU!$#"</f>
        <v>#VALUE!</v>
      </c>
      <c r="HW14" t="e">
        <f>'Technical Skills Weighting'!AR:AR*"`FU!$$"</f>
        <v>#VALUE!</v>
      </c>
      <c r="HX14" t="e">
        <f>'Technical Skills Weighting'!AS:AS*"`FU!$%"</f>
        <v>#VALUE!</v>
      </c>
      <c r="HY14" t="e">
        <f>'Technical Skills Weighting'!AT:AT*"`FU!$&amp;"</f>
        <v>#VALUE!</v>
      </c>
      <c r="HZ14" t="e">
        <f>'Technical Skills Weighting'!AU:AU*"`FU!$'"</f>
        <v>#VALUE!</v>
      </c>
      <c r="IA14" t="e">
        <f>'Technical Skills Weighting'!AV:AV*"`FU!$("</f>
        <v>#VALUE!</v>
      </c>
      <c r="IB14" t="e">
        <f>'Technical Skills Weighting'!AW:AW*"`FU!$)"</f>
        <v>#VALUE!</v>
      </c>
      <c r="IC14" t="e">
        <f>'Technical Skills Weighting'!AX:AX*"`FU!$."</f>
        <v>#VALUE!</v>
      </c>
      <c r="ID14" t="e">
        <f>'Technical Skills Weighting'!AY:AY*"`FU!$/"</f>
        <v>#VALUE!</v>
      </c>
      <c r="IE14" t="e">
        <f>'Technical Skills Weighting'!AZ:AZ*"`FU!$0"</f>
        <v>#VALUE!</v>
      </c>
      <c r="IF14" t="e">
        <f>'Technical Skills Weighting'!BA:BA*"`FU!$1"</f>
        <v>#VALUE!</v>
      </c>
      <c r="IG14" t="e">
        <f>'Technical Skills Weighting'!BB:BB*"`FU!$2"</f>
        <v>#VALUE!</v>
      </c>
      <c r="IH14" t="e">
        <f>'Technical Skills Weighting'!BC:BC*"`FU!$3"</f>
        <v>#VALUE!</v>
      </c>
      <c r="II14" t="e">
        <f>'Technical Skills Weighting'!BD:BD*"`FU!$4"</f>
        <v>#VALUE!</v>
      </c>
      <c r="IJ14" t="e">
        <f>'Technical Skills Weighting'!BE:BE*"`FU!$5"</f>
        <v>#VALUE!</v>
      </c>
      <c r="IK14" t="e">
        <f>'Technical Skills Weighting'!BF:BF*"`FU!$6"</f>
        <v>#VALUE!</v>
      </c>
      <c r="IL14" t="e">
        <f>'Technical Skills Weighting'!BG:BG*"`FU!$7"</f>
        <v>#VALUE!</v>
      </c>
      <c r="IM14" t="e">
        <f>'Technical Skills Weighting'!BH:BH*"`FU!$8"</f>
        <v>#VALUE!</v>
      </c>
      <c r="IN14" t="e">
        <f>'Technical Skills Weighting'!BI:BI*"`FU!$9"</f>
        <v>#VALUE!</v>
      </c>
      <c r="IO14" t="e">
        <f>'Technical Skills Weighting'!BJ:BJ*"`FU!$:"</f>
        <v>#VALUE!</v>
      </c>
      <c r="IP14" t="e">
        <f>'Technical Skills Weighting'!BK:BK*"`FU!$;"</f>
        <v>#VALUE!</v>
      </c>
      <c r="IQ14" t="e">
        <f>'Technical Skills Weighting'!BL:BL*"`FU!$&lt;"</f>
        <v>#VALUE!</v>
      </c>
      <c r="IR14" t="e">
        <f>'Technical Skills Weighting'!BM:BM*"`FU!$="</f>
        <v>#VALUE!</v>
      </c>
      <c r="IS14" t="e">
        <f>'Technical Skills Weighting'!BN:BN*"`FU!$&gt;"</f>
        <v>#VALUE!</v>
      </c>
      <c r="IT14" t="e">
        <f>'Technical Skills Weighting'!BO:BO*"`FU!$?"</f>
        <v>#VALUE!</v>
      </c>
      <c r="IU14" t="e">
        <f>'Technical Skills Weighting'!BP:BP*"`FU!$@"</f>
        <v>#VALUE!</v>
      </c>
      <c r="IV14" t="e">
        <f>'Technical Skills Weighting'!BQ:BQ*"`FU!$A"</f>
        <v>#VALUE!</v>
      </c>
    </row>
    <row r="15" spans="1:256" x14ac:dyDescent="0.25">
      <c r="A15" t="s">
        <v>67</v>
      </c>
      <c r="F15" t="e">
        <f>'Technical Skills Weighting'!BR:BR*"`FU!$B"</f>
        <v>#VALUE!</v>
      </c>
      <c r="G15" t="e">
        <f>'Technical Skills Weighting'!BS:BS*"`FU!$C"</f>
        <v>#VALUE!</v>
      </c>
      <c r="H15" t="e">
        <f>'Technical Skills Weighting'!BT:BT*"`FU!$D"</f>
        <v>#VALUE!</v>
      </c>
      <c r="I15" t="e">
        <f>'Technical Skills Weighting'!BU:BU*"`FU!$E"</f>
        <v>#VALUE!</v>
      </c>
      <c r="J15" t="e">
        <f>'Technical Skills Weighting'!BV:BV*"`FU!$F"</f>
        <v>#VALUE!</v>
      </c>
      <c r="K15" t="e">
        <f>'Technical Skills Weighting'!BW:BW*"`FU!$G"</f>
        <v>#VALUE!</v>
      </c>
      <c r="L15" t="e">
        <f>'Technical Skills Weighting'!BX:BX*"`FU!$H"</f>
        <v>#VALUE!</v>
      </c>
      <c r="M15" t="e">
        <f>'Technical Skills Weighting'!BY:BY*"`FU!$I"</f>
        <v>#VALUE!</v>
      </c>
      <c r="N15" t="e">
        <f>'Technical Skills Weighting'!BZ:BZ*"`FU!$J"</f>
        <v>#VALUE!</v>
      </c>
      <c r="O15" t="e">
        <f>'Technical Skills Weighting'!CA:CA*"`FU!$K"</f>
        <v>#VALUE!</v>
      </c>
      <c r="P15" t="e">
        <f>'Technical Skills Weighting'!CB:CB*"`FU!$L"</f>
        <v>#VALUE!</v>
      </c>
      <c r="Q15" t="e">
        <f>'Technical Skills Weighting'!CC:CC*"`FU!$M"</f>
        <v>#VALUE!</v>
      </c>
      <c r="R15" t="e">
        <f>'Technical Skills Weighting'!CD:CD*"`FU!$N"</f>
        <v>#VALUE!</v>
      </c>
      <c r="S15" t="e">
        <f>'Technical Skills Weighting'!CE:CE*"`FU!$O"</f>
        <v>#VALUE!</v>
      </c>
      <c r="T15" t="e">
        <f>'Technical Skills Weighting'!CF:CF*"`FU!$P"</f>
        <v>#VALUE!</v>
      </c>
      <c r="U15" t="e">
        <f>'Technical Skills Weighting'!CG:CG*"`FU!$Q"</f>
        <v>#VALUE!</v>
      </c>
      <c r="V15" t="e">
        <f>'Technical Skills Weighting'!CH:CH*"`FU!$R"</f>
        <v>#VALUE!</v>
      </c>
      <c r="W15" t="e">
        <f>'Technical Skills Weighting'!CI:CI*"`FU!$S"</f>
        <v>#VALUE!</v>
      </c>
      <c r="X15" t="e">
        <f>'Technical Skills Weighting'!CJ:CJ*"`FU!$T"</f>
        <v>#VALUE!</v>
      </c>
      <c r="Y15" t="e">
        <f>'Technical Skills Weighting'!CK:CK*"`FU!$U"</f>
        <v>#VALUE!</v>
      </c>
      <c r="Z15" t="e">
        <f>'Technical Skills Weighting'!CL:CL*"`FU!$V"</f>
        <v>#VALUE!</v>
      </c>
      <c r="AA15" t="e">
        <f>'Technical Skills Weighting'!CM:CM*"`FU!$W"</f>
        <v>#VALUE!</v>
      </c>
      <c r="AB15" t="e">
        <f>'Technical Skills Weighting'!CN:CN*"`FU!$X"</f>
        <v>#VALUE!</v>
      </c>
      <c r="AC15" t="e">
        <f>'Technical Skills Weighting'!CO:CO*"`FU!$Y"</f>
        <v>#VALUE!</v>
      </c>
      <c r="AD15" t="e">
        <f>'Technical Skills Weighting'!CP:CP*"`FU!$Z"</f>
        <v>#VALUE!</v>
      </c>
      <c r="AE15" t="e">
        <f>'Technical Skills Weighting'!CQ:CQ*"`FU!$["</f>
        <v>#VALUE!</v>
      </c>
      <c r="AF15" t="e">
        <f>'Technical Skills Weighting'!CR:CR*"`FU!$\"</f>
        <v>#VALUE!</v>
      </c>
      <c r="AG15" t="e">
        <f>'Technical Skills Weighting'!CS:CS*"`FU!$]"</f>
        <v>#VALUE!</v>
      </c>
      <c r="AH15" t="e">
        <f>'Technical Skills Weighting'!CT:CT*"`FU!$^"</f>
        <v>#VALUE!</v>
      </c>
      <c r="AI15" t="e">
        <f>'Technical Skills Weighting'!CU:CU*"`FU!$_"</f>
        <v>#VALUE!</v>
      </c>
      <c r="AJ15" t="e">
        <f>'Technical Skills Weighting'!CV:CV*"`FU!$`"</f>
        <v>#VALUE!</v>
      </c>
      <c r="AK15" t="e">
        <f>'Technical Skills Weighting'!CW:CW*"`FU!$a"</f>
        <v>#VALUE!</v>
      </c>
      <c r="AL15" t="e">
        <f>'Technical Skills Weighting'!CX:CX*"`FU!$b"</f>
        <v>#VALUE!</v>
      </c>
      <c r="AM15" t="e">
        <f>'Technical Skills Weighting'!CY:CY*"`FU!$c"</f>
        <v>#VALUE!</v>
      </c>
      <c r="AN15" t="e">
        <f>'Technical Skills Weighting'!CZ:CZ*"`FU!$d"</f>
        <v>#VALUE!</v>
      </c>
      <c r="AO15" t="e">
        <f>'Technical Skills Weighting'!DA:DA*"`FU!$e"</f>
        <v>#VALUE!</v>
      </c>
      <c r="AP15" t="e">
        <f>'Technical Skills Weighting'!DB:DB*"`FU!$f"</f>
        <v>#VALUE!</v>
      </c>
      <c r="AQ15" t="e">
        <f>'Technical Skills Weighting'!DC:DC*"`FU!$g"</f>
        <v>#VALUE!</v>
      </c>
      <c r="AR15" t="e">
        <f>'Technical Skills Weighting'!DD:DD*"`FU!$h"</f>
        <v>#VALUE!</v>
      </c>
      <c r="AS15" t="e">
        <f>'Technical Skills Weighting'!DE:DE*"`FU!$i"</f>
        <v>#VALUE!</v>
      </c>
      <c r="AT15" t="e">
        <f>'Technical Skills Weighting'!DF:DF*"`FU!$j"</f>
        <v>#VALUE!</v>
      </c>
      <c r="AU15" t="e">
        <f>'Technical Skills Weighting'!DG:DG*"`FU!$k"</f>
        <v>#VALUE!</v>
      </c>
      <c r="AV15" t="e">
        <f>'Technical Skills Weighting'!DH:DH*"`FU!$l"</f>
        <v>#VALUE!</v>
      </c>
      <c r="AW15" t="e">
        <f>'Technical Skills Weighting'!DI:DI*"`FU!$m"</f>
        <v>#VALUE!</v>
      </c>
      <c r="AX15" t="e">
        <f>'Technical Skills Weighting'!DJ:DJ*"`FU!$n"</f>
        <v>#VALUE!</v>
      </c>
      <c r="AY15" t="e">
        <f>'Technical Skills Weighting'!DK:DK*"`FU!$o"</f>
        <v>#VALUE!</v>
      </c>
      <c r="AZ15" t="e">
        <f>'Technical Skills Weighting'!DL:DL*"`FU!$p"</f>
        <v>#VALUE!</v>
      </c>
      <c r="BA15" t="e">
        <f>'Technical Skills Weighting'!DM:DM*"`FU!$q"</f>
        <v>#VALUE!</v>
      </c>
      <c r="BB15" t="e">
        <f>'Technical Skills Weighting'!DN:DN*"`FU!$r"</f>
        <v>#VALUE!</v>
      </c>
      <c r="BC15" t="e">
        <f>'Technical Skills Weighting'!DO:DO*"`FU!$s"</f>
        <v>#VALUE!</v>
      </c>
      <c r="BD15" t="e">
        <f>'Technical Skills Weighting'!DP:DP*"`FU!$t"</f>
        <v>#VALUE!</v>
      </c>
      <c r="BE15" t="e">
        <f>'Technical Skills Weighting'!DQ:DQ*"`FU!$u"</f>
        <v>#VALUE!</v>
      </c>
      <c r="BF15" t="e">
        <f>'Technical Skills Weighting'!DR:DR*"`FU!$v"</f>
        <v>#VALUE!</v>
      </c>
      <c r="BG15" t="e">
        <f>'Technical Skills Weighting'!DS:DS*"`FU!$w"</f>
        <v>#VALUE!</v>
      </c>
      <c r="BH15" t="e">
        <f>'Technical Skills Weighting'!DT:DT*"`FU!$x"</f>
        <v>#VALUE!</v>
      </c>
      <c r="BI15" t="e">
        <f>'Technical Skills Weighting'!DU:DU*"`FU!$y"</f>
        <v>#VALUE!</v>
      </c>
      <c r="BJ15" t="e">
        <f>'Technical Skills Weighting'!DV:DV*"`FU!$z"</f>
        <v>#VALUE!</v>
      </c>
      <c r="BK15" t="e">
        <f>'Technical Skills Weighting'!DW:DW*"`FU!${"</f>
        <v>#VALUE!</v>
      </c>
      <c r="BL15" t="e">
        <f>'Technical Skills Weighting'!DX:DX*"`FU!$|"</f>
        <v>#VALUE!</v>
      </c>
      <c r="BM15" t="e">
        <f>'Technical Skills Weighting'!DY:DY*"`FU!$}"</f>
        <v>#VALUE!</v>
      </c>
      <c r="BN15" t="e">
        <f>'Technical Skills Weighting'!DZ:DZ*"`FU!$~"</f>
        <v>#VALUE!</v>
      </c>
      <c r="BO15" t="e">
        <f>'Technical Skills Weighting'!EA:EA*"`FU!%#"</f>
        <v>#VALUE!</v>
      </c>
      <c r="BP15" t="e">
        <f>'Technical Skills Weighting'!EB:EB*"`FU!%$"</f>
        <v>#VALUE!</v>
      </c>
      <c r="BQ15" t="e">
        <f>'Technical Skills Weighting'!EC:EC*"`FU!%%"</f>
        <v>#VALUE!</v>
      </c>
      <c r="BR15" t="e">
        <f>'Technical Skills Weighting'!ED:ED*"`FU!%&amp;"</f>
        <v>#VALUE!</v>
      </c>
      <c r="BS15" t="e">
        <f>'Technical Skills Weighting'!EE:EE*"`FU!%'"</f>
        <v>#VALUE!</v>
      </c>
      <c r="BT15" t="e">
        <f>'Technical Skills Weighting'!EF:EF*"`FU!%("</f>
        <v>#VALUE!</v>
      </c>
      <c r="BU15" t="e">
        <f>'Technical Skills Weighting'!EG:EG*"`FU!%)"</f>
        <v>#VALUE!</v>
      </c>
      <c r="BV15" t="e">
        <f>'Technical Skills Weighting'!EH:EH*"`FU!%."</f>
        <v>#VALUE!</v>
      </c>
      <c r="BW15" t="e">
        <f>'Technical Skills Weighting'!EI:EI*"`FU!%/"</f>
        <v>#VALUE!</v>
      </c>
      <c r="BX15" t="e">
        <f>'Technical Skills Weighting'!EJ:EJ*"`FU!%0"</f>
        <v>#VALUE!</v>
      </c>
      <c r="BY15" t="e">
        <f>'Technical Skills Weighting'!EK:EK*"`FU!%1"</f>
        <v>#VALUE!</v>
      </c>
      <c r="BZ15" t="e">
        <f>'Technical Skills Weighting'!EL:EL*"`FU!%2"</f>
        <v>#VALUE!</v>
      </c>
      <c r="CA15" t="e">
        <f>'Technical Skills Weighting'!EM:EM*"`FU!%3"</f>
        <v>#VALUE!</v>
      </c>
      <c r="CB15" t="e">
        <f>'Technical Skills Weighting'!EN:EN*"`FU!%4"</f>
        <v>#VALUE!</v>
      </c>
      <c r="CC15" t="e">
        <f>'Technical Skills Weighting'!EO:EO*"`FU!%5"</f>
        <v>#VALUE!</v>
      </c>
      <c r="CD15" t="e">
        <f>'Technical Skills Weighting'!EP:EP*"`FU!%6"</f>
        <v>#VALUE!</v>
      </c>
      <c r="CE15" t="e">
        <f>'Technical Skills Weighting'!EQ:EQ*"`FU!%7"</f>
        <v>#VALUE!</v>
      </c>
      <c r="CF15" t="e">
        <f>'Technical Skills Weighting'!ER:ER*"`FU!%8"</f>
        <v>#VALUE!</v>
      </c>
      <c r="CG15" t="e">
        <f>'Technical Skills Weighting'!ES:ES*"`FU!%9"</f>
        <v>#VALUE!</v>
      </c>
      <c r="CH15" t="e">
        <f>'Technical Skills Weighting'!ET:ET*"`FU!%:"</f>
        <v>#VALUE!</v>
      </c>
      <c r="CI15" t="e">
        <f>'Technical Skills Weighting'!EU:EU*"`FU!%;"</f>
        <v>#VALUE!</v>
      </c>
      <c r="CJ15" t="e">
        <f>'Technical Skills Weighting'!EV:EV*"`FU!%&lt;"</f>
        <v>#VALUE!</v>
      </c>
      <c r="CK15" t="e">
        <f>'Technical Skills Weighting'!EW:EW*"`FU!%="</f>
        <v>#VALUE!</v>
      </c>
      <c r="CL15" t="e">
        <f>'Technical Skills Weighting'!EX:EX*"`FU!%&gt;"</f>
        <v>#VALUE!</v>
      </c>
      <c r="CM15" t="e">
        <f>'Technical Skills Weighting'!EY:EY*"`FU!%?"</f>
        <v>#VALUE!</v>
      </c>
      <c r="CN15" t="e">
        <f>'Technical Skills Weighting'!EZ:EZ*"`FU!%@"</f>
        <v>#VALUE!</v>
      </c>
      <c r="CO15" t="e">
        <f>'Technical Skills Weighting'!FA:FA*"`FU!%A"</f>
        <v>#VALUE!</v>
      </c>
      <c r="CP15" t="e">
        <f>'Technical Skills Weighting'!FB:FB*"`FU!%B"</f>
        <v>#VALUE!</v>
      </c>
      <c r="CQ15" t="e">
        <f>'Technical Skills Weighting'!FC:FC*"`FU!%C"</f>
        <v>#VALUE!</v>
      </c>
      <c r="CR15" t="e">
        <f>'Technical Skills Weighting'!FD:FD*"`FU!%D"</f>
        <v>#VALUE!</v>
      </c>
      <c r="CS15" t="e">
        <f>'Technical Skills Weighting'!FE:FE*"`FU!%E"</f>
        <v>#VALUE!</v>
      </c>
      <c r="CT15" t="e">
        <f>'Technical Skills Weighting'!FF:FF*"`FU!%F"</f>
        <v>#VALUE!</v>
      </c>
      <c r="CU15" t="e">
        <f>'Technical Skills Weighting'!FG:FG*"`FU!%G"</f>
        <v>#VALUE!</v>
      </c>
      <c r="CV15" t="e">
        <f>'Technical Skills Weighting'!FH:FH*"`FU!%H"</f>
        <v>#VALUE!</v>
      </c>
      <c r="CW15" t="e">
        <f>'Technical Skills Weighting'!FI:FI*"`FU!%I"</f>
        <v>#VALUE!</v>
      </c>
      <c r="CX15" t="e">
        <f>'Technical Skills Weighting'!FJ:FJ*"`FU!%J"</f>
        <v>#VALUE!</v>
      </c>
      <c r="CY15" t="e">
        <f>'Technical Skills Weighting'!FK:FK*"`FU!%K"</f>
        <v>#VALUE!</v>
      </c>
      <c r="CZ15" t="e">
        <f>'Technical Skills Weighting'!FL:FL*"`FU!%L"</f>
        <v>#VALUE!</v>
      </c>
      <c r="DA15" t="e">
        <f>'Technical Skills Weighting'!FM:FM*"`FU!%M"</f>
        <v>#VALUE!</v>
      </c>
      <c r="DB15" t="e">
        <f>'Technical Skills Weighting'!FN:FN*"`FU!%N"</f>
        <v>#VALUE!</v>
      </c>
      <c r="DC15" t="e">
        <f>'Technical Skills Weighting'!FO:FO*"`FU!%O"</f>
        <v>#VALUE!</v>
      </c>
      <c r="DD15" t="e">
        <f>'Technical Skills Weighting'!FP:FP*"`FU!%P"</f>
        <v>#VALUE!</v>
      </c>
      <c r="DE15" t="e">
        <f>'Technical Skills Weighting'!FQ:FQ*"`FU!%Q"</f>
        <v>#VALUE!</v>
      </c>
      <c r="DF15" t="e">
        <f>'Technical Skills Weighting'!FR:FR*"`FU!%R"</f>
        <v>#VALUE!</v>
      </c>
      <c r="DG15" t="e">
        <f>'Technical Skills Weighting'!FS:FS*"`FU!%S"</f>
        <v>#VALUE!</v>
      </c>
      <c r="DH15" t="e">
        <f>'Technical Skills Weighting'!FT:FT*"`FU!%T"</f>
        <v>#VALUE!</v>
      </c>
      <c r="DI15" t="e">
        <f>'Technical Skills Weighting'!FU:FU*"`FU!%U"</f>
        <v>#VALUE!</v>
      </c>
      <c r="DJ15" t="e">
        <f>'Technical Skills Weighting'!FV:FV*"`FU!%V"</f>
        <v>#VALUE!</v>
      </c>
      <c r="DK15" t="e">
        <f>'Technical Skills Weighting'!FW:FW*"`FU!%W"</f>
        <v>#VALUE!</v>
      </c>
      <c r="DL15" t="e">
        <f>'Technical Skills Weighting'!FX:FX*"`FU!%X"</f>
        <v>#VALUE!</v>
      </c>
      <c r="DM15" t="e">
        <f>'Technical Skills Weighting'!FY:FY*"`FU!%Y"</f>
        <v>#VALUE!</v>
      </c>
      <c r="DN15" t="e">
        <f>'Technical Skills Weighting'!FZ:FZ*"`FU!%Z"</f>
        <v>#VALUE!</v>
      </c>
      <c r="DO15" t="e">
        <f>'Technical Skills Weighting'!GA:GA*"`FU!%["</f>
        <v>#VALUE!</v>
      </c>
      <c r="DP15" t="e">
        <f>'Technical Skills Weighting'!GB:GB*"`FU!%\"</f>
        <v>#VALUE!</v>
      </c>
      <c r="DQ15" t="e">
        <f>'Technical Skills Weighting'!GC:GC*"`FU!%]"</f>
        <v>#VALUE!</v>
      </c>
      <c r="DR15" t="e">
        <f>'Technical Skills Weighting'!GD:GD*"`FU!%^"</f>
        <v>#VALUE!</v>
      </c>
      <c r="DS15" t="e">
        <f>'Technical Skills Weighting'!GE:GE*"`FU!%_"</f>
        <v>#VALUE!</v>
      </c>
      <c r="DT15" t="e">
        <f>'Technical Skills Weighting'!GF:GF*"`FU!%`"</f>
        <v>#VALUE!</v>
      </c>
      <c r="DU15" t="e">
        <f>'Technical Skills Weighting'!GG:GG*"`FU!%a"</f>
        <v>#VALUE!</v>
      </c>
      <c r="DV15" t="e">
        <f>'Technical Skills Weighting'!GH:GH*"`FU!%b"</f>
        <v>#VALUE!</v>
      </c>
      <c r="DW15" t="e">
        <f>'Technical Skills Weighting'!GI:GI*"`FU!%c"</f>
        <v>#VALUE!</v>
      </c>
      <c r="DX15" t="e">
        <f>'Technical Skills Weighting'!GJ:GJ*"`FU!%d"</f>
        <v>#VALUE!</v>
      </c>
      <c r="DY15" t="e">
        <f>'Technical Skills Weighting'!GK:GK*"`FU!%e"</f>
        <v>#VALUE!</v>
      </c>
      <c r="DZ15" t="e">
        <f>'Technical Skills Weighting'!GL:GL*"`FU!%f"</f>
        <v>#VALUE!</v>
      </c>
      <c r="EA15" t="e">
        <f>'Technical Skills Weighting'!GM:GM*"`FU!%g"</f>
        <v>#VALUE!</v>
      </c>
      <c r="EB15" t="e">
        <f>'Technical Skills Weighting'!GN:GN*"`FU!%h"</f>
        <v>#VALUE!</v>
      </c>
      <c r="EC15" t="e">
        <f>'Technical Skills Weighting'!#REF!-"`FU!%i"</f>
        <v>#REF!</v>
      </c>
      <c r="ED15" t="e">
        <f>'Technical Skills Weighting'!#REF!-"`FU!%j"</f>
        <v>#REF!</v>
      </c>
      <c r="EE15" t="e">
        <f>'Technical Skills Weighting'!1:1-"`FU!%k"</f>
        <v>#VALUE!</v>
      </c>
      <c r="EF15" t="e">
        <f>'Technical Skills Weighting'!2:2-"`FU!%l"</f>
        <v>#VALUE!</v>
      </c>
      <c r="EG15" t="e">
        <f>'Technical Skills Weighting'!#REF!-"`FU!%m"</f>
        <v>#REF!</v>
      </c>
      <c r="EH15" t="e">
        <f>'Technical Skills Weighting'!#REF!-"`FU!%n"</f>
        <v>#REF!</v>
      </c>
      <c r="EI15" t="e">
        <f>'Technical Skills Weighting'!#REF!-"`FU!%o"</f>
        <v>#REF!</v>
      </c>
      <c r="EJ15" t="e">
        <f>'Technical Skills Weighting'!11:11-"`FU!%p"</f>
        <v>#VALUE!</v>
      </c>
      <c r="EK15" t="e">
        <f>'Technical Skills Weighting'!12:12-"`FU!%q"</f>
        <v>#VALUE!</v>
      </c>
      <c r="EL15" t="e">
        <f>'Technical Skills Weighting'!13:13-"`FU!%r"</f>
        <v>#VALUE!</v>
      </c>
      <c r="EM15" t="e">
        <f>'Technical Skills Weighting'!14:14-"`FU!%s"</f>
        <v>#VALUE!</v>
      </c>
      <c r="EN15" t="e">
        <f>'Technical Skills Weighting'!15:15-"`FU!%t"</f>
        <v>#VALUE!</v>
      </c>
      <c r="EO15" t="e">
        <f>'Technical Skills Weighting'!16:16-"`FU!%u"</f>
        <v>#VALUE!</v>
      </c>
      <c r="EP15" t="e">
        <f>'Technical Skills Weighting'!17:17-"`FU!%v"</f>
        <v>#VALUE!</v>
      </c>
      <c r="EQ15" t="e">
        <f>'Technical Skills Weighting'!18:18-"`FU!%w"</f>
        <v>#VALUE!</v>
      </c>
      <c r="ER15" t="e">
        <f>'Technical Skills Weighting'!19:19-"`FU!%x"</f>
        <v>#VALUE!</v>
      </c>
      <c r="ES15" t="e">
        <f>'Technical Skills Weighting'!20:20-"`FU!%y"</f>
        <v>#VALUE!</v>
      </c>
      <c r="ET15" t="e">
        <f>'Technical Skills Weighting'!21:21-"`FU!%z"</f>
        <v>#VALUE!</v>
      </c>
      <c r="EU15" t="e">
        <f>'Technical Skills Weighting'!22:22-"`FU!%{"</f>
        <v>#VALUE!</v>
      </c>
      <c r="EV15" t="e">
        <f>'Technical Skills Weighting'!23:23-"`FU!%|"</f>
        <v>#VALUE!</v>
      </c>
      <c r="EW15" t="e">
        <f>'Technical Skills Weighting'!24:24-"`FU!%}"</f>
        <v>#VALUE!</v>
      </c>
      <c r="EX15" t="e">
        <f>'Technical Skills Weighting'!25:25-"`FU!%~"</f>
        <v>#VALUE!</v>
      </c>
      <c r="EY15" t="e">
        <f>'Technical Skills Weighting'!26:26-"`FU!&amp;#"</f>
        <v>#VALUE!</v>
      </c>
      <c r="EZ15" t="e">
        <f>'Technical Skills Weighting'!27:27-"`FU!&amp;$"</f>
        <v>#VALUE!</v>
      </c>
      <c r="FA15" t="e">
        <f>'Technical Skills Weighting'!28:28-"`FU!&amp;%"</f>
        <v>#VALUE!</v>
      </c>
      <c r="FB15" t="e">
        <f>'Technical Skills Weighting'!29:29-"`FU!&amp;&amp;"</f>
        <v>#VALUE!</v>
      </c>
      <c r="FC15" t="e">
        <f>'Technical Skills Weighting'!30:30-"`FU!&amp;'"</f>
        <v>#VALUE!</v>
      </c>
      <c r="FD15" t="e">
        <f>'Technical Skills Weighting'!31:31-"`FU!&amp;("</f>
        <v>#VALUE!</v>
      </c>
      <c r="FE15" t="e">
        <f>'Technical Skills Weighting'!32:32-"`FU!&amp;)"</f>
        <v>#VALUE!</v>
      </c>
      <c r="FF15" t="e">
        <f>'Technical Skills Weighting'!33:33-"`FU!&amp;."</f>
        <v>#VALUE!</v>
      </c>
      <c r="FG15" t="e">
        <f>'Technical Skills Weighting'!34:34-"`FU!&amp;/"</f>
        <v>#VALUE!</v>
      </c>
      <c r="FH15" t="e">
        <f>'Technical Skills Weighting'!35:35-"`FU!&amp;0"</f>
        <v>#VALUE!</v>
      </c>
      <c r="FI15" t="e">
        <f>'Technical Skills Weighting'!36:36-"`FU!&amp;1"</f>
        <v>#VALUE!</v>
      </c>
      <c r="FJ15" t="e">
        <f>'Technical Skills Weighting'!37:37-"`FU!&amp;2"</f>
        <v>#VALUE!</v>
      </c>
      <c r="FK15" t="e">
        <f>'Technical Skills Weighting'!38:38-"`FU!&amp;3"</f>
        <v>#VALUE!</v>
      </c>
      <c r="FL15" t="e">
        <f>'Technical Skills Weighting'!39:39-"`FU!&amp;4"</f>
        <v>#VALUE!</v>
      </c>
      <c r="FM15" t="e">
        <f>'Technical Skills Weighting'!40:40-"`FU!&amp;5"</f>
        <v>#VALUE!</v>
      </c>
      <c r="FN15" t="e">
        <f>'Technical Skills Weighting'!41:41-"`FU!&amp;6"</f>
        <v>#VALUE!</v>
      </c>
      <c r="FO15" t="e">
        <f>'Technical Skills Weighting'!42:42-"`FU!&amp;7"</f>
        <v>#VALUE!</v>
      </c>
      <c r="FP15" t="e">
        <f>'Technical Skills Weighting'!43:43-"`FU!&amp;8"</f>
        <v>#VALUE!</v>
      </c>
      <c r="FQ15" t="e">
        <f>'Technical Skills Weighting'!44:44-"`FU!&amp;9"</f>
        <v>#VALUE!</v>
      </c>
      <c r="FR15" t="e">
        <f>'Technical Skills Weighting'!45:45-"`FU!&amp;:"</f>
        <v>#VALUE!</v>
      </c>
      <c r="FS15" t="e">
        <f>'Technical Skills Weighting'!46:46-"`FU!&amp;;"</f>
        <v>#VALUE!</v>
      </c>
      <c r="FT15" t="e">
        <f>'Technical Skills Weighting'!47:47-"`FU!&amp;&lt;"</f>
        <v>#VALUE!</v>
      </c>
      <c r="FU15" t="e">
        <f>'Technical Skills Weighting'!48:48-"`FU!&amp;="</f>
        <v>#VALUE!</v>
      </c>
      <c r="FV15" t="e">
        <f>'Technical Skills Weighting'!49:49-"`FU!&amp;&gt;"</f>
        <v>#VALUE!</v>
      </c>
      <c r="FW15" t="e">
        <f>'Technical Skills Weighting'!50:50-"`FU!&amp;?"</f>
        <v>#VALUE!</v>
      </c>
      <c r="FX15" t="e">
        <f>'Technical Skills Weighting'!51:51-"`FU!&amp;@"</f>
        <v>#VALUE!</v>
      </c>
      <c r="FY15" t="e">
        <f>'Technical Skills Weighting'!52:52-"`FU!&amp;A"</f>
        <v>#VALUE!</v>
      </c>
      <c r="FZ15" t="e">
        <f>'Technical Skills Weighting'!53:53-"`FU!&amp;B"</f>
        <v>#VALUE!</v>
      </c>
      <c r="GA15" t="e">
        <f>'Technical Skills Weighting'!#REF!-"`FU!&amp;C"</f>
        <v>#REF!</v>
      </c>
      <c r="GB15" t="e">
        <f>'Technical Skills Weighting'!#REF!-"`FU!&amp;D"</f>
        <v>#REF!</v>
      </c>
      <c r="GC15" t="e">
        <f>'Technical Skills Weighting'!#REF!-"`FU!&amp;E"</f>
        <v>#REF!</v>
      </c>
      <c r="GD15" t="e">
        <f>'Technical Skills Weighting'!#REF!-"`FU!&amp;F"</f>
        <v>#REF!</v>
      </c>
      <c r="GE15" t="e">
        <f>'Technical Skills Weighting'!#REF!-"`FU!&amp;G"</f>
        <v>#REF!</v>
      </c>
      <c r="GF15" t="e">
        <f>'Technical Skills Weighting'!#REF!-"`FU!&amp;H"</f>
        <v>#REF!</v>
      </c>
      <c r="GG15" t="e">
        <f>'Technical Skills Weighting'!#REF!-"`FU!&amp;I"</f>
        <v>#REF!</v>
      </c>
      <c r="GH15" t="e">
        <f>'Technical Skills Weighting'!#REF!-"`FU!&amp;J"</f>
        <v>#REF!</v>
      </c>
      <c r="GI15" t="e">
        <f>'Technical Skills Weighting'!#REF!-"`FU!&amp;K"</f>
        <v>#REF!</v>
      </c>
      <c r="GJ15" t="e">
        <f>'Technical Skills Weighting'!#REF!-"`FU!&amp;L"</f>
        <v>#REF!</v>
      </c>
      <c r="GK15" t="e">
        <f>'Technical Skills Weighting'!#REF!-"`FU!&amp;M"</f>
        <v>#REF!</v>
      </c>
      <c r="GL15" t="e">
        <f>'Technical Skills Weighting'!#REF!-"`FU!&amp;N"</f>
        <v>#REF!</v>
      </c>
      <c r="GM15" t="e">
        <f>'Technical Skills Weighting'!#REF!-"`FU!&amp;O"</f>
        <v>#REF!</v>
      </c>
      <c r="GN15" t="e">
        <f>'Technical Skills Weighting'!#REF!-"`FU!&amp;P"</f>
        <v>#REF!</v>
      </c>
      <c r="GO15" t="e">
        <f>'Technical Skills Weighting'!#REF!-"`FU!&amp;Q"</f>
        <v>#REF!</v>
      </c>
      <c r="GP15" t="e">
        <f>'Technical Skills Weighting'!#REF!-"`FU!&amp;R"</f>
        <v>#REF!</v>
      </c>
      <c r="GQ15" t="e">
        <f>'Technical Skills Weighting'!#REF!-"`FU!&amp;S"</f>
        <v>#REF!</v>
      </c>
      <c r="GR15" t="e">
        <f>'Technical Skills Weighting'!#REF!-"`FU!&amp;T"</f>
        <v>#REF!</v>
      </c>
      <c r="GS15" t="e">
        <f>'Technical Skills Weighting'!#REF!-"`FU!&amp;U"</f>
        <v>#REF!</v>
      </c>
      <c r="GT15" t="e">
        <f>'Technical Skills Weighting'!#REF!-"`FU!&amp;V"</f>
        <v>#REF!</v>
      </c>
      <c r="GU15" t="e">
        <f>'Technical Skills Weighting'!#REF!-"`FU!&amp;W"</f>
        <v>#REF!</v>
      </c>
      <c r="GV15" t="e">
        <f>'Technical Skills Weighting'!#REF!-"`FU!&amp;X"</f>
        <v>#REF!</v>
      </c>
      <c r="GW15" t="e">
        <f>'Technical Skills Weighting'!#REF!-"`FU!&amp;Y"</f>
        <v>#REF!</v>
      </c>
      <c r="GX15" t="e">
        <f>'Technical Skills Weighting'!#REF!-"`FU!&amp;Z"</f>
        <v>#REF!</v>
      </c>
      <c r="GY15" t="e">
        <f>'Technical Skills Weighting'!#REF!-"`FU!&amp;["</f>
        <v>#REF!</v>
      </c>
      <c r="GZ15" t="e">
        <f>'Technical Skills Weighting'!#REF!-"`FU!&amp;\"</f>
        <v>#REF!</v>
      </c>
      <c r="HA15" t="e">
        <f>'Technical Skills Weighting'!#REF!-"`FU!&amp;]"</f>
        <v>#REF!</v>
      </c>
      <c r="HB15" t="e">
        <f>'Technical Skills Weighting'!#REF!-"`FU!&amp;^"</f>
        <v>#REF!</v>
      </c>
      <c r="HC15" t="e">
        <f>'Technical Skills Weighting'!#REF!-"`FU!&amp;_"</f>
        <v>#REF!</v>
      </c>
      <c r="HD15" t="e">
        <f>'Technical Skills Weighting'!#REF!-"`FU!&amp;`"</f>
        <v>#REF!</v>
      </c>
      <c r="HE15" t="e">
        <f>'Technical Skills Weighting'!#REF!-"`FU!&amp;a"</f>
        <v>#REF!</v>
      </c>
      <c r="HF15" t="e">
        <f>'Technical Skills Weighting'!#REF!-"`FU!&amp;b"</f>
        <v>#REF!</v>
      </c>
      <c r="HG15" t="e">
        <f>'Technical Skills Weighting'!#REF!-"`FU!&amp;c"</f>
        <v>#REF!</v>
      </c>
      <c r="HH15" t="e">
        <f>'Technical Skills Weighting'!#REF!-"`FU!&amp;d"</f>
        <v>#REF!</v>
      </c>
      <c r="HI15" t="e">
        <f>'Technical Skills Weighting'!#REF!-"`FU!&amp;e"</f>
        <v>#REF!</v>
      </c>
      <c r="HJ15" t="e">
        <f>'Technical Skills Weighting'!#REF!-"`FU!&amp;f"</f>
        <v>#REF!</v>
      </c>
      <c r="HK15" t="e">
        <f>'Technical Skills Weighting'!#REF!-"`FU!&amp;g"</f>
        <v>#REF!</v>
      </c>
      <c r="HL15" t="e">
        <f>'Technical Skills Weighting'!#REF!-"`FU!&amp;h"</f>
        <v>#REF!</v>
      </c>
      <c r="HM15" t="e">
        <f>'Technical Skills Weighting'!#REF!-"`FU!&amp;i"</f>
        <v>#REF!</v>
      </c>
      <c r="HN15" t="e">
        <f>'Technical Skills Weighting'!#REF!-"`FU!&amp;j"</f>
        <v>#REF!</v>
      </c>
      <c r="HO15" t="e">
        <f>'Technical Skills Weighting'!#REF!-"`FU!&amp;k"</f>
        <v>#REF!</v>
      </c>
      <c r="HP15" t="e">
        <f>'Technical Skills Weighting'!#REF!-"`FU!&amp;l"</f>
        <v>#REF!</v>
      </c>
      <c r="HQ15" t="e">
        <f>'Technical Skills Weighting'!#REF!-"`FU!&amp;m"</f>
        <v>#REF!</v>
      </c>
      <c r="HR15" t="e">
        <f>'Technical Skills Weighting'!#REF!-"`FU!&amp;n"</f>
        <v>#REF!</v>
      </c>
      <c r="HS15" t="e">
        <f>'Technical Skills Weighting'!#REF!-"`FU!&amp;o"</f>
        <v>#REF!</v>
      </c>
      <c r="HT15" t="e">
        <f>'Technical Skills Weighting'!#REF!-"`FU!&amp;p"</f>
        <v>#REF!</v>
      </c>
      <c r="HU15" t="e">
        <f>'Technical Skills Weighting'!#REF!-"`FU!&amp;q"</f>
        <v>#REF!</v>
      </c>
      <c r="HV15" t="e">
        <f>'Technical Skills Weighting'!#REF!-"`FU!&amp;r"</f>
        <v>#REF!</v>
      </c>
      <c r="HW15" t="e">
        <f>'Technical Skills Weighting'!#REF!-"`FU!&amp;s"</f>
        <v>#REF!</v>
      </c>
      <c r="HX15" t="e">
        <f>'Technical Skills Weighting'!#REF!-"`FU!&amp;t"</f>
        <v>#REF!</v>
      </c>
      <c r="HY15" t="e">
        <f>'Technical Skills Weighting'!#REF!-"`FU!&amp;u"</f>
        <v>#REF!</v>
      </c>
      <c r="HZ15" t="e">
        <f>'Technical Skills Weighting'!#REF!-"`FU!&amp;v"</f>
        <v>#REF!</v>
      </c>
      <c r="IA15" t="e">
        <f>'Technical Skills Weighting'!#REF!-"`FU!&amp;w"</f>
        <v>#REF!</v>
      </c>
      <c r="IB15" t="e">
        <f>'Technical Skills Weighting'!54:54-"`FU!&amp;x"</f>
        <v>#VALUE!</v>
      </c>
      <c r="IC15" t="e">
        <f>'Technical Skills Weighting'!55:55-"`FU!&amp;y"</f>
        <v>#VALUE!</v>
      </c>
      <c r="ID15" t="e">
        <f>'Technical Skills Weighting'!56:56-"`FU!&amp;z"</f>
        <v>#VALUE!</v>
      </c>
      <c r="IE15" t="e">
        <f>'Technical Skills Weighting'!57:57-"`FU!&amp;{"</f>
        <v>#VALUE!</v>
      </c>
      <c r="IF15" t="e">
        <f>'Technical Skills Weighting'!58:58-"`FU!&amp;|"</f>
        <v>#VALUE!</v>
      </c>
      <c r="IG15" t="e">
        <f>'Technical Skills Weighting'!59:59-"`FU!&amp;}"</f>
        <v>#VALUE!</v>
      </c>
      <c r="IH15" t="e">
        <f>'Technical Skills Weighting'!60:60-"`FU!&amp;~"</f>
        <v>#VALUE!</v>
      </c>
      <c r="II15" t="e">
        <f>'Technical Skills Weighting'!61:61-"`FU!'#"</f>
        <v>#VALUE!</v>
      </c>
      <c r="IJ15" t="e">
        <f>'Technical Skills Weighting'!62:62-"`FU!'$"</f>
        <v>#VALUE!</v>
      </c>
      <c r="IK15" t="e">
        <f>'Technical Skills Weighting'!63:63-"`FU!'%"</f>
        <v>#VALUE!</v>
      </c>
      <c r="IL15" t="e">
        <f>'Technical Skills Weighting'!64:64-"`FU!'&amp;"</f>
        <v>#VALUE!</v>
      </c>
      <c r="IM15" t="e">
        <f>'Technical Skills Weighting'!65:65-"`FU!''"</f>
        <v>#VALUE!</v>
      </c>
      <c r="IN15" t="e">
        <f>'Technical Skills Weighting'!66:66-"`FU!'("</f>
        <v>#VALUE!</v>
      </c>
      <c r="IO15" t="e">
        <f>'Technical Skills Weighting'!67:67-"`FU!')"</f>
        <v>#VALUE!</v>
      </c>
      <c r="IP15" t="e">
        <f>'Technical Skills Weighting'!68:68-"`FU!'."</f>
        <v>#VALUE!</v>
      </c>
      <c r="IQ15" t="e">
        <f>'Technical Skills Weighting'!69:69-"`FU!'/"</f>
        <v>#VALUE!</v>
      </c>
      <c r="IR15" t="e">
        <f>'Technical Skills Weighting'!70:70-"`FU!'0"</f>
        <v>#VALUE!</v>
      </c>
      <c r="IS15" t="e">
        <f>'Technical Skills Weighting'!71:71-"`FU!'1"</f>
        <v>#VALUE!</v>
      </c>
      <c r="IT15" t="e">
        <f>'Technical Skills Weighting'!72:72-"`FU!'2"</f>
        <v>#VALUE!</v>
      </c>
      <c r="IU15" t="e">
        <f>'Technical Skills Weighting'!73:73-"`FU!'3"</f>
        <v>#VALUE!</v>
      </c>
      <c r="IV15" t="e">
        <f>'Technical Skills Weighting'!74:74-"`FU!'4"</f>
        <v>#VALUE!</v>
      </c>
    </row>
    <row r="16" spans="1:256" x14ac:dyDescent="0.25">
      <c r="F16" t="e">
        <f>'Technical Skills Weighting'!75:75-"`FU!'5"</f>
        <v>#VALUE!</v>
      </c>
      <c r="G16" t="e">
        <f>'Technical Skills Weighting'!76:76-"`FU!'6"</f>
        <v>#VALUE!</v>
      </c>
      <c r="H16" t="e">
        <f>'Technical Skills Weighting'!77:77-"`FU!'7"</f>
        <v>#VALUE!</v>
      </c>
      <c r="I16" t="e">
        <f>'Technical Skills Weighting'!78:78-"`FU!'8"</f>
        <v>#VALUE!</v>
      </c>
      <c r="J16" t="e">
        <f>'Technical Skills Weighting'!79:79-"`FU!'9"</f>
        <v>#VALUE!</v>
      </c>
      <c r="K16" t="e">
        <f>'Technical Skills Weighting'!80:80-"`FU!':"</f>
        <v>#VALUE!</v>
      </c>
      <c r="L16" t="e">
        <f>'Technical Skills Weighting'!81:81-"`FU!';"</f>
        <v>#VALUE!</v>
      </c>
      <c r="M16" t="e">
        <f>'Technical Skills Weighting'!82:82-"`FU!'&lt;"</f>
        <v>#VALUE!</v>
      </c>
      <c r="N16" t="e">
        <f>'Technical Skills Weighting'!83:83-"`FU!'="</f>
        <v>#VALUE!</v>
      </c>
      <c r="O16" t="e">
        <f>'Technical Skills Weighting'!84:84-"`FU!'&gt;"</f>
        <v>#VALUE!</v>
      </c>
      <c r="P16" t="e">
        <f>'Technical Skills Weighting'!85:85-"`FU!'?"</f>
        <v>#VALUE!</v>
      </c>
      <c r="Q16" t="e">
        <f>'Technical Skills Weighting'!86:86-"`FU!'@"</f>
        <v>#VALUE!</v>
      </c>
      <c r="R16" t="e">
        <f>'Technical Skills Weighting'!87:87-"`FU!'A"</f>
        <v>#VALUE!</v>
      </c>
      <c r="S16" t="e">
        <f>'Technical Skills Weighting'!88:88-"`FU!'B"</f>
        <v>#VALUE!</v>
      </c>
      <c r="T16" t="e">
        <f>'Technical Skills Weighting'!89:89-"`FU!'C"</f>
        <v>#VALUE!</v>
      </c>
      <c r="U16" t="e">
        <f>'Technical Skills Weighting'!90:90-"`FU!'D"</f>
        <v>#VALUE!</v>
      </c>
      <c r="V16" t="e">
        <f>'Technical Skills Weighting'!91:91-"`FU!'E"</f>
        <v>#VALUE!</v>
      </c>
      <c r="W16" t="e">
        <f>'Technical Skills Weighting'!92:92-"`FU!'F"</f>
        <v>#VALUE!</v>
      </c>
      <c r="X16" t="e">
        <f>'Technical Skills Weighting'!93:93-"`FU!'G"</f>
        <v>#VALUE!</v>
      </c>
      <c r="Y16" t="e">
        <f>'Technical Skills Weighting'!94:94-"`FU!'H"</f>
        <v>#VALUE!</v>
      </c>
      <c r="Z16" t="e">
        <f>'Technical Skills Weighting'!95:95-"`FU!'I"</f>
        <v>#VALUE!</v>
      </c>
      <c r="AA16" t="e">
        <f>'Technical Skills Weighting'!96:96-"`FU!'J"</f>
        <v>#VALUE!</v>
      </c>
      <c r="AB16" t="e">
        <f>'Technical Skills Weighting'!97:97-"`FU!'K"</f>
        <v>#VALUE!</v>
      </c>
      <c r="AC16" t="e">
        <f>'Technical Skills Weighting'!98:98-"`FU!'L"</f>
        <v>#VALUE!</v>
      </c>
      <c r="AD16" t="e">
        <f>'Technical Skills Weighting'!99:99-"`FU!'M"</f>
        <v>#VALUE!</v>
      </c>
      <c r="AE16" t="e">
        <f>'Technical Skills Weighting'!100:100-"`FU!'N"</f>
        <v>#VALUE!</v>
      </c>
      <c r="AF16" t="e">
        <f>'Technical Skills Weighting'!101:101-"`FU!'O"</f>
        <v>#VALUE!</v>
      </c>
      <c r="AG16" t="e">
        <f>'Technical Skills Weighting'!102:102-"`FU!'P"</f>
        <v>#VALUE!</v>
      </c>
      <c r="AH16" t="e">
        <f>'Technical Skills Weighting'!103:103-"`FU!'Q"</f>
        <v>#VALUE!</v>
      </c>
      <c r="AI16" t="e">
        <f>'Technical Skills Weighting'!104:104-"`FU!'R"</f>
        <v>#VALUE!</v>
      </c>
      <c r="AJ16" t="e">
        <f>'Technical Skills Weighting'!105:105-"`FU!'S"</f>
        <v>#VALUE!</v>
      </c>
      <c r="AK16" t="e">
        <f>'Technical Skills Weighting'!106:106-"`FU!'T"</f>
        <v>#VALUE!</v>
      </c>
      <c r="AL16" t="e">
        <f>'Technical Skills Weighting'!107:107-"`FU!'U"</f>
        <v>#VALUE!</v>
      </c>
      <c r="AM16" t="e">
        <f>'Technical Skills Weighting'!108:108-"`FU!'V"</f>
        <v>#VALUE!</v>
      </c>
      <c r="AN16" t="e">
        <f>'Technical Skills Weighting'!109:109-"`FU!'W"</f>
        <v>#VALUE!</v>
      </c>
      <c r="AO16" t="e">
        <f>'Technical Skills Weighting'!110:110-"`FU!'X"</f>
        <v>#VALUE!</v>
      </c>
      <c r="AP16" t="e">
        <f>'Technical Skills Weighting'!111:111-"`FU!'Y"</f>
        <v>#VALUE!</v>
      </c>
      <c r="AQ16" t="e">
        <f>'Technical Skills Weighting'!112:112-"`FU!'Z"</f>
        <v>#VALUE!</v>
      </c>
      <c r="AR16" t="e">
        <f>'Technical Skills Weighting'!113:113-"`FU!'["</f>
        <v>#VALUE!</v>
      </c>
      <c r="AS16" t="e">
        <f>'Technical Skills Weighting'!114:114-"`FU!'\"</f>
        <v>#VALUE!</v>
      </c>
      <c r="AT16" t="e">
        <f>'Technical Skills Weighting'!115:115-"`FU!']"</f>
        <v>#VALUE!</v>
      </c>
      <c r="AU16" t="e">
        <f>'Technical Skills Weighting'!116:116-"`FU!'^"</f>
        <v>#VALUE!</v>
      </c>
      <c r="AV16" t="e">
        <f>'Technical Skills Weighting'!117:117-"`FU!'_"</f>
        <v>#VALUE!</v>
      </c>
      <c r="AW16" t="e">
        <f>'Technical Skills Weighting'!118:118-"`FU!'`"</f>
        <v>#VALUE!</v>
      </c>
      <c r="AX16" t="e">
        <f>'Technical Skills Weighting'!119:119-"`FU!'a"</f>
        <v>#VALUE!</v>
      </c>
      <c r="AY16" t="e">
        <f>'Technical Skills Weighting'!120:120-"`FU!'b"</f>
        <v>#VALUE!</v>
      </c>
      <c r="AZ16" t="e">
        <f>'Technical Skills Weighting'!121:121-"`FU!'c"</f>
        <v>#VALUE!</v>
      </c>
      <c r="BA16" t="e">
        <f>'Technical Skills Weighting'!122:122-"`FU!'d"</f>
        <v>#VALUE!</v>
      </c>
      <c r="BB16" t="e">
        <f>'Technical Skills Weighting'!123:123-"`FU!'e"</f>
        <v>#VALUE!</v>
      </c>
      <c r="BC16" t="e">
        <f>'Technical Skills Weighting'!124:124-"`FU!'f"</f>
        <v>#VALUE!</v>
      </c>
      <c r="BD16" t="e">
        <f>'Technical Skills Weighting'!125:125-"`FU!'g"</f>
        <v>#VALUE!</v>
      </c>
      <c r="BE16" t="e">
        <f>'Technical Skills Weighting'!126:126-"`FU!'h"</f>
        <v>#VALUE!</v>
      </c>
      <c r="BF16" t="e">
        <f>'Technical Skills Weighting'!127:127-"`FU!'i"</f>
        <v>#VALUE!</v>
      </c>
      <c r="BG16" t="e">
        <f>'Technical Skills Weighting'!128:128-"`FU!'j"</f>
        <v>#VALUE!</v>
      </c>
      <c r="BH16" t="e">
        <f>'Technical Skills Weighting'!129:129-"`FU!'k"</f>
        <v>#VALUE!</v>
      </c>
      <c r="BI16" t="e">
        <f>'Technical Skills Weighting'!130:130-"`FU!'l"</f>
        <v>#VALUE!</v>
      </c>
      <c r="BJ16" t="e">
        <f>'Technical Skills Weighting'!131:131-"`FU!'m"</f>
        <v>#VALUE!</v>
      </c>
      <c r="BK16" t="e">
        <f>'Technical Skills Weighting'!132:132-"`FU!'n"</f>
        <v>#VALUE!</v>
      </c>
      <c r="BL16" t="e">
        <f>'Technical Skills Weighting'!133:133-"`FU!'o"</f>
        <v>#VALUE!</v>
      </c>
      <c r="BM16" t="e">
        <f>'Technical Skills Weighting'!134:134-"`FU!'p"</f>
        <v>#VALUE!</v>
      </c>
      <c r="BN16" t="e">
        <f>'Technical Skills Weighting'!135:135-"`FU!'q"</f>
        <v>#VALUE!</v>
      </c>
      <c r="BO16" t="e">
        <f>'Technical Skills Weighting'!136:136-"`FU!'r"</f>
        <v>#VALUE!</v>
      </c>
      <c r="BP16" t="e">
        <f>'Technical Skills Weighting'!137:137-"`FU!'s"</f>
        <v>#VALUE!</v>
      </c>
      <c r="BQ16" t="e">
        <f>'Technical Skills Weighting'!138:138-"`FU!'t"</f>
        <v>#VALUE!</v>
      </c>
      <c r="BR16" t="e">
        <f>'Technical Skills Weighting'!139:139-"`FU!'u"</f>
        <v>#VALUE!</v>
      </c>
      <c r="BS16" t="e">
        <f>'Technical Skills Weighting'!140:140-"`FU!'v"</f>
        <v>#VALUE!</v>
      </c>
      <c r="BT16" t="e">
        <f>'Technical Skills Weighting'!141:141-"`FU!'w"</f>
        <v>#VALUE!</v>
      </c>
      <c r="BU16" t="e">
        <f>'Technical Skills Weighting'!142:142-"`FU!'x"</f>
        <v>#VALUE!</v>
      </c>
      <c r="BV16" t="e">
        <f>'Technical Skills Weighting'!143:143-"`FU!'y"</f>
        <v>#VALUE!</v>
      </c>
      <c r="BW16" t="e">
        <f>'Technical Skills Weighting'!144:144-"`FU!'z"</f>
        <v>#VALUE!</v>
      </c>
      <c r="BX16" t="e">
        <f>'Technical Skills Weighting'!145:145-"`FU!'{"</f>
        <v>#VALUE!</v>
      </c>
      <c r="BY16" t="e">
        <f>'Technical Skills Weighting'!146:146-"`FU!'|"</f>
        <v>#VALUE!</v>
      </c>
      <c r="BZ16" t="e">
        <f>'Technical Skills Weighting'!147:147-"`FU!'}"</f>
        <v>#VALUE!</v>
      </c>
      <c r="CA16" t="e">
        <f>'Technical Skills Weighting'!148:148-"`FU!'~"</f>
        <v>#VALUE!</v>
      </c>
      <c r="CB16" t="e">
        <f>'Technical Skills Weighting'!149:149-"`FU!(#"</f>
        <v>#VALUE!</v>
      </c>
      <c r="CC16" t="e">
        <f>'Technical Skills Weighting'!150:150-"`FU!($"</f>
        <v>#VALUE!</v>
      </c>
      <c r="CD16" t="e">
        <f>'Technical Skills Weighting'!151:151-"`FU!(%"</f>
        <v>#VALUE!</v>
      </c>
      <c r="CE16" t="e">
        <f>'Technical Skills Weighting'!152:152-"`FU!(&amp;"</f>
        <v>#VALUE!</v>
      </c>
      <c r="CF16" t="e">
        <f>'Technical Skills Weighting'!153:153-"`FU!('"</f>
        <v>#VALUE!</v>
      </c>
      <c r="CG16" t="e">
        <f>'Technical Skills Weighting'!154:154-"`FU!(("</f>
        <v>#VALUE!</v>
      </c>
      <c r="CH16" t="e">
        <f>'Technical Skills Weighting'!155:155-"`FU!()"</f>
        <v>#VALUE!</v>
      </c>
      <c r="CI16" t="e">
        <f>'Technical Skills Weighting'!156:156-"`FU!(."</f>
        <v>#VALUE!</v>
      </c>
      <c r="CJ16" t="e">
        <f>'Technical Skills Weighting'!157:157-"`FU!(/"</f>
        <v>#VALUE!</v>
      </c>
      <c r="CK16" t="e">
        <f>'Technical Skills Weighting'!158:158-"`FU!(0"</f>
        <v>#VALUE!</v>
      </c>
      <c r="CL16" t="e">
        <f>'Technical Skills Weighting'!159:159-"`FU!(1"</f>
        <v>#VALUE!</v>
      </c>
      <c r="CM16" t="e">
        <f>'Technical Skills Weighting'!160:160-"`FU!(2"</f>
        <v>#VALUE!</v>
      </c>
      <c r="CN16" t="e">
        <f>'Technical Skills Weighting'!161:161-"`FU!(3"</f>
        <v>#VALUE!</v>
      </c>
      <c r="CO16" t="e">
        <f>'Technical Skills Weighting'!162:162-"`FU!(4"</f>
        <v>#VALUE!</v>
      </c>
      <c r="CP16" t="e">
        <f>'Technical Skills Weighting'!163:163-"`FU!(5"</f>
        <v>#VALUE!</v>
      </c>
      <c r="CQ16" t="e">
        <f>'Technical Skills Weighting'!164:164-"`FU!(6"</f>
        <v>#VALUE!</v>
      </c>
      <c r="CR16" t="e">
        <f>'Technical Skills Weighting'!165:165-"`FU!(7"</f>
        <v>#VALUE!</v>
      </c>
      <c r="CS16" t="e">
        <f>'Technical Skills Weighting'!166:166-"`FU!(8"</f>
        <v>#VALUE!</v>
      </c>
      <c r="CT16" t="e">
        <f>'Technical Skills Weighting'!167:167-"`FU!(9"</f>
        <v>#VALUE!</v>
      </c>
      <c r="CU16" t="e">
        <f>'Technical Skills Weighting'!168:168-"`FU!(:"</f>
        <v>#VALUE!</v>
      </c>
      <c r="CV16" t="e">
        <f>'Technical Skills Weighting'!169:169-"`FU!(;"</f>
        <v>#VALUE!</v>
      </c>
      <c r="CW16" t="e">
        <f>'Technical Skills Weighting'!170:170-"`FU!(&lt;"</f>
        <v>#VALUE!</v>
      </c>
      <c r="CX16" t="e">
        <f>'Technical Skills Weighting'!171:171-"`FU!(="</f>
        <v>#VALUE!</v>
      </c>
      <c r="CY16" t="e">
        <f>'Technical Skills Weighting'!172:172-"`FU!(&gt;"</f>
        <v>#VALUE!</v>
      </c>
      <c r="CZ16" t="e">
        <f>'Technical Skills Weighting'!173:173-"`FU!(?"</f>
        <v>#VALUE!</v>
      </c>
      <c r="DA16" t="e">
        <f>'Technical Skills Weighting'!174:174-"`FU!(@"</f>
        <v>#VALUE!</v>
      </c>
      <c r="DB16" t="e">
        <f>'Technical Skills Weighting'!175:175-"`FU!(A"</f>
        <v>#VALUE!</v>
      </c>
      <c r="DC16" t="e">
        <f>'Technical Skills Weighting'!176:176-"`FU!(B"</f>
        <v>#VALUE!</v>
      </c>
      <c r="DD16" t="e">
        <f>'Technical Skills Weighting'!177:177-"`FU!(C"</f>
        <v>#VALUE!</v>
      </c>
      <c r="DE16" t="e">
        <f>'Technical Skills Weighting'!178:178-"`FU!(D"</f>
        <v>#VALUE!</v>
      </c>
      <c r="DF16" t="e">
        <f>'Technical Skills Weighting'!179:179-"`FU!(E"</f>
        <v>#VALUE!</v>
      </c>
      <c r="DG16" t="e">
        <f>'Technical Skills Weighting'!180:180-"`FU!(F"</f>
        <v>#VALUE!</v>
      </c>
      <c r="DH16" t="e">
        <f>'Technical Skills Weighting'!181:181-"`FU!(G"</f>
        <v>#VALUE!</v>
      </c>
      <c r="DI16" t="e">
        <f>'Technical Skills Weighting'!182:182-"`FU!(H"</f>
        <v>#VALUE!</v>
      </c>
      <c r="DJ16" t="e">
        <f>'Technical Skills Weighting'!183:183-"`FU!(I"</f>
        <v>#VALUE!</v>
      </c>
      <c r="DK16" t="e">
        <f>'Technical Skills Weighting'!184:184-"`FU!(J"</f>
        <v>#VALUE!</v>
      </c>
      <c r="DL16" t="e">
        <f>'Technical Skills Weighting'!185:185-"`FU!(K"</f>
        <v>#VALUE!</v>
      </c>
      <c r="DM16" t="e">
        <f>'Technical Skills Weighting'!186:186-"`FU!(L"</f>
        <v>#VALUE!</v>
      </c>
      <c r="DN16" t="e">
        <f>'Technical Skills Weighting'!187:187-"`FU!(M"</f>
        <v>#VALUE!</v>
      </c>
      <c r="DO16" t="e">
        <f>'Technical Skills Weighting'!188:188-"`FU!(N"</f>
        <v>#VALUE!</v>
      </c>
      <c r="DP16" t="e">
        <f>'Technical Skills Weighting'!189:189-"`FU!(O"</f>
        <v>#VALUE!</v>
      </c>
      <c r="DQ16" t="e">
        <f>'Technical Skills Weighting'!190:190-"`FU!(P"</f>
        <v>#VALUE!</v>
      </c>
      <c r="DR16" t="e">
        <f>'Technical Skills Weighting'!191:191-"`FU!(Q"</f>
        <v>#VALUE!</v>
      </c>
      <c r="DS16" t="e">
        <f>'Technical Skills Weighting'!192:192-"`FU!(R"</f>
        <v>#VALUE!</v>
      </c>
      <c r="DT16" t="e">
        <f>'Technical Skills Weighting'!193:193-"`FU!(S"</f>
        <v>#VALUE!</v>
      </c>
      <c r="DU16" t="e">
        <f>'Technical Skills Weighting'!194:194-"`FU!(T"</f>
        <v>#VALUE!</v>
      </c>
      <c r="DV16" t="e">
        <f>'Technical Skills Weighting'!195:195-"`FU!(U"</f>
        <v>#VALUE!</v>
      </c>
      <c r="DW16" t="e">
        <f>'Technical Skills Weighting'!196:196-"`FU!(V"</f>
        <v>#VALUE!</v>
      </c>
      <c r="DX16" t="e">
        <f>'Technical Skills Weighting'!197:197-"`FU!(W"</f>
        <v>#VALUE!</v>
      </c>
      <c r="DY16" t="e">
        <f>'Technical Skills Weighting'!198:198-"`FU!(X"</f>
        <v>#VALUE!</v>
      </c>
      <c r="DZ16" t="e">
        <f>'Technical Skills Weighting'!199:199-"`FU!(Y"</f>
        <v>#VALUE!</v>
      </c>
      <c r="EA16" t="e">
        <f>'Technical Skills Weighting'!200:200-"`FU!(Z"</f>
        <v>#VALUE!</v>
      </c>
      <c r="EB16" t="e">
        <f>'Technical Skills Weighting'!201:201-"`FU!(["</f>
        <v>#VALUE!</v>
      </c>
      <c r="EC16" t="e">
        <f>'Technical Skills Weighting'!202:202-"`FU!(\"</f>
        <v>#VALUE!</v>
      </c>
      <c r="ED16" t="e">
        <f>'Technical Skills Weighting'!203:203-"`FU!(]"</f>
        <v>#VALUE!</v>
      </c>
      <c r="EE16" t="e">
        <f>'Technical Skills Weighting'!204:204-"`FU!(^"</f>
        <v>#VALUE!</v>
      </c>
      <c r="EF16" t="e">
        <f>'Technical Skills Weighting'!205:205-"`FU!(_"</f>
        <v>#VALUE!</v>
      </c>
      <c r="EG16" t="e">
        <f>'Technical Skills Weighting'!206:206-"`FU!(`"</f>
        <v>#VALUE!</v>
      </c>
      <c r="EH16" t="e">
        <f>'Technical Skills Weighting'!207:207-"`FU!(a"</f>
        <v>#VALUE!</v>
      </c>
      <c r="EI16" t="e">
        <f>'Technical Skills Weighting'!208:208-"`FU!(b"</f>
        <v>#VALUE!</v>
      </c>
      <c r="EJ16" t="e">
        <f>'Technical Skills Weighting'!209:209-"`FU!(c"</f>
        <v>#VALUE!</v>
      </c>
      <c r="EK16" t="e">
        <f>'Technical Skills Weighting'!210:210-"`FU!(d"</f>
        <v>#VALUE!</v>
      </c>
      <c r="EL16" t="e">
        <f>'Technical Skills Weighting'!211:211-"`FU!(e"</f>
        <v>#VALUE!</v>
      </c>
      <c r="EM16" t="e">
        <f>'Technical Skills Weighting'!212:212-"`FU!(f"</f>
        <v>#VALUE!</v>
      </c>
      <c r="EN16" t="e">
        <f>'Technical Skills Weighting'!213:213-"`FU!(g"</f>
        <v>#VALUE!</v>
      </c>
      <c r="EO16" t="e">
        <f>'Technical Skills Weighting'!214:214-"`FU!(h"</f>
        <v>#VALUE!</v>
      </c>
      <c r="EP16" t="e">
        <f>'Technical Skills Weighting'!215:215-"`FU!(i"</f>
        <v>#VALUE!</v>
      </c>
      <c r="EQ16" t="e">
        <f>'Technical Skills Weighting'!216:216-"`FU!(j"</f>
        <v>#VALUE!</v>
      </c>
      <c r="ER16" t="e">
        <f>'Technical Skills Weighting'!217:217-"`FU!(k"</f>
        <v>#VALUE!</v>
      </c>
      <c r="ES16" t="e">
        <f>'Technical Skills Weighting'!218:218-"`FU!(l"</f>
        <v>#VALUE!</v>
      </c>
      <c r="ET16" t="e">
        <f>'Technical Skills Weighting'!219:219-"`FU!(m"</f>
        <v>#VALUE!</v>
      </c>
      <c r="EU16" t="e">
        <f>'Technical Skills Weighting'!220:220-"`FU!(n"</f>
        <v>#VALUE!</v>
      </c>
      <c r="EV16" t="e">
        <f>'Technical Skills Weighting'!221:221-"`FU!(o"</f>
        <v>#VALUE!</v>
      </c>
      <c r="EW16" t="e">
        <f>'Technical Skills Weighting'!222:222-"`FU!(p"</f>
        <v>#VALUE!</v>
      </c>
      <c r="EX16" t="e">
        <f>'Technical Skills Weighting'!223:223-"`FU!(q"</f>
        <v>#VALUE!</v>
      </c>
      <c r="EY16" t="e">
        <f>'Technical Skills Weighting'!224:224-"`FU!(r"</f>
        <v>#VALUE!</v>
      </c>
      <c r="EZ16" t="e">
        <f>'Technical Skills Weighting'!225:225-"`FU!(s"</f>
        <v>#VALUE!</v>
      </c>
      <c r="FA16" t="e">
        <f>'Technical Skills Weighting'!226:226-"`FU!(t"</f>
        <v>#VALUE!</v>
      </c>
      <c r="FB16" t="e">
        <f>'Technical Skills Weighting'!227:227-"`FU!(u"</f>
        <v>#VALUE!</v>
      </c>
      <c r="FC16" t="e">
        <f>'Technical Skills Weighting'!228:228-"`FU!(v"</f>
        <v>#VALUE!</v>
      </c>
      <c r="FD16" t="e">
        <f>'Technical Skills Weighting'!229:229-"`FU!(w"</f>
        <v>#VALUE!</v>
      </c>
      <c r="FE16" t="e">
        <f>'Technical Skills Weighting'!230:230-"`FU!(x"</f>
        <v>#VALUE!</v>
      </c>
      <c r="FF16" t="e">
        <f>'Technical Skills Weighting'!231:231-"`FU!(y"</f>
        <v>#VALUE!</v>
      </c>
      <c r="FG16" t="e">
        <f>'Technical Skills Weighting'!232:232-"`FU!(z"</f>
        <v>#VALUE!</v>
      </c>
      <c r="FH16" t="e">
        <f>'Technical Skills Weighting'!233:233-"`FU!({"</f>
        <v>#VALUE!</v>
      </c>
      <c r="FI16" t="e">
        <f>'Technical Skills Weighting'!234:234-"`FU!(|"</f>
        <v>#VALUE!</v>
      </c>
      <c r="FJ16" t="e">
        <f>'Technical Skills Weighting'!235:235-"`FU!(}"</f>
        <v>#VALUE!</v>
      </c>
      <c r="FK16" t="e">
        <f>'Technical Skills Weighting'!236:236-"`FU!(~"</f>
        <v>#VALUE!</v>
      </c>
      <c r="FL16" t="e">
        <f>'Technical Skills Weighting'!237:237-"`FU!)#"</f>
        <v>#VALUE!</v>
      </c>
      <c r="FM16" t="e">
        <f>'Technical Skills Weighting'!238:238-"`FU!)$"</f>
        <v>#VALUE!</v>
      </c>
      <c r="FN16" t="e">
        <f>'Technical Skills Weighting'!239:239-"`FU!)%"</f>
        <v>#VALUE!</v>
      </c>
      <c r="FO16" t="e">
        <f>'Technical Skills Weighting'!240:240-"`FU!)&amp;"</f>
        <v>#VALUE!</v>
      </c>
      <c r="FP16" t="e">
        <f>'Technical Skills Weighting'!241:241-"`FU!)'"</f>
        <v>#VALUE!</v>
      </c>
      <c r="FQ16" t="e">
        <f>'Technical Skills Weighting'!242:242-"`FU!)("</f>
        <v>#VALUE!</v>
      </c>
      <c r="FR16" t="e">
        <f>'Technical Skills Weighting'!243:243-"`FU!))"</f>
        <v>#VALUE!</v>
      </c>
      <c r="FS16" t="e">
        <f>'Technical Skills Weighting'!244:244-"`FU!)."</f>
        <v>#VALUE!</v>
      </c>
      <c r="FT16" t="e">
        <f>'Technical Skills Weighting'!245:245-"`FU!)/"</f>
        <v>#VALUE!</v>
      </c>
      <c r="FU16" t="e">
        <f>'Technical Skills Weighting'!246:246-"`FU!)0"</f>
        <v>#VALUE!</v>
      </c>
      <c r="FV16" t="e">
        <f>'Technical Skills Weighting'!247:247-"`FU!)1"</f>
        <v>#VALUE!</v>
      </c>
      <c r="FW16" t="e">
        <f>'Technical Skills Weighting'!248:248-"`FU!)2"</f>
        <v>#VALUE!</v>
      </c>
      <c r="FX16" t="e">
        <f>'Technical Skills Weighting'!249:249-"`FU!)3"</f>
        <v>#VALUE!</v>
      </c>
      <c r="FY16" t="e">
        <f>'Technical Skills Weighting'!250:250-"`FU!)4"</f>
        <v>#VALUE!</v>
      </c>
      <c r="FZ16" t="e">
        <f>'Technical Skills Weighting'!251:251-"`FU!)5"</f>
        <v>#VALUE!</v>
      </c>
      <c r="GA16" t="e">
        <f>'Technical Skills Weighting'!252:252-"`FU!)6"</f>
        <v>#VALUE!</v>
      </c>
      <c r="GB16" t="e">
        <f>'Technical Skills Weighting'!253:253-"`FU!)7"</f>
        <v>#VALUE!</v>
      </c>
      <c r="GC16" t="e">
        <f>'Technical Skills Weighting'!254:254-"`FU!)8"</f>
        <v>#VALUE!</v>
      </c>
      <c r="GD16" t="e">
        <f>'Technical Skills Weighting'!255:255-"`FU!)9"</f>
        <v>#VALUE!</v>
      </c>
      <c r="GE16" t="e">
        <f>'Technical Skills Weighting'!256:256-"`FU!):"</f>
        <v>#VALUE!</v>
      </c>
      <c r="GF16" t="e">
        <f>'Technical Skills Weighting'!257:257-"`FU!);"</f>
        <v>#VALUE!</v>
      </c>
      <c r="GG16" t="e">
        <f>'Technical Skills Weighting'!258:258-"`FU!)&lt;"</f>
        <v>#VALUE!</v>
      </c>
      <c r="GH16" t="e">
        <f>'Technical Skills Weighting'!259:259-"`FU!)="</f>
        <v>#VALUE!</v>
      </c>
      <c r="GI16" t="e">
        <f>'Technical Skills Weighting'!260:260-"`FU!)&gt;"</f>
        <v>#VALUE!</v>
      </c>
      <c r="GJ16" t="e">
        <f>'Technical Skills Weighting'!261:261-"`FU!)?"</f>
        <v>#VALUE!</v>
      </c>
      <c r="GK16" t="e">
        <f>'Technical Skills Weighting'!262:262-"`FU!)@"</f>
        <v>#VALUE!</v>
      </c>
      <c r="GL16" t="e">
        <f>'Technical Skills Weighting'!263:263-"`FU!)A"</f>
        <v>#VALUE!</v>
      </c>
      <c r="GM16" t="e">
        <f>'Technical Skills Weighting'!264:264-"`FU!)B"</f>
        <v>#VALUE!</v>
      </c>
      <c r="GN16" t="e">
        <f>'Technical Skills Weighting'!265:265-"`FU!)C"</f>
        <v>#VALUE!</v>
      </c>
      <c r="GO16" t="e">
        <f>'Technical Skills Weighting'!266:266-"`FU!)D"</f>
        <v>#VALUE!</v>
      </c>
      <c r="GP16" t="e">
        <f>'Technical Skills Weighting'!267:267-"`FU!)E"</f>
        <v>#VALUE!</v>
      </c>
      <c r="GQ16" t="e">
        <f>'Technical Skills Weighting'!268:268-"`FU!)F"</f>
        <v>#VALUE!</v>
      </c>
      <c r="GR16" t="e">
        <f>'Technical Skills Weighting'!269:269-"`FU!)G"</f>
        <v>#VALUE!</v>
      </c>
      <c r="GS16" t="e">
        <f>'Technical Skills Weighting'!270:270-"`FU!)H"</f>
        <v>#VALUE!</v>
      </c>
      <c r="GT16" t="e">
        <f>'Technical Skills Weighting'!271:271-"`FU!)I"</f>
        <v>#VALUE!</v>
      </c>
      <c r="GU16" t="e">
        <f>'Technical Skills Weighting'!272:272-"`FU!)J"</f>
        <v>#VALUE!</v>
      </c>
      <c r="GV16" t="e">
        <f>'Technical Skills Weighting'!273:273-"`FU!)K"</f>
        <v>#VALUE!</v>
      </c>
      <c r="GW16" t="e">
        <f>'Technical Skills Weighting'!274:274-"`FU!)L"</f>
        <v>#VALUE!</v>
      </c>
      <c r="GX16" t="e">
        <f>'Technical Skills Weighting'!275:275-"`FU!)M"</f>
        <v>#VALUE!</v>
      </c>
      <c r="GY16" t="e">
        <f>'Technical Skills Weighting'!276:276-"`FU!)N"</f>
        <v>#VALUE!</v>
      </c>
      <c r="GZ16" t="e">
        <f>'Technical Skills Weighting'!277:277-"`FU!)O"</f>
        <v>#VALUE!</v>
      </c>
      <c r="HA16" t="e">
        <f>'Technical Skills Weighting'!278:278-"`FU!)P"</f>
        <v>#VALUE!</v>
      </c>
      <c r="HB16" t="e">
        <f>'Technical Skills Weighting'!279:279-"`FU!)Q"</f>
        <v>#VALUE!</v>
      </c>
      <c r="HC16" t="e">
        <f>'Technical Skills Weighting'!280:280-"`FU!)R"</f>
        <v>#VALUE!</v>
      </c>
      <c r="HD16" t="e">
        <f>'Technical Skills Weighting'!281:281-"`FU!)S"</f>
        <v>#VALUE!</v>
      </c>
      <c r="HE16" t="e">
        <f>'Technical Skills Weighting'!282:282-"`FU!)T"</f>
        <v>#VALUE!</v>
      </c>
      <c r="HF16" t="e">
        <f>'Technical Skills Weighting'!283:283-"`FU!)U"</f>
        <v>#VALUE!</v>
      </c>
      <c r="HG16" t="e">
        <f>'Technical Skills Weighting'!284:284-"`FU!)V"</f>
        <v>#VALUE!</v>
      </c>
      <c r="HH16" t="e">
        <f>'Technical Skills Weighting'!285:285-"`FU!)W"</f>
        <v>#VALUE!</v>
      </c>
      <c r="HI16" t="e">
        <f>'Technical Skills Weighting'!286:286-"`FU!)X"</f>
        <v>#VALUE!</v>
      </c>
      <c r="HJ16" t="e">
        <f>'Technical Skills Weighting'!287:287-"`FU!)Y"</f>
        <v>#VALUE!</v>
      </c>
      <c r="HK16" t="e">
        <f>'Technical Skills Weighting'!288:288-"`FU!)Z"</f>
        <v>#VALUE!</v>
      </c>
      <c r="HL16" t="e">
        <f>'Technical Skills Weighting'!289:289-"`FU!)["</f>
        <v>#VALUE!</v>
      </c>
      <c r="HM16" t="e">
        <f>'Technical Skills Weighting'!290:290-"`FU!)\"</f>
        <v>#VALUE!</v>
      </c>
      <c r="HN16" t="e">
        <f>'Technical Skills Weighting'!291:291-"`FU!)]"</f>
        <v>#VALUE!</v>
      </c>
      <c r="HO16" t="e">
        <f>'Technical Skills Weighting'!292:292-"`FU!)^"</f>
        <v>#VALUE!</v>
      </c>
      <c r="HP16" t="e">
        <f>'Technical Skills Weighting'!293:293-"`FU!)_"</f>
        <v>#VALUE!</v>
      </c>
      <c r="HQ16" t="e">
        <f>'Technical Skills Weighting'!294:294-"`FU!)`"</f>
        <v>#VALUE!</v>
      </c>
      <c r="HR16" t="e">
        <f>'Technical Skills Weighting'!295:295-"`FU!)a"</f>
        <v>#VALUE!</v>
      </c>
      <c r="HS16" t="e">
        <f>'Technical Skills Weighting'!296:296-"`FU!)b"</f>
        <v>#VALUE!</v>
      </c>
      <c r="HT16" t="e">
        <f>'Technical Skills Weighting'!297:297-"`FU!)c"</f>
        <v>#VALUE!</v>
      </c>
      <c r="HU16" t="e">
        <f>'Technical Skills Weighting'!298:298-"`FU!)d"</f>
        <v>#VALUE!</v>
      </c>
      <c r="HV16" t="e">
        <f>'Technical Skills Weighting'!299:299-"`FU!)e"</f>
        <v>#VALUE!</v>
      </c>
      <c r="HW16" t="e">
        <f>'Technical Skills Weighting'!300:300-"`FU!)f"</f>
        <v>#VALUE!</v>
      </c>
      <c r="HX16" t="e">
        <f>'Technical Skills Weighting'!301:301-"`FU!)g"</f>
        <v>#VALUE!</v>
      </c>
      <c r="HY16" t="e">
        <f>'Technical Skills Weighting'!302:302-"`FU!)h"</f>
        <v>#VALUE!</v>
      </c>
      <c r="HZ16" t="e">
        <f>'Technical Skills Weighting'!303:303-"`FU!)i"</f>
        <v>#VALUE!</v>
      </c>
      <c r="IA16" t="e">
        <f>'Technical Skills Weighting'!304:304-"`FU!)j"</f>
        <v>#VALUE!</v>
      </c>
      <c r="IB16" t="e">
        <f>'Technical Skills Weighting'!305:305-"`FU!)k"</f>
        <v>#VALUE!</v>
      </c>
      <c r="IC16" t="e">
        <f>'Technical Skills Weighting'!306:306-"`FU!)l"</f>
        <v>#VALUE!</v>
      </c>
      <c r="ID16" t="e">
        <f>'Technical Skills Weighting'!307:307-"`FU!)m"</f>
        <v>#VALUE!</v>
      </c>
      <c r="IE16" t="e">
        <f>'Technical Skills Weighting'!308:308-"`FU!)n"</f>
        <v>#VALUE!</v>
      </c>
      <c r="IF16" t="e">
        <f>'Technical Skills Weighting'!309:309-"`FU!)o"</f>
        <v>#VALUE!</v>
      </c>
      <c r="IG16" t="e">
        <f>'Technical Skills Weighting'!310:310-"`FU!)p"</f>
        <v>#VALUE!</v>
      </c>
      <c r="IH16" t="e">
        <f>'Technical Skills Weighting'!311:311-"`FU!)q"</f>
        <v>#VALUE!</v>
      </c>
      <c r="II16" t="e">
        <f>'Technical Skills Weighting'!312:312-"`FU!)r"</f>
        <v>#VALUE!</v>
      </c>
      <c r="IJ16" t="e">
        <f>'Technical Skills Weighting'!313:313-"`FU!)s"</f>
        <v>#VALUE!</v>
      </c>
      <c r="IK16" t="e">
        <f>'Technical Skills Weighting'!314:314-"`FU!)t"</f>
        <v>#VALUE!</v>
      </c>
      <c r="IL16" t="e">
        <f>'Technical Skills Weighting'!315:315-"`FU!)u"</f>
        <v>#VALUE!</v>
      </c>
      <c r="IM16" t="e">
        <f>'Technical Skills Weighting'!316:316-"`FU!)v"</f>
        <v>#VALUE!</v>
      </c>
      <c r="IN16" t="e">
        <f>'Technical Skills Weighting'!317:317-"`FU!)w"</f>
        <v>#VALUE!</v>
      </c>
      <c r="IO16" t="e">
        <f>'Technical Skills Weighting'!318:318-"`FU!)x"</f>
        <v>#VALUE!</v>
      </c>
      <c r="IP16" t="e">
        <f>'Technical Skills Weighting'!319:319-"`FU!)y"</f>
        <v>#VALUE!</v>
      </c>
      <c r="IQ16" t="e">
        <f>'Technical Skills Weighting'!320:320-"`FU!)z"</f>
        <v>#VALUE!</v>
      </c>
      <c r="IR16" t="e">
        <f>'Technical Skills Weighting'!321:321-"`FU!){"</f>
        <v>#VALUE!</v>
      </c>
      <c r="IS16" t="e">
        <f>'Technical Skills Weighting'!322:322-"`FU!)|"</f>
        <v>#VALUE!</v>
      </c>
      <c r="IT16" t="e">
        <f>'Technical Skills Weighting'!323:323-"`FU!)}"</f>
        <v>#VALUE!</v>
      </c>
      <c r="IU16" t="e">
        <f>'Technical Skills Weighting'!324:324-"`FU!)~"</f>
        <v>#VALUE!</v>
      </c>
      <c r="IV16" t="e">
        <f>'Technical Skills Weighting'!325:325-"`FU!.#"</f>
        <v>#VALUE!</v>
      </c>
    </row>
    <row r="17" spans="6:256" x14ac:dyDescent="0.25">
      <c r="F17" t="e">
        <f>'Technical Skills Weighting'!326:326-"`FU!.$"</f>
        <v>#VALUE!</v>
      </c>
      <c r="G17" t="e">
        <f>'Technical Skills Weighting'!327:327-"`FU!.%"</f>
        <v>#VALUE!</v>
      </c>
      <c r="H17" t="e">
        <f>'Technical Skills Weighting'!328:328-"`FU!.&amp;"</f>
        <v>#VALUE!</v>
      </c>
      <c r="I17" t="e">
        <f>'Technical Skills Weighting'!329:329-"`FU!.'"</f>
        <v>#VALUE!</v>
      </c>
      <c r="J17" t="e">
        <f>'Technical Skills Weighting'!330:330-"`FU!.("</f>
        <v>#VALUE!</v>
      </c>
      <c r="K17" t="e">
        <f>'Technical Skills Weighting'!331:331-"`FU!.)"</f>
        <v>#VALUE!</v>
      </c>
      <c r="L17" t="e">
        <f>'Technical Skills Weighting'!332:332-"`FU!.."</f>
        <v>#VALUE!</v>
      </c>
      <c r="M17" t="e">
        <f>'Technical Skills Weighting'!333:333-"`FU!./"</f>
        <v>#VALUE!</v>
      </c>
      <c r="N17" t="e">
        <f>'Technical Skills Weighting'!334:334-"`FU!.0"</f>
        <v>#VALUE!</v>
      </c>
      <c r="O17" t="e">
        <f>'Technical Skills Weighting'!335:335-"`FU!.1"</f>
        <v>#VALUE!</v>
      </c>
      <c r="P17" t="e">
        <f>'Technical Skills Weighting'!336:336-"`FU!.2"</f>
        <v>#VALUE!</v>
      </c>
      <c r="Q17" t="e">
        <f>'Technical Skills Weighting'!337:337-"`FU!.3"</f>
        <v>#VALUE!</v>
      </c>
      <c r="R17" t="e">
        <f>'Technical Skills Weighting'!338:338-"`FU!.4"</f>
        <v>#VALUE!</v>
      </c>
      <c r="S17" t="e">
        <f>'Technical Skills Weighting'!339:339-"`FU!.5"</f>
        <v>#VALUE!</v>
      </c>
      <c r="T17" t="e">
        <f>'Technical Skills Weighting'!340:340-"`FU!.6"</f>
        <v>#VALUE!</v>
      </c>
      <c r="U17" t="e">
        <f>'Technical Skills Weighting'!341:341-"`FU!.7"</f>
        <v>#VALUE!</v>
      </c>
      <c r="V17" t="e">
        <f>'Technical Skills Weighting'!342:342-"`FU!.8"</f>
        <v>#VALUE!</v>
      </c>
      <c r="W17" t="e">
        <f>'Technical Skills Weighting'!343:343-"`FU!.9"</f>
        <v>#VALUE!</v>
      </c>
      <c r="X17" t="e">
        <f>'Technical Skills Weighting'!344:344-"`FU!.:"</f>
        <v>#VALUE!</v>
      </c>
      <c r="Y17" t="e">
        <f>'Technical Skills Weighting'!345:345-"`FU!.;"</f>
        <v>#VALUE!</v>
      </c>
      <c r="Z17" t="e">
        <f>'Technical Skills Weighting'!346:346-"`FU!.&lt;"</f>
        <v>#VALUE!</v>
      </c>
      <c r="AA17" t="e">
        <f>'Technical Skills Weighting'!347:347-"`FU!.="</f>
        <v>#VALUE!</v>
      </c>
      <c r="AB17" t="e">
        <f>'Technical Skills Weighting'!348:348-"`FU!.&gt;"</f>
        <v>#VALUE!</v>
      </c>
      <c r="AC17" t="e">
        <f>'Technical Skills Weighting'!349:349-"`FU!.?"</f>
        <v>#VALUE!</v>
      </c>
      <c r="AD17" t="e">
        <f>'Technical Skills Weighting'!350:350-"`FU!.@"</f>
        <v>#VALUE!</v>
      </c>
      <c r="AE17" t="e">
        <f>'Technical Skills Weighting'!351:351-"`FU!.A"</f>
        <v>#VALUE!</v>
      </c>
      <c r="AF17" t="e">
        <f>'Technical Skills Weighting'!352:352-"`FU!.B"</f>
        <v>#VALUE!</v>
      </c>
      <c r="AG17" t="e">
        <f>'Technical Skills Weighting'!353:353-"`FU!.C"</f>
        <v>#VALUE!</v>
      </c>
      <c r="AH17" t="e">
        <f>'Technical Skills Weighting'!354:354-"`FU!.D"</f>
        <v>#VALUE!</v>
      </c>
      <c r="AI17" t="e">
        <f>'Technical Skills Weighting'!355:355-"`FU!.E"</f>
        <v>#VALUE!</v>
      </c>
      <c r="AJ17" t="e">
        <f>'Technical Skills Weighting'!356:356-"`FU!.F"</f>
        <v>#VALUE!</v>
      </c>
      <c r="AK17" t="e">
        <f>'Technical Skills Weighting'!357:357-"`FU!.G"</f>
        <v>#VALUE!</v>
      </c>
      <c r="AL17" t="e">
        <f>'Technical Skills Weighting'!358:358-"`FU!.H"</f>
        <v>#VALUE!</v>
      </c>
      <c r="AM17" t="e">
        <f>'Technical Skills Weighting'!359:359-"`FU!.I"</f>
        <v>#VALUE!</v>
      </c>
      <c r="AN17" t="e">
        <f>'Technical Skills Weighting'!360:360-"`FU!.J"</f>
        <v>#VALUE!</v>
      </c>
      <c r="AO17" t="e">
        <f>'Technical Skills Weighting'!361:361-"`FU!.K"</f>
        <v>#VALUE!</v>
      </c>
      <c r="AP17" t="e">
        <f>'Technical Skills Weighting'!362:362-"`FU!.L"</f>
        <v>#VALUE!</v>
      </c>
      <c r="AQ17" t="e">
        <f>'Technical Skills Weighting'!363:363-"`FU!.M"</f>
        <v>#VALUE!</v>
      </c>
      <c r="AR17" t="e">
        <f>'Technical Skills Weighting'!364:364-"`FU!.N"</f>
        <v>#VALUE!</v>
      </c>
      <c r="AS17" t="e">
        <f>'Technical Skills Weighting'!365:365-"`FU!.O"</f>
        <v>#VALUE!</v>
      </c>
      <c r="AT17" t="e">
        <f>'Technical Skills Weighting'!366:366-"`FU!.P"</f>
        <v>#VALUE!</v>
      </c>
      <c r="AU17" t="e">
        <f>'Technical Skills Weighting'!367:367-"`FU!.Q"</f>
        <v>#VALUE!</v>
      </c>
      <c r="AV17" t="e">
        <f>'Technical Skills Weighting'!368:368-"`FU!.R"</f>
        <v>#VALUE!</v>
      </c>
      <c r="AW17" t="e">
        <f>'Technical Skills Weighting'!369:369-"`FU!.S"</f>
        <v>#VALUE!</v>
      </c>
      <c r="AX17" t="e">
        <f>'Technical Skills Weighting'!370:370-"`FU!.T"</f>
        <v>#VALUE!</v>
      </c>
      <c r="AY17" t="e">
        <f>'Technical Skills Weighting'!371:371-"`FU!.U"</f>
        <v>#VALUE!</v>
      </c>
      <c r="AZ17" t="e">
        <f>'Technical Skills Weighting'!372:372-"`FU!.V"</f>
        <v>#VALUE!</v>
      </c>
      <c r="BA17" t="e">
        <f>'Technical Skills Weighting'!373:373-"`FU!.W"</f>
        <v>#VALUE!</v>
      </c>
      <c r="BB17" t="e">
        <f>'Technical Skills Weighting'!374:374-"`FU!.X"</f>
        <v>#VALUE!</v>
      </c>
      <c r="BC17" t="e">
        <f>'Technical Skills Weighting'!375:375-"`FU!.Y"</f>
        <v>#VALUE!</v>
      </c>
      <c r="BD17" t="e">
        <f>'Technical Skills Weighting'!376:376-"`FU!.Z"</f>
        <v>#VALUE!</v>
      </c>
      <c r="BE17" t="e">
        <f>'Technical Skills Weighting'!377:377-"`FU!.["</f>
        <v>#VALUE!</v>
      </c>
      <c r="BF17" t="e">
        <f>'Technical Skills Weighting'!378:378-"`FU!.\"</f>
        <v>#VALUE!</v>
      </c>
      <c r="BG17" t="e">
        <f>'Technical Skills Weighting'!379:379-"`FU!.]"</f>
        <v>#VALUE!</v>
      </c>
      <c r="BH17" t="e">
        <f>'Technical Skills Weighting'!380:380-"`FU!.^"</f>
        <v>#VALUE!</v>
      </c>
      <c r="BI17" t="e">
        <f>'Technical Skills Weighting'!381:381-"`FU!._"</f>
        <v>#VALUE!</v>
      </c>
      <c r="BJ17" t="e">
        <f>'Technical Skills Weighting'!382:382-"`FU!.`"</f>
        <v>#VALUE!</v>
      </c>
      <c r="BK17" t="e">
        <f>'Technical Skills Weighting'!383:383-"`FU!.a"</f>
        <v>#VALUE!</v>
      </c>
      <c r="BL17" t="e">
        <f>'Technical Skills Weighting'!384:384-"`FU!.b"</f>
        <v>#VALUE!</v>
      </c>
      <c r="BM17" t="e">
        <f>'Technical Skills Weighting'!385:385-"`FU!.c"</f>
        <v>#VALUE!</v>
      </c>
      <c r="BN17" t="e">
        <f>'Technical Skills Weighting'!386:386-"`FU!.d"</f>
        <v>#VALUE!</v>
      </c>
      <c r="BO17" t="e">
        <f>'Technical Skills Weighting'!387:387-"`FU!.e"</f>
        <v>#VALUE!</v>
      </c>
      <c r="BP17" t="e">
        <f>'Technical Skills Weighting'!388:388-"`FU!.f"</f>
        <v>#VALUE!</v>
      </c>
      <c r="BQ17" t="e">
        <f>'Technical Skills Weighting'!389:389-"`FU!.g"</f>
        <v>#VALUE!</v>
      </c>
      <c r="BR17" t="e">
        <f>'Technical Skills Weighting'!390:390-"`FU!.h"</f>
        <v>#VALUE!</v>
      </c>
      <c r="BS17" t="e">
        <f>'Technical Skills Weighting'!391:391-"`FU!.i"</f>
        <v>#VALUE!</v>
      </c>
      <c r="BT17" t="e">
        <f>'Technical Skills Weighting'!392:392-"`FU!.j"</f>
        <v>#VALUE!</v>
      </c>
      <c r="BU17" t="e">
        <f>'Technical Skills Weighting'!393:393-"`FU!.k"</f>
        <v>#VALUE!</v>
      </c>
      <c r="BV17" t="e">
        <f>'Technical Skills Weighting'!394:394-"`FU!.l"</f>
        <v>#VALUE!</v>
      </c>
      <c r="BW17" t="e">
        <f>'Technical Skills Weighting'!395:395-"`FU!.m"</f>
        <v>#VALUE!</v>
      </c>
      <c r="BX17" t="e">
        <f>'Technical Skills Weighting'!396:396-"`FU!.n"</f>
        <v>#VALUE!</v>
      </c>
      <c r="BY17" t="e">
        <f>'Technical Skills Weighting'!397:397-"`FU!.o"</f>
        <v>#VALUE!</v>
      </c>
      <c r="BZ17" t="e">
        <f>'Technical Skills Weighting'!398:398-"`FU!.p"</f>
        <v>#VALUE!</v>
      </c>
      <c r="CA17" t="e">
        <f>'Technical Skills Weighting'!399:399-"`FU!.q"</f>
        <v>#VALUE!</v>
      </c>
      <c r="CB17" t="e">
        <f>'Technical Skills Weighting'!400:400-"`FU!.r"</f>
        <v>#VALUE!</v>
      </c>
      <c r="CC17" t="e">
        <f>'Technical Skills Weighting'!401:401-"`FU!.s"</f>
        <v>#VALUE!</v>
      </c>
      <c r="CD17" t="e">
        <f>'Technical Skills Weighting'!402:402-"`FU!.t"</f>
        <v>#VALUE!</v>
      </c>
      <c r="CE17" t="e">
        <f>'Technical Skills Weighting'!403:403-"`FU!.u"</f>
        <v>#VALUE!</v>
      </c>
      <c r="CF17" t="e">
        <f>'Technical Skills Weighting'!404:404-"`FU!.v"</f>
        <v>#VALUE!</v>
      </c>
      <c r="CG17" t="e">
        <f>'Technical Skills Weighting'!405:405-"`FU!.w"</f>
        <v>#VALUE!</v>
      </c>
      <c r="CH17" t="e">
        <f>'Technical Skills Weighting'!406:406-"`FU!.x"</f>
        <v>#VALUE!</v>
      </c>
      <c r="CI17" t="e">
        <f>'Technical Skills Weighting'!407:407-"`FU!.y"</f>
        <v>#VALUE!</v>
      </c>
      <c r="CJ17" t="e">
        <f>'Technical Skills Weighting'!408:408-"`FU!.z"</f>
        <v>#VALUE!</v>
      </c>
      <c r="CK17" t="e">
        <f>'Technical Skills Weighting'!409:409-"`FU!.{"</f>
        <v>#VALUE!</v>
      </c>
      <c r="CL17" t="e">
        <f>'Technical Skills Weighting'!410:410-"`FU!.|"</f>
        <v>#VALUE!</v>
      </c>
      <c r="CM17" t="e">
        <f>'Technical Skills Weighting'!411:411-"`FU!.}"</f>
        <v>#VALUE!</v>
      </c>
      <c r="CN17" t="e">
        <f>'Technical Skills Weighting'!412:412-"`FU!.~"</f>
        <v>#VALUE!</v>
      </c>
      <c r="CO17" t="e">
        <f>'Technical Skills Weighting'!413:413-"`FU!/#"</f>
        <v>#VALUE!</v>
      </c>
      <c r="CP17" t="e">
        <f>'Technical Skills Weighting'!414:414-"`FU!/$"</f>
        <v>#VALUE!</v>
      </c>
      <c r="CQ17" t="e">
        <f>'Technical Skills Weighting'!415:415-"`FU!/%"</f>
        <v>#VALUE!</v>
      </c>
      <c r="CR17" t="e">
        <f>'Technical Skills Weighting'!416:416-"`FU!/&amp;"</f>
        <v>#VALUE!</v>
      </c>
      <c r="CS17" t="e">
        <f>'Technical Skills Weighting'!417:417-"`FU!/'"</f>
        <v>#VALUE!</v>
      </c>
      <c r="CT17" t="e">
        <f>'Technical Skills Weighting'!418:418-"`FU!/("</f>
        <v>#VALUE!</v>
      </c>
      <c r="CU17" t="e">
        <f>'Technical Skills Weighting'!419:419-"`FU!/)"</f>
        <v>#VALUE!</v>
      </c>
      <c r="CV17" t="e">
        <f>'Technical Skills Weighting'!420:420-"`FU!/."</f>
        <v>#VALUE!</v>
      </c>
      <c r="CW17" t="e">
        <f>'Technical Skills Weighting'!421:421-"`FU!//"</f>
        <v>#VALUE!</v>
      </c>
      <c r="CX17" t="e">
        <f>'Technical Skills Weighting'!422:422-"`FU!/0"</f>
        <v>#VALUE!</v>
      </c>
      <c r="CY17" t="e">
        <f>'Technical Skills Weighting'!423:423-"`FU!/1"</f>
        <v>#VALUE!</v>
      </c>
      <c r="CZ17" t="e">
        <f>'Technical Skills Weighting'!424:424-"`FU!/2"</f>
        <v>#VALUE!</v>
      </c>
      <c r="DA17" t="e">
        <f>'Technical Skills Weighting'!425:425-"`FU!/3"</f>
        <v>#VALUE!</v>
      </c>
      <c r="DB17" t="e">
        <f>'Technical Skills Weighting'!426:426-"`FU!/4"</f>
        <v>#VALUE!</v>
      </c>
      <c r="DC17" t="e">
        <f>'Technical Skills Weighting'!427:427-"`FU!/5"</f>
        <v>#VALUE!</v>
      </c>
      <c r="DD17" t="e">
        <f>'Technical Skills Weighting'!428:428-"`FU!/6"</f>
        <v>#VALUE!</v>
      </c>
      <c r="DE17" t="e">
        <f>'Technical Skills Weighting'!429:429-"`FU!/7"</f>
        <v>#VALUE!</v>
      </c>
      <c r="DF17" t="e">
        <f>'Technical Skills Weighting'!430:430-"`FU!/8"</f>
        <v>#VALUE!</v>
      </c>
      <c r="DG17" t="e">
        <f>'Technical Skills Weighting'!431:431-"`FU!/9"</f>
        <v>#VALUE!</v>
      </c>
      <c r="DH17" t="e">
        <f>'Technical Skills Weighting'!432:432-"`FU!/:"</f>
        <v>#VALUE!</v>
      </c>
      <c r="DI17" t="e">
        <f>'Technical Skills Weighting'!433:433-"`FU!/;"</f>
        <v>#VALUE!</v>
      </c>
      <c r="DJ17" t="e">
        <f>'Technical Skills Weighting'!434:434-"`FU!/&lt;"</f>
        <v>#VALUE!</v>
      </c>
      <c r="DK17" t="e">
        <f>'Technical Skills Weighting'!435:435-"`FU!/="</f>
        <v>#VALUE!</v>
      </c>
      <c r="DL17" t="e">
        <f>'Technical Skills Weighting'!436:436-"`FU!/&gt;"</f>
        <v>#VALUE!</v>
      </c>
      <c r="DM17" t="e">
        <f>'Technical Skills Weighting'!437:437-"`FU!/?"</f>
        <v>#VALUE!</v>
      </c>
      <c r="DN17" t="e">
        <f>'Technical Skills Weighting'!438:438-"`FU!/@"</f>
        <v>#VALUE!</v>
      </c>
      <c r="DO17" t="e">
        <f>'Technical Skills Weighting'!439:439-"`FU!/A"</f>
        <v>#VALUE!</v>
      </c>
      <c r="DP17" t="e">
        <f>'Technical Skills Weighting'!440:440-"`FU!/B"</f>
        <v>#VALUE!</v>
      </c>
      <c r="DQ17" t="e">
        <f>'Technical Skills Weighting'!441:441-"`FU!/C"</f>
        <v>#VALUE!</v>
      </c>
      <c r="DR17" t="e">
        <f>'Technical Skills Weighting'!442:442-"`FU!/D"</f>
        <v>#VALUE!</v>
      </c>
      <c r="DS17" t="e">
        <f>'Technical Skills Weighting'!443:443-"`FU!/E"</f>
        <v>#VALUE!</v>
      </c>
      <c r="DT17" t="e">
        <f>'Technical Skills Weighting'!444:444-"`FU!/F"</f>
        <v>#VALUE!</v>
      </c>
      <c r="DU17" t="e">
        <f>'Technical Skills Weighting'!445:445-"`FU!/G"</f>
        <v>#VALUE!</v>
      </c>
      <c r="DV17" t="e">
        <f>'Technical Skills Weighting'!446:446-"`FU!/H"</f>
        <v>#VALUE!</v>
      </c>
      <c r="DW17" t="e">
        <f>'Technical Skills Weighting'!447:447-"`FU!/I"</f>
        <v>#VALUE!</v>
      </c>
      <c r="DX17" t="e">
        <f>'Technical Skills Weighting'!448:448-"`FU!/J"</f>
        <v>#VALUE!</v>
      </c>
      <c r="DY17" t="e">
        <f>'Technical Skills Weighting'!449:449-"`FU!/K"</f>
        <v>#VALUE!</v>
      </c>
      <c r="DZ17" t="e">
        <f>'Technical Skills Weighting'!450:450-"`FU!/L"</f>
        <v>#VALUE!</v>
      </c>
      <c r="EA17" t="e">
        <f>'Technical Skills Weighting'!451:451-"`FU!/M"</f>
        <v>#VALUE!</v>
      </c>
      <c r="EB17" t="e">
        <f>'Technical Skills Weighting'!452:452-"`FU!/N"</f>
        <v>#VALUE!</v>
      </c>
      <c r="EC17" t="e">
        <f>'Technical Skills Weighting'!453:453-"`FU!/O"</f>
        <v>#VALUE!</v>
      </c>
      <c r="ED17" t="e">
        <f>'Technical Skills Weighting'!454:454-"`FU!/P"</f>
        <v>#VALUE!</v>
      </c>
      <c r="EE17" t="e">
        <f>'Technical Skills Weighting'!455:455-"`FU!/Q"</f>
        <v>#VALUE!</v>
      </c>
      <c r="EF17" t="e">
        <f>'Technical Skills Weighting'!456:456-"`FU!/R"</f>
        <v>#VALUE!</v>
      </c>
      <c r="EG17" t="e">
        <f>'Technical Skills Weighting'!457:457-"`FU!/S"</f>
        <v>#VALUE!</v>
      </c>
      <c r="EH17" t="e">
        <f>'Technical Skills Weighting'!458:458-"`FU!/T"</f>
        <v>#VALUE!</v>
      </c>
      <c r="EI17" t="e">
        <f>'Technical Skills Weighting'!459:459-"`FU!/U"</f>
        <v>#VALUE!</v>
      </c>
      <c r="EJ17" t="e">
        <f>'Technical Skills Weighting'!460:460-"`FU!/V"</f>
        <v>#VALUE!</v>
      </c>
      <c r="EK17" t="e">
        <f>'Technical Skills Weighting'!461:461-"`FU!/W"</f>
        <v>#VALUE!</v>
      </c>
      <c r="EL17" t="e">
        <f>'Technical Skills Weighting'!462:462-"`FU!/X"</f>
        <v>#VALUE!</v>
      </c>
      <c r="EM17" t="e">
        <f>'Technical Skills Weighting'!463:463-"`FU!/Y"</f>
        <v>#VALUE!</v>
      </c>
      <c r="EN17" t="e">
        <f>'Technical Skills Weighting'!464:464-"`FU!/Z"</f>
        <v>#VALUE!</v>
      </c>
      <c r="EO17" t="e">
        <f>'Technical Skills Weighting'!465:465-"`FU!/["</f>
        <v>#VALUE!</v>
      </c>
      <c r="EP17" t="e">
        <f>'Technical Skills Weighting'!466:466-"`FU!/\"</f>
        <v>#VALUE!</v>
      </c>
      <c r="EQ17" t="e">
        <f>'Technical Skills Weighting'!467:467-"`FU!/]"</f>
        <v>#VALUE!</v>
      </c>
      <c r="ER17" t="e">
        <f>'Technical Skills Weighting'!468:468-"`FU!/^"</f>
        <v>#VALUE!</v>
      </c>
      <c r="ES17" t="e">
        <f>'Technical Skills Weighting'!469:469-"`FU!/_"</f>
        <v>#VALUE!</v>
      </c>
      <c r="ET17" t="e">
        <f>'Technical Skills Weighting'!470:470-"`FU!/`"</f>
        <v>#VALUE!</v>
      </c>
      <c r="EU17" t="e">
        <f>'Technical Skills Weighting'!471:471-"`FU!/a"</f>
        <v>#VALUE!</v>
      </c>
      <c r="EV17" t="e">
        <f>'Technical Skills Weighting'!472:472-"`FU!/b"</f>
        <v>#VALUE!</v>
      </c>
      <c r="EW17" t="e">
        <f>'Technical Skills Weighting'!473:473-"`FU!/c"</f>
        <v>#VALUE!</v>
      </c>
      <c r="EX17" t="e">
        <f>'Technical Skills Weighting'!474:474-"`FU!/d"</f>
        <v>#VALUE!</v>
      </c>
      <c r="EY17" t="e">
        <f>'Technical Skills Weighting'!475:475-"`FU!/e"</f>
        <v>#VALUE!</v>
      </c>
      <c r="EZ17" t="e">
        <f>'Technical Skills Weighting'!476:476-"`FU!/f"</f>
        <v>#VALUE!</v>
      </c>
      <c r="FA17" t="e">
        <f>'Technical Skills Weighting'!477:477-"`FU!/g"</f>
        <v>#VALUE!</v>
      </c>
      <c r="FB17" t="e">
        <f>'Technical Skills Weighting'!478:478-"`FU!/h"</f>
        <v>#VALUE!</v>
      </c>
      <c r="FC17" t="e">
        <f>'Technical Skills Weighting'!479:479-"`FU!/i"</f>
        <v>#VALUE!</v>
      </c>
      <c r="FD17" t="e">
        <f>'Technical Skills Weighting'!480:480-"`FU!/j"</f>
        <v>#VALUE!</v>
      </c>
      <c r="FE17" t="e">
        <f>'Technical Skills Weighting'!481:481-"`FU!/k"</f>
        <v>#VALUE!</v>
      </c>
      <c r="FF17" t="e">
        <f>'Technical Skills Weighting'!482:482-"`FU!/l"</f>
        <v>#VALUE!</v>
      </c>
      <c r="FG17" t="e">
        <f>'Technical Skills Weighting'!483:483-"`FU!/m"</f>
        <v>#VALUE!</v>
      </c>
      <c r="FH17" t="e">
        <f>'Technical Skills Weighting'!484:484-"`FU!/n"</f>
        <v>#VALUE!</v>
      </c>
      <c r="FI17" t="e">
        <f>'Technical Skills Weighting'!485:485-"`FU!/o"</f>
        <v>#VALUE!</v>
      </c>
      <c r="FJ17" t="e">
        <f>'Technical Skills Weighting'!486:486-"`FU!/p"</f>
        <v>#VALUE!</v>
      </c>
      <c r="FK17" t="e">
        <f>'Technical Skills Weighting'!487:487-"`FU!/q"</f>
        <v>#VALUE!</v>
      </c>
      <c r="FL17" t="e">
        <f>'Technical Skills Weighting'!488:488-"`FU!/r"</f>
        <v>#VALUE!</v>
      </c>
      <c r="FM17" t="e">
        <f>'Technical Skills Weighting'!489:489-"`FU!/s"</f>
        <v>#VALUE!</v>
      </c>
      <c r="FN17" t="e">
        <f>'Technical Skills Weighting'!490:490-"`FU!/t"</f>
        <v>#VALUE!</v>
      </c>
      <c r="FO17" t="e">
        <f>'Technical Skills Weighting'!491:491-"`FU!/u"</f>
        <v>#VALUE!</v>
      </c>
      <c r="FP17" t="e">
        <f>'Technical Skills Weighting'!492:492-"`FU!/v"</f>
        <v>#VALUE!</v>
      </c>
      <c r="FQ17" t="e">
        <f>'Technical Skills Weighting'!493:493-"`FU!/w"</f>
        <v>#VALUE!</v>
      </c>
      <c r="FR17" t="e">
        <f>'Technical Skills Weighting'!494:494-"`FU!/x"</f>
        <v>#VALUE!</v>
      </c>
      <c r="FS17" t="e">
        <f>'Technical Skills Weighting'!495:495-"`FU!/y"</f>
        <v>#VALUE!</v>
      </c>
      <c r="FT17" t="e">
        <f>'Technical Skills Weighting'!496:496-"`FU!/z"</f>
        <v>#VALUE!</v>
      </c>
      <c r="FU17" t="e">
        <f>'Technical Skills Weighting'!497:497-"`FU!/{"</f>
        <v>#VALUE!</v>
      </c>
      <c r="FV17" t="e">
        <f>'Technical Skills Weighting'!498:498-"`FU!/|"</f>
        <v>#VALUE!</v>
      </c>
      <c r="FW17" t="e">
        <f>'Technical Skills Weighting'!499:499-"`FU!/}"</f>
        <v>#VALUE!</v>
      </c>
      <c r="FX17" t="e">
        <f>'Technical Skills Weighting'!500:500-"`FU!/~"</f>
        <v>#VALUE!</v>
      </c>
      <c r="FY17" t="e">
        <f>'Technical Skills Weighting'!501:501-"`FU!0#"</f>
        <v>#VALUE!</v>
      </c>
      <c r="FZ17" t="e">
        <f>'Technical Skills Weighting'!502:502-"`FU!0$"</f>
        <v>#VALUE!</v>
      </c>
      <c r="GA17" t="e">
        <f>'Technical Skills Weighting'!503:503-"`FU!0%"</f>
        <v>#VALUE!</v>
      </c>
      <c r="GB17" t="e">
        <f>'Technical Skills Weighting'!504:504-"`FU!0&amp;"</f>
        <v>#VALUE!</v>
      </c>
      <c r="GC17" t="e">
        <f>'Technical Skills Weighting'!505:505-"`FU!0'"</f>
        <v>#VALUE!</v>
      </c>
      <c r="GD17" t="e">
        <f>'Technical Skills Weighting'!506:506-"`FU!0("</f>
        <v>#VALUE!</v>
      </c>
      <c r="GE17" t="e">
        <f>'Technical Skills Weighting'!507:507-"`FU!0)"</f>
        <v>#VALUE!</v>
      </c>
      <c r="GF17" t="e">
        <f>'Technical Skills Weighting'!508:508-"`FU!0."</f>
        <v>#VALUE!</v>
      </c>
      <c r="GG17" t="e">
        <f>'Technical Skills Weighting'!509:509-"`FU!0/"</f>
        <v>#VALUE!</v>
      </c>
      <c r="GH17" t="e">
        <f>'Technical Skills Weighting'!510:510-"`FU!00"</f>
        <v>#VALUE!</v>
      </c>
      <c r="GI17" t="e">
        <f>'Technical Skills Weighting'!511:511-"`FU!01"</f>
        <v>#VALUE!</v>
      </c>
      <c r="GJ17" t="e">
        <f>'Technical Skills Weighting'!512:512-"`FU!02"</f>
        <v>#VALUE!</v>
      </c>
      <c r="GK17" t="e">
        <f>'Technical Skills Weighting'!513:513-"`FU!03"</f>
        <v>#VALUE!</v>
      </c>
      <c r="GL17" t="e">
        <f>'Technical Skills Weighting'!514:514-"`FU!04"</f>
        <v>#VALUE!</v>
      </c>
      <c r="GM17" t="e">
        <f>'Technical Skills Weighting'!515:515-"`FU!05"</f>
        <v>#VALUE!</v>
      </c>
      <c r="GN17" t="e">
        <f>'Technical Skills Weighting'!516:516-"`FU!06"</f>
        <v>#VALUE!</v>
      </c>
      <c r="GO17" t="e">
        <f>'Technical Skills Weighting'!517:517-"`FU!07"</f>
        <v>#VALUE!</v>
      </c>
      <c r="GP17" t="e">
        <f>'Technical Skills Weighting'!518:518-"`FU!08"</f>
        <v>#VALUE!</v>
      </c>
      <c r="GQ17" t="e">
        <f>'Technical Skills Weighting'!519:519-"`FU!09"</f>
        <v>#VALUE!</v>
      </c>
      <c r="GR17" t="e">
        <f>'Technical Skills Weighting'!520:520-"`FU!0:"</f>
        <v>#VALUE!</v>
      </c>
      <c r="GS17" t="e">
        <f>'Technical Skills Weighting'!521:521-"`FU!0;"</f>
        <v>#VALUE!</v>
      </c>
      <c r="GT17" t="e">
        <f>'Technical Skills Weighting'!522:522-"`FU!0&lt;"</f>
        <v>#VALUE!</v>
      </c>
      <c r="GU17" t="e">
        <f>'Technical Skills Weighting'!523:523-"`FU!0="</f>
        <v>#VALUE!</v>
      </c>
      <c r="GV17" t="e">
        <f>'Technical Skills Weighting'!524:524-"`FU!0&gt;"</f>
        <v>#VALUE!</v>
      </c>
      <c r="GW17" t="e">
        <f>'Technical Skills Weighting'!525:525-"`FU!0?"</f>
        <v>#VALUE!</v>
      </c>
      <c r="GX17" t="e">
        <f>'Technical Skills Weighting'!526:526-"`FU!0@"</f>
        <v>#VALUE!</v>
      </c>
      <c r="GY17" t="e">
        <f>'Technical Skills Weighting'!527:527-"`FU!0A"</f>
        <v>#VALUE!</v>
      </c>
      <c r="GZ17" t="e">
        <f>'Technical Skills Weighting'!528:528-"`FU!0B"</f>
        <v>#VALUE!</v>
      </c>
      <c r="HA17" t="e">
        <f>'Technical Skills Weighting'!529:529-"`FU!0C"</f>
        <v>#VALUE!</v>
      </c>
      <c r="HB17" t="e">
        <f>'Technical Skills Weighting'!530:530-"`FU!0D"</f>
        <v>#VALUE!</v>
      </c>
      <c r="HC17" t="e">
        <f>'Technical Skills Weighting'!531:531-"`FU!0E"</f>
        <v>#VALUE!</v>
      </c>
      <c r="HD17" t="e">
        <f>'Technical Skills Weighting'!532:532-"`FU!0F"</f>
        <v>#VALUE!</v>
      </c>
      <c r="HE17" t="e">
        <f>'Technical Skills Weighting'!533:533-"`FU!0G"</f>
        <v>#VALUE!</v>
      </c>
      <c r="HF17" t="e">
        <f>'Technical Skills Weighting'!534:534-"`FU!0H"</f>
        <v>#VALUE!</v>
      </c>
      <c r="HG17" t="e">
        <f>'Technical Skills Weighting'!535:535-"`FU!0I"</f>
        <v>#VALUE!</v>
      </c>
      <c r="HH17" t="e">
        <f>'Technical Skills Weighting'!536:536-"`FU!0J"</f>
        <v>#VALUE!</v>
      </c>
      <c r="HI17" t="e">
        <f>'Technical Skills Weighting'!537:537-"`FU!0K"</f>
        <v>#VALUE!</v>
      </c>
      <c r="HJ17" t="e">
        <f>'Technical Skills Weighting'!538:538-"`FU!0L"</f>
        <v>#VALUE!</v>
      </c>
      <c r="HK17" t="e">
        <f>'Technical Skills Weighting'!539:539-"`FU!0M"</f>
        <v>#VALUE!</v>
      </c>
      <c r="HL17" t="e">
        <f>'Technical Skills Weighting'!540:540-"`FU!0N"</f>
        <v>#VALUE!</v>
      </c>
      <c r="HM17" t="e">
        <f>'Technical Skills Weighting'!541:541-"`FU!0O"</f>
        <v>#VALUE!</v>
      </c>
      <c r="HN17" t="e">
        <f>'Technical Skills Weighting'!542:542-"`FU!0P"</f>
        <v>#VALUE!</v>
      </c>
      <c r="HO17" t="e">
        <f>'Technical Skills Weighting'!543:543-"`FU!0Q"</f>
        <v>#VALUE!</v>
      </c>
      <c r="HP17" t="e">
        <f>'Technical Skills Weighting'!544:544-"`FU!0R"</f>
        <v>#VALUE!</v>
      </c>
      <c r="HQ17" t="e">
        <f>'Technical Skills Weighting'!545:545-"`FU!0S"</f>
        <v>#VALUE!</v>
      </c>
      <c r="HR17" t="e">
        <f>'Technical Skills Weighting'!546:546-"`FU!0T"</f>
        <v>#VALUE!</v>
      </c>
      <c r="HS17" t="e">
        <f>'Technical Skills Weighting'!547:547-"`FU!0U"</f>
        <v>#VALUE!</v>
      </c>
      <c r="HT17" t="e">
        <f>'Technical Skills Weighting'!548:548-"`FU!0V"</f>
        <v>#VALUE!</v>
      </c>
      <c r="HU17" t="e">
        <f>'Technical Skills Weighting'!549:549-"`FU!0W"</f>
        <v>#VALUE!</v>
      </c>
      <c r="HV17" t="e">
        <f>'Technical Skills Weighting'!550:550-"`FU!0X"</f>
        <v>#VALUE!</v>
      </c>
      <c r="HW17" t="e">
        <f>'Technical Skills Weighting'!551:551-"`FU!0Y"</f>
        <v>#VALUE!</v>
      </c>
      <c r="HX17" t="e">
        <f>'Technical Skills Weighting'!552:552-"`FU!0Z"</f>
        <v>#VALUE!</v>
      </c>
      <c r="HY17" t="e">
        <f>'Technical Skills Weighting'!553:553-"`FU!0["</f>
        <v>#VALUE!</v>
      </c>
      <c r="HZ17" t="e">
        <f>'Technical Skills Weighting'!554:554-"`FU!0\"</f>
        <v>#VALUE!</v>
      </c>
      <c r="IA17" t="e">
        <f>'Technical Skills Weighting'!555:555-"`FU!0]"</f>
        <v>#VALUE!</v>
      </c>
      <c r="IB17" t="e">
        <f>'Technical Skills Weighting'!556:556-"`FU!0^"</f>
        <v>#VALUE!</v>
      </c>
      <c r="IC17" t="e">
        <f>'Technical Skills Weighting'!557:557-"`FU!0_"</f>
        <v>#VALUE!</v>
      </c>
      <c r="ID17" t="e">
        <f>'Technical Skills Weighting'!558:558-"`FU!0`"</f>
        <v>#VALUE!</v>
      </c>
      <c r="IE17" t="e">
        <f>'Technical Skills Weighting'!559:559-"`FU!0a"</f>
        <v>#VALUE!</v>
      </c>
      <c r="IF17" t="e">
        <f>'Technical Skills Weighting'!560:560-"`FU!0b"</f>
        <v>#VALUE!</v>
      </c>
      <c r="IG17" t="e">
        <f>'Technical Skills Weighting'!561:561-"`FU!0c"</f>
        <v>#VALUE!</v>
      </c>
      <c r="IH17" t="e">
        <f>'Technical Skills Weighting'!562:562-"`FU!0d"</f>
        <v>#VALUE!</v>
      </c>
      <c r="II17" t="e">
        <f>'Technical Skills Weighting'!563:563-"`FU!0e"</f>
        <v>#VALUE!</v>
      </c>
      <c r="IJ17" t="e">
        <f>'Technical Skills Weighting'!564:564-"`FU!0f"</f>
        <v>#VALUE!</v>
      </c>
      <c r="IK17" t="e">
        <f>'Technical Skills Weighting'!565:565-"`FU!0g"</f>
        <v>#VALUE!</v>
      </c>
      <c r="IL17" t="e">
        <f>'Technical Skills Weighting'!566:566-"`FU!0h"</f>
        <v>#VALUE!</v>
      </c>
      <c r="IM17" t="e">
        <f>'Technical Skills Weighting'!567:567-"`FU!0i"</f>
        <v>#VALUE!</v>
      </c>
      <c r="IN17" t="e">
        <f>'Technical Skills Weighting'!568:568-"`FU!0j"</f>
        <v>#VALUE!</v>
      </c>
      <c r="IO17" t="e">
        <f>'Technical Skills Weighting'!569:569-"`FU!0k"</f>
        <v>#VALUE!</v>
      </c>
      <c r="IP17" t="e">
        <f>'Technical Skills Weighting'!570:570-"`FU!0l"</f>
        <v>#VALUE!</v>
      </c>
      <c r="IQ17" t="e">
        <f>'Technical Skills Weighting'!571:571-"`FU!0m"</f>
        <v>#VALUE!</v>
      </c>
      <c r="IR17" t="e">
        <f>'Technical Skills Weighting'!572:572-"`FU!0n"</f>
        <v>#VALUE!</v>
      </c>
      <c r="IS17" t="e">
        <f>'Technical Skills Weighting'!573:573-"`FU!0o"</f>
        <v>#VALUE!</v>
      </c>
      <c r="IT17" t="e">
        <f>'Technical Skills Weighting'!574:574-"`FU!0p"</f>
        <v>#VALUE!</v>
      </c>
      <c r="IU17" t="e">
        <f>'Technical Skills Weighting'!575:575-"`FU!0q"</f>
        <v>#VALUE!</v>
      </c>
      <c r="IV17" t="e">
        <f>'Technical Skills Weighting'!576:576-"`FU!0r"</f>
        <v>#VALUE!</v>
      </c>
    </row>
    <row r="18" spans="6:256" x14ac:dyDescent="0.25">
      <c r="F18" t="e">
        <f>'Technical Skills Weighting'!577:577-"`FU!0s"</f>
        <v>#VALUE!</v>
      </c>
      <c r="G18" t="e">
        <f>'Technical Skills Weighting'!578:578-"`FU!0t"</f>
        <v>#VALUE!</v>
      </c>
      <c r="H18" t="e">
        <f>'Technical Skills Weighting'!579:579-"`FU!0u"</f>
        <v>#VALUE!</v>
      </c>
      <c r="I18" t="e">
        <f>'Technical Skills Weighting'!580:580-"`FU!0v"</f>
        <v>#VALUE!</v>
      </c>
      <c r="J18" t="e">
        <f>'Technical Skills Weighting'!581:581-"`FU!0w"</f>
        <v>#VALUE!</v>
      </c>
      <c r="K18" t="e">
        <f>'Technical Skills Weighting'!582:582-"`FU!0x"</f>
        <v>#VALUE!</v>
      </c>
      <c r="L18" t="e">
        <f>'Technical Skills Weighting'!583:583-"`FU!0y"</f>
        <v>#VALUE!</v>
      </c>
      <c r="M18" t="e">
        <f>'Technical Skills Weighting'!584:584-"`FU!0z"</f>
        <v>#VALUE!</v>
      </c>
      <c r="N18" t="e">
        <f>'Technical Skills Weighting'!585:585-"`FU!0{"</f>
        <v>#VALUE!</v>
      </c>
      <c r="O18" t="e">
        <f>'Technical Skills Weighting'!586:586-"`FU!0|"</f>
        <v>#VALUE!</v>
      </c>
      <c r="P18" t="e">
        <f>'Technical Skills Weighting'!587:587-"`FU!0}"</f>
        <v>#VALUE!</v>
      </c>
      <c r="Q18" t="e">
        <f>'Technical Skills Weighting'!588:588-"`FU!0~"</f>
        <v>#VALUE!</v>
      </c>
      <c r="R18" t="e">
        <f>'Technical Skills Weighting'!589:589-"`FU!1#"</f>
        <v>#VALUE!</v>
      </c>
      <c r="S18" t="e">
        <f>'Technical Skills Weighting'!590:590-"`FU!1$"</f>
        <v>#VALUE!</v>
      </c>
      <c r="T18" t="e">
        <f>'Technical Skills Weighting'!591:591-"`FU!1%"</f>
        <v>#VALUE!</v>
      </c>
      <c r="U18" t="e">
        <f>'Technical Skills Weighting'!592:592-"`FU!1&amp;"</f>
        <v>#VALUE!</v>
      </c>
      <c r="V18" t="e">
        <f>'Technical Skills Weighting'!593:593-"`FU!1'"</f>
        <v>#VALUE!</v>
      </c>
      <c r="W18" t="e">
        <f>'Technical Skills Weighting'!594:594-"`FU!1("</f>
        <v>#VALUE!</v>
      </c>
      <c r="X18" t="e">
        <f>'Technical Skills Weighting'!595:595-"`FU!1)"</f>
        <v>#VALUE!</v>
      </c>
      <c r="Y18" t="e">
        <f>'Technical Skills Weighting'!596:596-"`FU!1."</f>
        <v>#VALUE!</v>
      </c>
      <c r="Z18" t="e">
        <f>'Technical Skills Weighting'!597:597-"`FU!1/"</f>
        <v>#VALUE!</v>
      </c>
      <c r="AA18" t="e">
        <f>'Technical Skills Weighting'!598:598-"`FU!10"</f>
        <v>#VALUE!</v>
      </c>
      <c r="AB18" t="e">
        <f>'Technical Skills Weighting'!599:599-"`FU!11"</f>
        <v>#VALUE!</v>
      </c>
      <c r="AC18" t="e">
        <f>'Technical Skills Weighting'!600:600-"`FU!12"</f>
        <v>#VALUE!</v>
      </c>
      <c r="AD18" t="e">
        <f>'Technical Skills Weighting'!601:601-"`FU!13"</f>
        <v>#VALUE!</v>
      </c>
      <c r="AE18" t="e">
        <f>'Technical Skills Weighting'!602:602-"`FU!14"</f>
        <v>#VALUE!</v>
      </c>
      <c r="AF18" t="e">
        <f>'Technical Skills Weighting'!603:603-"`FU!15"</f>
        <v>#VALUE!</v>
      </c>
      <c r="AG18" t="e">
        <f>'Technical Skills Weighting'!604:604-"`FU!16"</f>
        <v>#VALUE!</v>
      </c>
      <c r="AH18" t="e">
        <f>'Technical Skills Weighting'!605:605-"`FU!17"</f>
        <v>#VALUE!</v>
      </c>
      <c r="AI18" t="e">
        <f>'Technical Skills Weighting'!606:606-"`FU!18"</f>
        <v>#VALUE!</v>
      </c>
      <c r="AJ18" t="e">
        <f>'Technical Skills Weighting'!607:607-"`FU!19"</f>
        <v>#VALUE!</v>
      </c>
      <c r="AK18" t="e">
        <f>'Technical Skills Weighting'!608:608-"`FU!1:"</f>
        <v>#VALUE!</v>
      </c>
      <c r="AL18" t="e">
        <f>'Technical Skills Weighting'!609:609-"`FU!1;"</f>
        <v>#VALUE!</v>
      </c>
      <c r="AM18" t="e">
        <f>'Technical Skills Weighting'!610:610-"`FU!1&lt;"</f>
        <v>#VALUE!</v>
      </c>
      <c r="AN18" t="e">
        <f>'Technical Skills Weighting'!611:611-"`FU!1="</f>
        <v>#VALUE!</v>
      </c>
      <c r="AO18" t="e">
        <f>'Technical Skills Weighting'!612:612-"`FU!1&gt;"</f>
        <v>#VALUE!</v>
      </c>
      <c r="AP18" t="e">
        <f>'Technical Skills Weighting'!613:613-"`FU!1?"</f>
        <v>#VALUE!</v>
      </c>
      <c r="AQ18" t="e">
        <f>'Technical Skills Weighting'!614:614-"`FU!1@"</f>
        <v>#VALUE!</v>
      </c>
      <c r="AR18" t="e">
        <f>'Technical Skills Weighting'!615:615-"`FU!1A"</f>
        <v>#VALUE!</v>
      </c>
      <c r="AS18" t="e">
        <f>'Technical Skills Weighting'!616:616-"`FU!1B"</f>
        <v>#VALUE!</v>
      </c>
      <c r="AT18" t="e">
        <f>'Technical Skills Weighting'!617:617-"`FU!1C"</f>
        <v>#VALUE!</v>
      </c>
      <c r="AU18" t="e">
        <f>'Technical Skills Weighting'!618:618-"`FU!1D"</f>
        <v>#VALUE!</v>
      </c>
      <c r="AV18" t="e">
        <f>'Technical Skills Weighting'!619:619-"`FU!1E"</f>
        <v>#VALUE!</v>
      </c>
      <c r="AW18" t="e">
        <f>'Technical Skills Weighting'!620:620-"`FU!1F"</f>
        <v>#VALUE!</v>
      </c>
      <c r="AX18" t="e">
        <f>'Technical Skills Weighting'!621:621-"`FU!1G"</f>
        <v>#VALUE!</v>
      </c>
      <c r="AY18" t="e">
        <f>'Technical Skills Weighting'!622:622-"`FU!1H"</f>
        <v>#VALUE!</v>
      </c>
      <c r="AZ18" t="e">
        <f>'Technical Skills Weighting'!623:623-"`FU!1I"</f>
        <v>#VALUE!</v>
      </c>
      <c r="BA18" t="e">
        <f>'Technical Skills Weighting'!624:624-"`FU!1J"</f>
        <v>#VALUE!</v>
      </c>
      <c r="BB18" t="e">
        <f>'Technical Skills Weighting'!625:625-"`FU!1K"</f>
        <v>#VALUE!</v>
      </c>
      <c r="BC18" t="e">
        <f>'Technical Skills Weighting'!626:626-"`FU!1L"</f>
        <v>#VALUE!</v>
      </c>
      <c r="BD18" t="e">
        <f>'Technical Skills Weighting'!627:627-"`FU!1M"</f>
        <v>#VALUE!</v>
      </c>
      <c r="BE18" t="e">
        <f>'Technical Skills Weighting'!628:628-"`FU!1N"</f>
        <v>#VALUE!</v>
      </c>
      <c r="BF18" t="e">
        <f>'Technical Skills Weighting'!629:629-"`FU!1O"</f>
        <v>#VALUE!</v>
      </c>
      <c r="BG18" t="e">
        <f>'Technical Skills Weighting'!630:630-"`FU!1P"</f>
        <v>#VALUE!</v>
      </c>
      <c r="BH18" t="e">
        <f>'Technical Skills Weighting'!631:631-"`FU!1Q"</f>
        <v>#VALUE!</v>
      </c>
      <c r="BI18" t="e">
        <f>'Technical Skills Weighting'!632:632-"`FU!1R"</f>
        <v>#VALUE!</v>
      </c>
      <c r="BJ18" t="e">
        <f>'Technical Skills Weighting'!633:633-"`FU!1S"</f>
        <v>#VALUE!</v>
      </c>
      <c r="BK18" t="e">
        <f>'Technical Skills Weighting'!634:634-"`FU!1T"</f>
        <v>#VALUE!</v>
      </c>
      <c r="BL18" t="e">
        <f>'Technical Skills Weighting'!635:635-"`FU!1U"</f>
        <v>#VALUE!</v>
      </c>
      <c r="BM18" t="e">
        <f>'Technical Skills Weighting'!636:636-"`FU!1V"</f>
        <v>#VALUE!</v>
      </c>
      <c r="BN18" t="e">
        <f>'Technical Skills Weighting'!637:637-"`FU!1W"</f>
        <v>#VALUE!</v>
      </c>
      <c r="BO18" t="e">
        <f>'Technical Skills Weighting'!638:638-"`FU!1X"</f>
        <v>#VALUE!</v>
      </c>
      <c r="BP18" t="e">
        <f>'Technical Skills Weighting'!639:639-"`FU!1Y"</f>
        <v>#VALUE!</v>
      </c>
      <c r="BQ18" t="e">
        <f>'Technical Skills Weighting'!640:640-"`FU!1Z"</f>
        <v>#VALUE!</v>
      </c>
      <c r="BR18" t="e">
        <f>'Technical Skills Weighting'!641:641-"`FU!1["</f>
        <v>#VALUE!</v>
      </c>
      <c r="BS18" t="e">
        <f>'Technical Skills Weighting'!642:642-"`FU!1\"</f>
        <v>#VALUE!</v>
      </c>
      <c r="BT18" t="e">
        <f>'Technical Skills Weighting'!643:643-"`FU!1]"</f>
        <v>#VALUE!</v>
      </c>
      <c r="BU18" t="e">
        <f>'Technical Skills Weighting'!644:644-"`FU!1^"</f>
        <v>#VALUE!</v>
      </c>
      <c r="BV18" t="e">
        <f>'Technical Skills Weighting'!645:645-"`FU!1_"</f>
        <v>#VALUE!</v>
      </c>
      <c r="BW18" t="e">
        <f>'Technical Skills Weighting'!646:646-"`FU!1`"</f>
        <v>#VALUE!</v>
      </c>
      <c r="BX18" t="e">
        <f>'Technical Skills Weighting'!647:647-"`FU!1a"</f>
        <v>#VALUE!</v>
      </c>
      <c r="BY18" t="e">
        <f>'Technical Skills Weighting'!648:648-"`FU!1b"</f>
        <v>#VALUE!</v>
      </c>
      <c r="BZ18" t="e">
        <f>'Technical Skills Weighting'!649:649-"`FU!1c"</f>
        <v>#VALUE!</v>
      </c>
      <c r="CA18" t="e">
        <f>'Technical Skills Weighting'!650:650-"`FU!1d"</f>
        <v>#VALUE!</v>
      </c>
      <c r="CB18" t="e">
        <f>'Technical Skills Weighting'!651:651-"`FU!1e"</f>
        <v>#VALUE!</v>
      </c>
      <c r="CC18" t="e">
        <f>'Technical Skills Weighting'!652:652-"`FU!1f"</f>
        <v>#VALUE!</v>
      </c>
      <c r="CD18" t="e">
        <f>'Technical Skills Weighting'!653:653-"`FU!1g"</f>
        <v>#VALUE!</v>
      </c>
      <c r="CE18" t="e">
        <f>'Technical Skills Weighting'!654:654-"`FU!1h"</f>
        <v>#VALUE!</v>
      </c>
      <c r="CF18" t="e">
        <f>'Technical Skills Weighting'!655:655-"`FU!1i"</f>
        <v>#VALUE!</v>
      </c>
      <c r="CG18" t="e">
        <f>'Technical Skills Weighting'!656:656-"`FU!1j"</f>
        <v>#VALUE!</v>
      </c>
      <c r="CH18" t="e">
        <f>'Technical Skills Weighting'!657:657-"`FU!1k"</f>
        <v>#VALUE!</v>
      </c>
      <c r="CI18" t="e">
        <f>'Technical Skills Weighting'!658:658-"`FU!1l"</f>
        <v>#VALUE!</v>
      </c>
      <c r="CJ18" t="e">
        <f>'Technical Skills Weighting'!659:659-"`FU!1m"</f>
        <v>#VALUE!</v>
      </c>
      <c r="CK18" t="e">
        <f>'Technical Skills Weighting'!660:660-"`FU!1n"</f>
        <v>#VALUE!</v>
      </c>
      <c r="CL18" t="e">
        <f>'Technical Skills Weighting'!661:661-"`FU!1o"</f>
        <v>#VALUE!</v>
      </c>
      <c r="CM18" t="e">
        <f>'Technical Skills Weighting'!662:662-"`FU!1p"</f>
        <v>#VALUE!</v>
      </c>
      <c r="CN18" t="e">
        <f>'Technical Skills Weighting'!663:663-"`FU!1q"</f>
        <v>#VALUE!</v>
      </c>
      <c r="CO18" t="e">
        <f>'Technical Skills Weighting'!664:664-"`FU!1r"</f>
        <v>#VALUE!</v>
      </c>
      <c r="CP18" t="e">
        <f>'Technical Skills Weighting'!665:665-"`FU!1s"</f>
        <v>#VALUE!</v>
      </c>
      <c r="CQ18" t="e">
        <f>'Technical Skills Weighting'!666:666-"`FU!1t"</f>
        <v>#VALUE!</v>
      </c>
      <c r="CR18" t="e">
        <f>'Technical Skills Weighting'!667:667-"`FU!1u"</f>
        <v>#VALUE!</v>
      </c>
      <c r="CS18" t="e">
        <f>'Technical Skills Weighting'!668:668-"`FU!1v"</f>
        <v>#VALUE!</v>
      </c>
      <c r="CT18" t="e">
        <f>'Technical Skills Weighting'!669:669-"`FU!1w"</f>
        <v>#VALUE!</v>
      </c>
      <c r="CU18" t="e">
        <f>'Technical Skills Weighting'!670:670-"`FU!1x"</f>
        <v>#VALUE!</v>
      </c>
      <c r="CV18" t="e">
        <f>'Technical Skills Weighting'!671:671-"`FU!1y"</f>
        <v>#VALUE!</v>
      </c>
      <c r="CW18" t="e">
        <f>'Technical Skills Weighting'!672:672-"`FU!1z"</f>
        <v>#VALUE!</v>
      </c>
      <c r="CX18" t="e">
        <f>'Technical Skills Weighting'!673:673-"`FU!1{"</f>
        <v>#VALUE!</v>
      </c>
      <c r="CY18" t="e">
        <f>'Technical Skills Weighting'!674:674-"`FU!1|"</f>
        <v>#VALUE!</v>
      </c>
      <c r="CZ18" t="e">
        <f>'Technical Skills Weighting'!675:675-"`FU!1}"</f>
        <v>#VALUE!</v>
      </c>
      <c r="DA18" t="e">
        <f>'Technical Skills Weighting'!676:676-"`FU!1~"</f>
        <v>#VALUE!</v>
      </c>
      <c r="DB18" t="e">
        <f>'Technical Skills Weighting'!677:677-"`FU!2#"</f>
        <v>#VALUE!</v>
      </c>
      <c r="DC18" t="e">
        <f>'Technical Skills Weighting'!678:678-"`FU!2$"</f>
        <v>#VALUE!</v>
      </c>
      <c r="DD18" t="e">
        <f>'Technical Skills Weighting'!679:679-"`FU!2%"</f>
        <v>#VALUE!</v>
      </c>
      <c r="DE18" t="e">
        <f>'Technical Skills Weighting'!680:680-"`FU!2&amp;"</f>
        <v>#VALUE!</v>
      </c>
      <c r="DF18" t="e">
        <f>'Technical Skills Weighting'!681:681-"`FU!2'"</f>
        <v>#VALUE!</v>
      </c>
      <c r="DG18" t="e">
        <f>'Technical Skills Weighting'!682:682-"`FU!2("</f>
        <v>#VALUE!</v>
      </c>
      <c r="DH18" t="e">
        <f>'Technical Skills Weighting'!683:683-"`FU!2)"</f>
        <v>#VALUE!</v>
      </c>
      <c r="DI18" t="e">
        <f>'Technical Skills Weighting'!684:684-"`FU!2."</f>
        <v>#VALUE!</v>
      </c>
      <c r="DJ18" t="e">
        <f>'Technical Skills Weighting'!685:685-"`FU!2/"</f>
        <v>#VALUE!</v>
      </c>
      <c r="DK18" t="e">
        <f>'Technical Skills Weighting'!686:686-"`FU!20"</f>
        <v>#VALUE!</v>
      </c>
      <c r="DL18" t="e">
        <f>'Technical Skills Weighting'!687:687-"`FU!21"</f>
        <v>#VALUE!</v>
      </c>
      <c r="DM18" t="e">
        <f>'Technical Skills Weighting'!688:688-"`FU!22"</f>
        <v>#VALUE!</v>
      </c>
      <c r="DN18" t="e">
        <f>'Technical Skills Weighting'!689:689-"`FU!23"</f>
        <v>#VALUE!</v>
      </c>
      <c r="DO18" t="e">
        <f>'Technical Skills Weighting'!690:690-"`FU!24"</f>
        <v>#VALUE!</v>
      </c>
      <c r="DP18" t="e">
        <f>'Technical Skills Weighting'!691:691-"`FU!25"</f>
        <v>#VALUE!</v>
      </c>
      <c r="DQ18" t="e">
        <f>'Technical Skills Weighting'!692:692-"`FU!26"</f>
        <v>#VALUE!</v>
      </c>
      <c r="DR18" t="e">
        <f>'Technical Skills Weighting'!693:693-"`FU!27"</f>
        <v>#VALUE!</v>
      </c>
      <c r="DS18" t="e">
        <f>'Technical Skills Weighting'!694:694-"`FU!28"</f>
        <v>#VALUE!</v>
      </c>
      <c r="DT18" t="e">
        <f>'Technical Skills Weighting'!695:695-"`FU!29"</f>
        <v>#VALUE!</v>
      </c>
      <c r="DU18" t="e">
        <f>'Technical Skills Weighting'!696:696-"`FU!2:"</f>
        <v>#VALUE!</v>
      </c>
      <c r="DV18" t="e">
        <f>'Technical Skills Weighting'!697:697-"`FU!2;"</f>
        <v>#VALUE!</v>
      </c>
      <c r="DW18" t="e">
        <f>'Technical Skills Weighting'!698:698-"`FU!2&lt;"</f>
        <v>#VALUE!</v>
      </c>
      <c r="DX18" t="e">
        <f>'Technical Skills Weighting'!699:699-"`FU!2="</f>
        <v>#VALUE!</v>
      </c>
      <c r="DY18" t="e">
        <f>'Technical Skills Weighting'!700:700-"`FU!2&gt;"</f>
        <v>#VALUE!</v>
      </c>
      <c r="DZ18" t="e">
        <f>'Technical Skills Weighting'!701:701-"`FU!2?"</f>
        <v>#VALUE!</v>
      </c>
      <c r="EA18" t="e">
        <f>'Technical Skills Weighting'!702:702-"`FU!2@"</f>
        <v>#VALUE!</v>
      </c>
      <c r="EB18" t="e">
        <f>'Technical Skills Weighting'!703:703-"`FU!2A"</f>
        <v>#VALUE!</v>
      </c>
      <c r="EC18" t="e">
        <f>'Technical Skills Weighting'!704:704-"`FU!2B"</f>
        <v>#VALUE!</v>
      </c>
      <c r="ED18" t="e">
        <f>'Technical Skills Weighting'!705:705-"`FU!2C"</f>
        <v>#VALUE!</v>
      </c>
      <c r="EE18" t="e">
        <f>'Technical Skills Weighting'!706:706-"`FU!2D"</f>
        <v>#VALUE!</v>
      </c>
      <c r="EF18" t="e">
        <f>'Technical Skills Weighting'!707:707-"`FU!2E"</f>
        <v>#VALUE!</v>
      </c>
      <c r="EG18" t="e">
        <f>'Technical Skills Weighting'!708:708-"`FU!2F"</f>
        <v>#VALUE!</v>
      </c>
      <c r="EH18" t="e">
        <f>'Technical Skills Weighting'!709:709-"`FU!2G"</f>
        <v>#VALUE!</v>
      </c>
      <c r="EI18" t="e">
        <f>'Technical Skills Weighting'!710:710-"`FU!2H"</f>
        <v>#VALUE!</v>
      </c>
      <c r="EJ18" t="e">
        <f>'Technical Skills Weighting'!711:711-"`FU!2I"</f>
        <v>#VALUE!</v>
      </c>
      <c r="EK18" t="e">
        <f>'Technical Skills Weighting'!712:712-"`FU!2J"</f>
        <v>#VALUE!</v>
      </c>
      <c r="EL18" t="e">
        <f>'Technical Skills Weighting'!713:713-"`FU!2K"</f>
        <v>#VALUE!</v>
      </c>
      <c r="EM18" t="e">
        <f>'Technical Skills Weighting'!714:714-"`FU!2L"</f>
        <v>#VALUE!</v>
      </c>
      <c r="EN18" t="e">
        <f>'Technical Skills Weighting'!715:715-"`FU!2M"</f>
        <v>#VALUE!</v>
      </c>
      <c r="EO18" t="e">
        <f>'Technical Skills Weighting'!716:716-"`FU!2N"</f>
        <v>#VALUE!</v>
      </c>
      <c r="EP18" t="e">
        <f>'Technical Skills Weighting'!717:717-"`FU!2O"</f>
        <v>#VALUE!</v>
      </c>
      <c r="EQ18" t="e">
        <f>'Technical Skills Weighting'!718:718-"`FU!2P"</f>
        <v>#VALUE!</v>
      </c>
      <c r="ER18" t="e">
        <f>'Technical Skills Weighting'!719:719-"`FU!2Q"</f>
        <v>#VALUE!</v>
      </c>
      <c r="ES18" t="e">
        <f>'Technical Skills Weighting'!720:720-"`FU!2R"</f>
        <v>#VALUE!</v>
      </c>
      <c r="ET18" t="e">
        <f>'Technical Skills Weighting'!721:721-"`FU!2S"</f>
        <v>#VALUE!</v>
      </c>
      <c r="EU18" t="e">
        <f>'Technical Skills Weighting'!722:722-"`FU!2T"</f>
        <v>#VALUE!</v>
      </c>
      <c r="EV18" t="e">
        <f>'Technical Skills Weighting'!723:723-"`FU!2U"</f>
        <v>#VALUE!</v>
      </c>
      <c r="EW18" t="e">
        <f>'Technical Skills Weighting'!724:724-"`FU!2V"</f>
        <v>#VALUE!</v>
      </c>
      <c r="EX18" t="e">
        <f>'Technical Skills Weighting'!725:725-"`FU!2W"</f>
        <v>#VALUE!</v>
      </c>
      <c r="EY18" t="e">
        <f>'Technical Skills Weighting'!726:726-"`FU!2X"</f>
        <v>#VALUE!</v>
      </c>
      <c r="EZ18" t="e">
        <f>'Technical Skills Weighting'!727:727-"`FU!2Y"</f>
        <v>#VALUE!</v>
      </c>
      <c r="FA18" t="e">
        <f>'Technical Skills Weighting'!728:728-"`FU!2Z"</f>
        <v>#VALUE!</v>
      </c>
      <c r="FB18" t="e">
        <f>'Technical Skills Weighting'!729:729-"`FU!2["</f>
        <v>#VALUE!</v>
      </c>
      <c r="FC18" t="e">
        <f>'Technical Skills Weighting'!730:730-"`FU!2\"</f>
        <v>#VALUE!</v>
      </c>
      <c r="FD18" t="e">
        <f>'Technical Skills Weighting'!731:731-"`FU!2]"</f>
        <v>#VALUE!</v>
      </c>
      <c r="FE18" t="e">
        <f>'Technical Skills Weighting'!732:732-"`FU!2^"</f>
        <v>#VALUE!</v>
      </c>
      <c r="FF18" t="e">
        <f>'Technical Skills Weighting'!733:733-"`FU!2_"</f>
        <v>#VALUE!</v>
      </c>
      <c r="FG18" t="e">
        <f>'Technical Skills Weighting'!734:734-"`FU!2`"</f>
        <v>#VALUE!</v>
      </c>
      <c r="FH18" t="e">
        <f>'Technical Skills Weighting'!735:735-"`FU!2a"</f>
        <v>#VALUE!</v>
      </c>
      <c r="FI18" t="e">
        <f>'Technical Skills Weighting'!736:736-"`FU!2b"</f>
        <v>#VALUE!</v>
      </c>
      <c r="FJ18" t="e">
        <f>'Technical Skills Weighting'!737:737-"`FU!2c"</f>
        <v>#VALUE!</v>
      </c>
      <c r="FK18" t="e">
        <f>'Technical Skills Weighting'!738:738-"`FU!2d"</f>
        <v>#VALUE!</v>
      </c>
      <c r="FL18" t="e">
        <f>'Technical Skills Weighting'!739:739-"`FU!2e"</f>
        <v>#VALUE!</v>
      </c>
      <c r="FM18" t="e">
        <f>'Technical Skills Weighting'!740:740-"`FU!2f"</f>
        <v>#VALUE!</v>
      </c>
      <c r="FN18" t="e">
        <f>'Technical Skills Weighting'!741:741-"`FU!2g"</f>
        <v>#VALUE!</v>
      </c>
      <c r="FO18" t="e">
        <f>'Technical Skills Weighting'!742:742-"`FU!2h"</f>
        <v>#VALUE!</v>
      </c>
      <c r="FP18" t="e">
        <f>'Technical Skills Weighting'!743:743-"`FU!2i"</f>
        <v>#VALUE!</v>
      </c>
      <c r="FQ18" t="e">
        <f>'Technical Skills Weighting'!744:744-"`FU!2j"</f>
        <v>#VALUE!</v>
      </c>
      <c r="FR18" t="e">
        <f>'Technical Skills Weighting'!745:745-"`FU!2k"</f>
        <v>#VALUE!</v>
      </c>
      <c r="FS18" t="e">
        <f>'Technical Skills Weighting'!746:746-"`FU!2l"</f>
        <v>#VALUE!</v>
      </c>
      <c r="FT18" t="e">
        <f>'Technical Skills Weighting'!747:747-"`FU!2m"</f>
        <v>#VALUE!</v>
      </c>
      <c r="FU18" t="e">
        <f>'Technical Skills Weighting'!748:748-"`FU!2n"</f>
        <v>#VALUE!</v>
      </c>
      <c r="FV18" t="e">
        <f>'Technical Skills Weighting'!749:749-"`FU!2o"</f>
        <v>#VALUE!</v>
      </c>
      <c r="FW18" t="e">
        <f>'Technical Skills Weighting'!750:750-"`FU!2p"</f>
        <v>#VALUE!</v>
      </c>
      <c r="FX18" t="e">
        <f>'Technical Skills Weighting'!751:751-"`FU!2q"</f>
        <v>#VALUE!</v>
      </c>
      <c r="FY18" t="e">
        <f>'Technical Skills Weighting'!752:752-"`FU!2r"</f>
        <v>#VALUE!</v>
      </c>
      <c r="FZ18" t="e">
        <f>'Technical Skills Weighting'!753:753-"`FU!2s"</f>
        <v>#VALUE!</v>
      </c>
      <c r="GA18" t="e">
        <f>'Technical Skills Weighting'!754:754-"`FU!2t"</f>
        <v>#VALUE!</v>
      </c>
      <c r="GB18" t="e">
        <f>'Technical Skills Weighting'!755:755-"`FU!2u"</f>
        <v>#VALUE!</v>
      </c>
      <c r="GC18" t="e">
        <f>'Technical Skills Weighting'!756:756-"`FU!2v"</f>
        <v>#VALUE!</v>
      </c>
      <c r="GD18" t="e">
        <f>'Technical Skills Weighting'!757:757-"`FU!2w"</f>
        <v>#VALUE!</v>
      </c>
      <c r="GE18" t="e">
        <f>'Technical Skills Weighting'!758:758-"`FU!2x"</f>
        <v>#VALUE!</v>
      </c>
      <c r="GF18" t="e">
        <f>'Technical Skills Weighting'!759:759-"`FU!2y"</f>
        <v>#VALUE!</v>
      </c>
      <c r="GG18" t="e">
        <f>'Technical Skills Weighting'!760:760-"`FU!2z"</f>
        <v>#VALUE!</v>
      </c>
      <c r="GH18" t="e">
        <f>'Technical Skills Weighting'!761:761-"`FU!2{"</f>
        <v>#VALUE!</v>
      </c>
      <c r="GI18" t="e">
        <f>'Technical Skills Weighting'!762:762-"`FU!2|"</f>
        <v>#VALUE!</v>
      </c>
      <c r="GJ18" t="e">
        <f>'Technical Skills Weighting'!763:763-"`FU!2}"</f>
        <v>#VALUE!</v>
      </c>
      <c r="GK18" t="e">
        <f>'Technical Skills Weighting'!764:764-"`FU!2~"</f>
        <v>#VALUE!</v>
      </c>
      <c r="GL18" t="e">
        <f>'Technical Skills Weighting'!765:765-"`FU!3#"</f>
        <v>#VALUE!</v>
      </c>
      <c r="GM18" t="e">
        <f>'Technical Skills Weighting'!766:766-"`FU!3$"</f>
        <v>#VALUE!</v>
      </c>
      <c r="GN18" t="e">
        <f>'Technical Skills Weighting'!767:767-"`FU!3%"</f>
        <v>#VALUE!</v>
      </c>
      <c r="GO18" t="e">
        <f>'Technical Skills Weighting'!768:768-"`FU!3&amp;"</f>
        <v>#VALUE!</v>
      </c>
      <c r="GP18" t="e">
        <f>'Technical Skills Weighting'!769:769-"`FU!3'"</f>
        <v>#VALUE!</v>
      </c>
      <c r="GQ18" t="e">
        <f>'Technical Skills Weighting'!770:770-"`FU!3("</f>
        <v>#VALUE!</v>
      </c>
      <c r="GR18" t="e">
        <f>'Technical Skills Weighting'!771:771-"`FU!3)"</f>
        <v>#VALUE!</v>
      </c>
      <c r="GS18" t="e">
        <f>'Technical Skills Weighting'!772:772-"`FU!3."</f>
        <v>#VALUE!</v>
      </c>
      <c r="GT18" t="e">
        <f>'Technical Skills Weighting'!773:773-"`FU!3/"</f>
        <v>#VALUE!</v>
      </c>
      <c r="GU18" t="e">
        <f>'Technical Skills Weighting'!774:774-"`FU!30"</f>
        <v>#VALUE!</v>
      </c>
      <c r="GV18" t="e">
        <f>'Technical Skills Weighting'!775:775-"`FU!31"</f>
        <v>#VALUE!</v>
      </c>
      <c r="GW18" t="e">
        <f>'Technical Skills Weighting'!776:776-"`FU!32"</f>
        <v>#VALUE!</v>
      </c>
      <c r="GX18" t="e">
        <f>'Technical Skills Weighting'!777:777-"`FU!33"</f>
        <v>#VALUE!</v>
      </c>
      <c r="GY18" t="e">
        <f>'Technical Skills Weighting'!778:778-"`FU!34"</f>
        <v>#VALUE!</v>
      </c>
      <c r="GZ18" t="e">
        <f>'Technical Skills Weighting'!779:779-"`FU!35"</f>
        <v>#VALUE!</v>
      </c>
      <c r="HA18" t="e">
        <f>'Technical Skills Weighting'!780:780-"`FU!36"</f>
        <v>#VALUE!</v>
      </c>
      <c r="HB18" t="e">
        <f>'Technical Skills Weighting'!781:781-"`FU!37"</f>
        <v>#VALUE!</v>
      </c>
      <c r="HC18" t="e">
        <f>'Technical Skills Weighting'!782:782-"`FU!38"</f>
        <v>#VALUE!</v>
      </c>
      <c r="HD18" t="e">
        <f>'Technical Skills Weighting'!783:783-"`FU!39"</f>
        <v>#VALUE!</v>
      </c>
      <c r="HE18" t="e">
        <f>'Technical Skills Weighting'!784:784-"`FU!3:"</f>
        <v>#VALUE!</v>
      </c>
      <c r="HF18" t="e">
        <f>'Technical Skills Weighting'!785:785-"`FU!3;"</f>
        <v>#VALUE!</v>
      </c>
      <c r="HG18" t="e">
        <f>'Technical Skills Weighting'!786:786-"`FU!3&lt;"</f>
        <v>#VALUE!</v>
      </c>
      <c r="HH18" t="e">
        <f>'Technical Skills Weighting'!787:787-"`FU!3="</f>
        <v>#VALUE!</v>
      </c>
      <c r="HI18" t="e">
        <f>'Technical Skills Weighting'!788:788-"`FU!3&gt;"</f>
        <v>#VALUE!</v>
      </c>
      <c r="HJ18" t="e">
        <f>'Technical Skills Weighting'!789:789-"`FU!3?"</f>
        <v>#VALUE!</v>
      </c>
      <c r="HK18" t="e">
        <f>'Technical Skills Weighting'!790:790-"`FU!3@"</f>
        <v>#VALUE!</v>
      </c>
      <c r="HL18" t="e">
        <f>'Technical Skills Weighting'!791:791-"`FU!3A"</f>
        <v>#VALUE!</v>
      </c>
      <c r="HM18" t="e">
        <f>'Technical Skills Weighting'!792:792-"`FU!3B"</f>
        <v>#VALUE!</v>
      </c>
      <c r="HN18" t="e">
        <f>'Technical Skills Weighting'!793:793-"`FU!3C"</f>
        <v>#VALUE!</v>
      </c>
      <c r="HO18" t="e">
        <f>'Technical Skills Weighting'!794:794-"`FU!3D"</f>
        <v>#VALUE!</v>
      </c>
      <c r="HP18" t="e">
        <f>'Technical Skills Weighting'!795:795-"`FU!3E"</f>
        <v>#VALUE!</v>
      </c>
      <c r="HQ18" t="e">
        <f>'Technical Skills Weighting'!796:796-"`FU!3F"</f>
        <v>#VALUE!</v>
      </c>
      <c r="HR18" t="e">
        <f>'Technical Skills Weighting'!797:797-"`FU!3G"</f>
        <v>#VALUE!</v>
      </c>
      <c r="HS18" t="e">
        <f>'Technical Skills Weighting'!798:798-"`FU!3H"</f>
        <v>#VALUE!</v>
      </c>
      <c r="HT18" t="e">
        <f>'Technical Skills Weighting'!799:799-"`FU!3I"</f>
        <v>#VALUE!</v>
      </c>
      <c r="HU18" t="e">
        <f>'Technical Skills Weighting'!800:800-"`FU!3J"</f>
        <v>#VALUE!</v>
      </c>
      <c r="HV18" t="e">
        <f>'Technical Skills Weighting'!801:801-"`FU!3K"</f>
        <v>#VALUE!</v>
      </c>
      <c r="HW18" t="e">
        <f>'Technical Skills Weighting'!802:802-"`FU!3L"</f>
        <v>#VALUE!</v>
      </c>
      <c r="HX18" t="e">
        <f>'Technical Skills Weighting'!803:803-"`FU!3M"</f>
        <v>#VALUE!</v>
      </c>
      <c r="HY18" t="e">
        <f>'Technical Skills Weighting'!804:804-"`FU!3N"</f>
        <v>#VALUE!</v>
      </c>
      <c r="HZ18" t="e">
        <f>'Technical Skills Weighting'!805:805-"`FU!3O"</f>
        <v>#VALUE!</v>
      </c>
      <c r="IA18" t="e">
        <f>'Technical Skills Weighting'!806:806-"`FU!3P"</f>
        <v>#VALUE!</v>
      </c>
      <c r="IB18" t="e">
        <f>'Technical Skills Weighting'!807:807-"`FU!3Q"</f>
        <v>#VALUE!</v>
      </c>
      <c r="IC18" t="e">
        <f>'Technical Skills Weighting'!808:808-"`FU!3R"</f>
        <v>#VALUE!</v>
      </c>
      <c r="ID18" t="e">
        <f>'Technical Skills Weighting'!809:809-"`FU!3S"</f>
        <v>#VALUE!</v>
      </c>
      <c r="IE18" t="e">
        <f>'Technical Skills Weighting'!810:810-"`FU!3T"</f>
        <v>#VALUE!</v>
      </c>
      <c r="IF18" t="e">
        <f>'Technical Skills Weighting'!811:811-"`FU!3U"</f>
        <v>#VALUE!</v>
      </c>
      <c r="IG18" t="e">
        <f>'Technical Skills Weighting'!812:812-"`FU!3V"</f>
        <v>#VALUE!</v>
      </c>
      <c r="IH18" t="e">
        <f>'Technical Skills Weighting'!813:813-"`FU!3W"</f>
        <v>#VALUE!</v>
      </c>
      <c r="II18" t="e">
        <f>'Technical Skills Weighting'!814:814-"`FU!3X"</f>
        <v>#VALUE!</v>
      </c>
      <c r="IJ18" t="e">
        <f>'Technical Skills Weighting'!815:815-"`FU!3Y"</f>
        <v>#VALUE!</v>
      </c>
      <c r="IK18" t="e">
        <f>'Technical Skills Weighting'!816:816-"`FU!3Z"</f>
        <v>#VALUE!</v>
      </c>
      <c r="IL18" t="e">
        <f>'Technical Skills Weighting'!817:817-"`FU!3["</f>
        <v>#VALUE!</v>
      </c>
      <c r="IM18" t="e">
        <f>'Technical Skills Weighting'!818:818-"`FU!3\"</f>
        <v>#VALUE!</v>
      </c>
      <c r="IN18" t="e">
        <f>'Technical Skills Weighting'!819:819-"`FU!3]"</f>
        <v>#VALUE!</v>
      </c>
      <c r="IO18" t="e">
        <f>'Technical Skills Weighting'!820:820-"`FU!3^"</f>
        <v>#VALUE!</v>
      </c>
      <c r="IP18" t="e">
        <f>'Technical Skills Weighting'!821:821-"`FU!3_"</f>
        <v>#VALUE!</v>
      </c>
      <c r="IQ18" t="e">
        <f>'Technical Skills Weighting'!822:822-"`FU!3`"</f>
        <v>#VALUE!</v>
      </c>
      <c r="IR18" t="e">
        <f>'Technical Skills Weighting'!823:823-"`FU!3a"</f>
        <v>#VALUE!</v>
      </c>
      <c r="IS18" t="e">
        <f>'Technical Skills Weighting'!824:824-"`FU!3b"</f>
        <v>#VALUE!</v>
      </c>
      <c r="IT18" t="e">
        <f>'Technical Skills Weighting'!825:825-"`FU!3c"</f>
        <v>#VALUE!</v>
      </c>
      <c r="IU18" t="e">
        <f>'Technical Skills Weighting'!826:826-"`FU!3d"</f>
        <v>#VALUE!</v>
      </c>
      <c r="IV18" t="e">
        <f>'Technical Skills Weighting'!827:827-"`FU!3e"</f>
        <v>#VALUE!</v>
      </c>
    </row>
    <row r="19" spans="6:256" x14ac:dyDescent="0.25">
      <c r="F19" t="e">
        <f>'Technical Skills Weighting'!828:828-"`FU!3f"</f>
        <v>#VALUE!</v>
      </c>
      <c r="G19" t="e">
        <f>'Technical Skills Weighting'!829:829-"`FU!3g"</f>
        <v>#VALUE!</v>
      </c>
      <c r="H19" t="e">
        <f>'Technical Skills Weighting'!830:830-"`FU!3h"</f>
        <v>#VALUE!</v>
      </c>
      <c r="I19" t="e">
        <f>'Technical Skills Weighting'!831:831-"`FU!3i"</f>
        <v>#VALUE!</v>
      </c>
      <c r="J19" t="e">
        <f>'Technical Skills Weighting'!832:832-"`FU!3j"</f>
        <v>#VALUE!</v>
      </c>
      <c r="K19" t="e">
        <f>'Technical Skills Weighting'!833:833-"`FU!3k"</f>
        <v>#VALUE!</v>
      </c>
      <c r="L19" t="e">
        <f>'Technical Skills Weighting'!834:834-"`FU!3l"</f>
        <v>#VALUE!</v>
      </c>
      <c r="M19" t="e">
        <f>'Technical Skills Weighting'!835:835-"`FU!3m"</f>
        <v>#VALUE!</v>
      </c>
      <c r="N19" t="e">
        <f>'Technical Skills Weighting'!836:836-"`FU!3n"</f>
        <v>#VALUE!</v>
      </c>
      <c r="O19" t="e">
        <f>'Technical Skills Weighting'!837:837-"`FU!3o"</f>
        <v>#VALUE!</v>
      </c>
      <c r="P19" t="e">
        <f>'Technical Skills Weighting'!838:838-"`FU!3p"</f>
        <v>#VALUE!</v>
      </c>
      <c r="Q19" t="e">
        <f>'Technical Skills Weighting'!839:839-"`FU!3q"</f>
        <v>#VALUE!</v>
      </c>
      <c r="R19" t="e">
        <f>'Technical Skills Weighting'!840:840-"`FU!3r"</f>
        <v>#VALUE!</v>
      </c>
      <c r="S19" t="e">
        <f>'Technical Skills Weighting'!841:841-"`FU!3s"</f>
        <v>#VALUE!</v>
      </c>
      <c r="T19" t="e">
        <f>'Technical Skills Weighting'!842:842-"`FU!3t"</f>
        <v>#VALUE!</v>
      </c>
      <c r="U19" t="e">
        <f>'Technical Skills Weighting'!843:843-"`FU!3u"</f>
        <v>#VALUE!</v>
      </c>
      <c r="V19" t="e">
        <f>'Technical Skills Weighting'!844:844-"`FU!3v"</f>
        <v>#VALUE!</v>
      </c>
      <c r="W19" t="e">
        <f>'Technical Skills Weighting'!845:845-"`FU!3w"</f>
        <v>#VALUE!</v>
      </c>
      <c r="X19" t="e">
        <f>'Technical Skills Weighting'!846:846-"`FU!3x"</f>
        <v>#VALUE!</v>
      </c>
      <c r="Y19" t="e">
        <f>'Technical Skills Weighting'!847:847-"`FU!3y"</f>
        <v>#VALUE!</v>
      </c>
      <c r="Z19" t="e">
        <f>'Technical Skills Weighting'!848:848-"`FU!3z"</f>
        <v>#VALUE!</v>
      </c>
      <c r="AA19" t="e">
        <f>'Technical Skills Weighting'!849:849-"`FU!3{"</f>
        <v>#VALUE!</v>
      </c>
      <c r="AB19" t="e">
        <f>'Technical Skills Weighting'!850:850-"`FU!3|"</f>
        <v>#VALUE!</v>
      </c>
      <c r="AC19" t="e">
        <f>'Technical Skills Weighting'!851:851-"`FU!3}"</f>
        <v>#VALUE!</v>
      </c>
      <c r="AD19" t="e">
        <f>'Technical Skills Weighting'!852:852-"`FU!3~"</f>
        <v>#VALUE!</v>
      </c>
      <c r="AE19" t="e">
        <f>'Technical Skills Weighting'!853:853-"`FU!4#"</f>
        <v>#VALUE!</v>
      </c>
      <c r="AF19" t="e">
        <f>'Technical Skills Weighting'!854:854-"`FU!4$"</f>
        <v>#VALUE!</v>
      </c>
      <c r="AG19" t="e">
        <f>'Technical Skills Weighting'!855:855-"`FU!4%"</f>
        <v>#VALUE!</v>
      </c>
      <c r="AH19" t="e">
        <f>'Technical Skills Weighting'!856:856-"`FU!4&amp;"</f>
        <v>#VALUE!</v>
      </c>
      <c r="AI19" t="e">
        <f>'Technical Skills Weighting'!857:857-"`FU!4'"</f>
        <v>#VALUE!</v>
      </c>
      <c r="AJ19" t="e">
        <f>'Technical Skills Weighting'!858:858-"`FU!4("</f>
        <v>#VALUE!</v>
      </c>
      <c r="AK19" t="e">
        <f>'Technical Skills Weighting'!859:859-"`FU!4)"</f>
        <v>#VALUE!</v>
      </c>
      <c r="AL19" t="e">
        <f>'Technical Skills Weighting'!860:860-"`FU!4."</f>
        <v>#VALUE!</v>
      </c>
      <c r="AM19" t="e">
        <f>'Technical Skills Weighting'!861:861-"`FU!4/"</f>
        <v>#VALUE!</v>
      </c>
      <c r="AN19" t="e">
        <f>'Technical Skills Weighting'!862:862-"`FU!40"</f>
        <v>#VALUE!</v>
      </c>
      <c r="AO19" t="e">
        <f>'Technical Skills Weighting'!863:863-"`FU!41"</f>
        <v>#VALUE!</v>
      </c>
      <c r="AP19" t="e">
        <f>'Technical Skills Weighting'!864:864-"`FU!42"</f>
        <v>#VALUE!</v>
      </c>
      <c r="AQ19" t="e">
        <f>'Technical Skills Weighting'!865:865-"`FU!43"</f>
        <v>#VALUE!</v>
      </c>
      <c r="AR19" t="e">
        <f>'Technical Skills Weighting'!866:866-"`FU!44"</f>
        <v>#VALUE!</v>
      </c>
      <c r="AS19" t="e">
        <f>'Technical Skills Weighting'!867:867-"`FU!45"</f>
        <v>#VALUE!</v>
      </c>
      <c r="AT19" t="e">
        <f>'Technical Skills Weighting'!868:868-"`FU!46"</f>
        <v>#VALUE!</v>
      </c>
      <c r="AU19" t="e">
        <f>'Technical Skills Weighting'!869:869-"`FU!47"</f>
        <v>#VALUE!</v>
      </c>
      <c r="AV19" t="e">
        <f>'Technical Skills Weighting'!870:870-"`FU!48"</f>
        <v>#VALUE!</v>
      </c>
      <c r="AW19" t="e">
        <f>'Technical Skills Weighting'!871:871-"`FU!49"</f>
        <v>#VALUE!</v>
      </c>
      <c r="AX19" t="e">
        <f>'Technical Skills Weighting'!872:872-"`FU!4:"</f>
        <v>#VALUE!</v>
      </c>
      <c r="AY19" t="e">
        <f>'Technical Skills Weighting'!873:873-"`FU!4;"</f>
        <v>#VALUE!</v>
      </c>
      <c r="AZ19" t="e">
        <f>'Technical Skills Weighting'!874:874-"`FU!4&lt;"</f>
        <v>#VALUE!</v>
      </c>
      <c r="BA19" t="e">
        <f>'Technical Skills Weighting'!875:875-"`FU!4="</f>
        <v>#VALUE!</v>
      </c>
      <c r="BB19" t="e">
        <f>'Technical Skills Weighting'!876:876-"`FU!4&gt;"</f>
        <v>#VALUE!</v>
      </c>
      <c r="BC19" t="e">
        <f>'Technical Skills Weighting'!877:877-"`FU!4?"</f>
        <v>#VALUE!</v>
      </c>
      <c r="BD19" t="e">
        <f>'Technical Skills Weighting'!878:878-"`FU!4@"</f>
        <v>#VALUE!</v>
      </c>
      <c r="BE19" t="e">
        <f>'Technical Skills Weighting'!879:879-"`FU!4A"</f>
        <v>#VALUE!</v>
      </c>
      <c r="BF19" t="e">
        <f>'Technical Skills Weighting'!880:880-"`FU!4B"</f>
        <v>#VALUE!</v>
      </c>
      <c r="BG19" t="e">
        <f>'Technical Skills Weighting'!881:881-"`FU!4C"</f>
        <v>#VALUE!</v>
      </c>
      <c r="BH19" t="e">
        <f>'Technical Skills Weighting'!882:882-"`FU!4D"</f>
        <v>#VALUE!</v>
      </c>
      <c r="BI19" t="e">
        <f>'Technical Skills Weighting'!883:883-"`FU!4E"</f>
        <v>#VALUE!</v>
      </c>
      <c r="BJ19" t="e">
        <f>'Technical Skills Weighting'!884:884-"`FU!4F"</f>
        <v>#VALUE!</v>
      </c>
      <c r="BK19" t="e">
        <f>'Technical Skills Weighting'!885:885-"`FU!4G"</f>
        <v>#VALUE!</v>
      </c>
      <c r="BL19" t="e">
        <f>'Technical Skills Weighting'!886:886-"`FU!4H"</f>
        <v>#VALUE!</v>
      </c>
      <c r="BM19" t="e">
        <f>'Technical Skills Weighting'!887:887-"`FU!4I"</f>
        <v>#VALUE!</v>
      </c>
      <c r="BN19" t="e">
        <f>'Technical Skills Weighting'!888:888-"`FU!4J"</f>
        <v>#VALUE!</v>
      </c>
      <c r="BO19" t="e">
        <f>'Technical Skills Weighting'!889:889-"`FU!4K"</f>
        <v>#VALUE!</v>
      </c>
      <c r="BP19" t="e">
        <f>'Technical Skills Weighting'!890:890-"`FU!4L"</f>
        <v>#VALUE!</v>
      </c>
      <c r="BQ19" t="e">
        <f>'Technical Skills Weighting'!891:891-"`FU!4M"</f>
        <v>#VALUE!</v>
      </c>
      <c r="BR19" t="e">
        <f>'Technical Skills Weighting'!892:892-"`FU!4N"</f>
        <v>#VALUE!</v>
      </c>
      <c r="BS19" t="e">
        <f>'Technical Skills Weighting'!893:893-"`FU!4O"</f>
        <v>#VALUE!</v>
      </c>
      <c r="BT19" t="e">
        <f>'Technical Skills Weighting'!894:894-"`FU!4P"</f>
        <v>#VALUE!</v>
      </c>
      <c r="BU19" t="e">
        <f>'Technical Skills Weighting'!895:895-"`FU!4Q"</f>
        <v>#VALUE!</v>
      </c>
      <c r="BV19" t="e">
        <f>'Technical Skills Weighting'!896:896-"`FU!4R"</f>
        <v>#VALUE!</v>
      </c>
      <c r="BW19" t="e">
        <f>'Technical Skills Weighting'!897:897-"`FU!4S"</f>
        <v>#VALUE!</v>
      </c>
      <c r="BX19" t="e">
        <f>'Technical Skills Weighting'!898:898-"`FU!4T"</f>
        <v>#VALUE!</v>
      </c>
      <c r="BY19" t="e">
        <f>'Technical Skills Weighting'!899:899-"`FU!4U"</f>
        <v>#VALUE!</v>
      </c>
      <c r="BZ19" t="e">
        <f>'Technical Skills Weighting'!900:900-"`FU!4V"</f>
        <v>#VALUE!</v>
      </c>
      <c r="CA19" t="e">
        <f>'Technical Skills Weighting'!901:901-"`FU!4W"</f>
        <v>#VALUE!</v>
      </c>
      <c r="CB19" t="e">
        <f>'Technical Skills Weighting'!902:902-"`FU!4X"</f>
        <v>#VALUE!</v>
      </c>
      <c r="CC19" t="e">
        <f>'Technical Skills Weighting'!903:903-"`FU!4Y"</f>
        <v>#VALUE!</v>
      </c>
      <c r="CD19" t="e">
        <f>'Technical Skills Weighting'!904:904-"`FU!4Z"</f>
        <v>#VALUE!</v>
      </c>
      <c r="CE19" t="e">
        <f>'Technical Skills Weighting'!905:905-"`FU!4["</f>
        <v>#VALUE!</v>
      </c>
      <c r="CF19" t="e">
        <f>'Technical Skills Weighting'!906:906-"`FU!4\"</f>
        <v>#VALUE!</v>
      </c>
      <c r="CG19" t="e">
        <f>'Technical Skills Weighting'!907:907-"`FU!4]"</f>
        <v>#VALUE!</v>
      </c>
      <c r="CH19" t="e">
        <f>'Technical Skills Weighting'!908:908-"`FU!4^"</f>
        <v>#VALUE!</v>
      </c>
      <c r="CI19" t="e">
        <f>'Technical Skills Weighting'!909:909-"`FU!4_"</f>
        <v>#VALUE!</v>
      </c>
      <c r="CJ19" t="e">
        <f>'Technical Skills Weighting'!910:910-"`FU!4`"</f>
        <v>#VALUE!</v>
      </c>
      <c r="CK19" t="e">
        <f>'Technical Skills Weighting'!911:911-"`FU!4a"</f>
        <v>#VALUE!</v>
      </c>
      <c r="CL19" t="e">
        <f>'Technical Skills Weighting'!912:912-"`FU!4b"</f>
        <v>#VALUE!</v>
      </c>
      <c r="CM19" t="e">
        <f>'Technical Skills Weighting'!913:913-"`FU!4c"</f>
        <v>#VALUE!</v>
      </c>
      <c r="CN19" t="e">
        <f>'Technical Skills Weighting'!914:914-"`FU!4d"</f>
        <v>#VALUE!</v>
      </c>
      <c r="CO19" t="e">
        <f>'Technical Skills Weighting'!915:915-"`FU!4e"</f>
        <v>#VALUE!</v>
      </c>
      <c r="CP19" t="e">
        <f>'Technical Skills Weighting'!916:916-"`FU!4f"</f>
        <v>#VALUE!</v>
      </c>
      <c r="CQ19" t="e">
        <f>'Technical Skills Weighting'!917:917-"`FU!4g"</f>
        <v>#VALUE!</v>
      </c>
      <c r="CR19" t="e">
        <f>'Technical Skills Weighting'!918:918-"`FU!4h"</f>
        <v>#VALUE!</v>
      </c>
      <c r="CS19" t="e">
        <f>'Technical Skills Weighting'!919:919-"`FU!4i"</f>
        <v>#VALUE!</v>
      </c>
      <c r="CT19" t="e">
        <f>'Technical Skills Weighting'!920:920-"`FU!4j"</f>
        <v>#VALUE!</v>
      </c>
      <c r="CU19" t="e">
        <f>'Technical Skills Weighting'!921:921-"`FU!4k"</f>
        <v>#VALUE!</v>
      </c>
      <c r="CV19" t="e">
        <f>'Technical Skills Weighting'!922:922-"`FU!4l"</f>
        <v>#VALUE!</v>
      </c>
      <c r="CW19" t="e">
        <f>'Technical Skills Weighting'!923:923-"`FU!4m"</f>
        <v>#VALUE!</v>
      </c>
      <c r="CX19" t="e">
        <f>'Technical Skills Weighting'!924:924-"`FU!4n"</f>
        <v>#VALUE!</v>
      </c>
      <c r="CY19" t="e">
        <f>'Technical Skills Weighting'!925:925-"`FU!4o"</f>
        <v>#VALUE!</v>
      </c>
      <c r="CZ19" t="e">
        <f>'Technical Skills Weighting'!926:926-"`FU!4p"</f>
        <v>#VALUE!</v>
      </c>
      <c r="DA19" t="e">
        <f>'Technical Skills Weighting'!927:927-"`FU!4q"</f>
        <v>#VALUE!</v>
      </c>
      <c r="DB19" t="e">
        <f>'Technical Skills Weighting'!928:928-"`FU!4r"</f>
        <v>#VALUE!</v>
      </c>
      <c r="DC19" t="e">
        <f>'Technical Skills Weighting'!929:929-"`FU!4s"</f>
        <v>#VALUE!</v>
      </c>
      <c r="DD19" t="e">
        <f>'Technical Skills Weighting'!930:930-"`FU!4t"</f>
        <v>#VALUE!</v>
      </c>
      <c r="DE19" t="e">
        <f>'Technical Skills Weighting'!931:931-"`FU!4u"</f>
        <v>#VALUE!</v>
      </c>
      <c r="DF19" t="e">
        <f>'Technical Skills Weighting'!932:932-"`FU!4v"</f>
        <v>#VALUE!</v>
      </c>
      <c r="DG19" t="e">
        <f>'Technical Skills Weighting'!933:933-"`FU!4w"</f>
        <v>#VALUE!</v>
      </c>
      <c r="DH19" t="e">
        <f>'Technical Skills Weighting'!934:934-"`FU!4x"</f>
        <v>#VALUE!</v>
      </c>
      <c r="DI19" t="e">
        <f>'Technical Skills Weighting'!935:935-"`FU!4y"</f>
        <v>#VALUE!</v>
      </c>
      <c r="DJ19" t="e">
        <f>'Technical Skills Weighting'!936:936-"`FU!4z"</f>
        <v>#VALUE!</v>
      </c>
      <c r="DK19" t="e">
        <f>'Technical Skills Weighting'!937:937-"`FU!4{"</f>
        <v>#VALUE!</v>
      </c>
      <c r="DL19" t="e">
        <f>'Technical Skills Weighting'!938:938-"`FU!4|"</f>
        <v>#VALUE!</v>
      </c>
      <c r="DM19" t="e">
        <f>'Technical Skills Weighting'!939:939-"`FU!4}"</f>
        <v>#VALUE!</v>
      </c>
      <c r="DN19" t="e">
        <f>'Technical Skills Weighting'!940:940-"`FU!4~"</f>
        <v>#VALUE!</v>
      </c>
      <c r="DO19" t="e">
        <f>'Technical Skills Weighting'!941:941-"`FU!5#"</f>
        <v>#VALUE!</v>
      </c>
      <c r="DP19" t="e">
        <f>'Technical Skills Weighting'!942:942-"`FU!5$"</f>
        <v>#VALUE!</v>
      </c>
      <c r="DQ19" t="e">
        <f>'Technical Skills Weighting'!943:943-"`FU!5%"</f>
        <v>#VALUE!</v>
      </c>
      <c r="DR19" t="e">
        <f>'Technical Skills Weighting'!944:944-"`FU!5&amp;"</f>
        <v>#VALUE!</v>
      </c>
      <c r="DS19" t="e">
        <f>'Technical Skills Weighting'!945:945-"`FU!5'"</f>
        <v>#VALUE!</v>
      </c>
      <c r="DT19" t="e">
        <f>'Technical Skills Weighting'!946:946-"`FU!5("</f>
        <v>#VALUE!</v>
      </c>
      <c r="DU19" t="e">
        <f>'Technical Skills Weighting'!947:947-"`FU!5)"</f>
        <v>#VALUE!</v>
      </c>
      <c r="DV19" t="e">
        <f>'Technical Skills Weighting'!948:948-"`FU!5."</f>
        <v>#VALUE!</v>
      </c>
      <c r="DW19" t="e">
        <f>'Technical Skills Weighting'!949:949-"`FU!5/"</f>
        <v>#VALUE!</v>
      </c>
      <c r="DX19" t="e">
        <f>'Technical Skills Weighting'!950:950-"`FU!50"</f>
        <v>#VALUE!</v>
      </c>
      <c r="DY19" t="e">
        <f>'Technical Skills Weighting'!951:951-"`FU!51"</f>
        <v>#VALUE!</v>
      </c>
      <c r="DZ19" t="e">
        <f>'Technical Skills Weighting'!952:952-"`FU!52"</f>
        <v>#VALUE!</v>
      </c>
      <c r="EA19" t="e">
        <f>'Technical Skills Weighting'!953:953-"`FU!53"</f>
        <v>#VALUE!</v>
      </c>
      <c r="EB19" t="e">
        <f>'Technical Skills Weighting'!954:954-"`FU!54"</f>
        <v>#VALUE!</v>
      </c>
      <c r="EC19" t="e">
        <f>'Technical Skills Weighting'!955:955-"`FU!55"</f>
        <v>#VALUE!</v>
      </c>
      <c r="ED19" t="e">
        <f>'Technical Skills Weighting'!956:956-"`FU!56"</f>
        <v>#VALUE!</v>
      </c>
      <c r="EE19" t="e">
        <f>'Technical Skills Weighting'!957:957-"`FU!57"</f>
        <v>#VALUE!</v>
      </c>
      <c r="EF19" t="e">
        <f>'Technical Skills Weighting'!958:958-"`FU!58"</f>
        <v>#VALUE!</v>
      </c>
      <c r="EG19" t="e">
        <f>'Technical Skills Weighting'!959:959-"`FU!59"</f>
        <v>#VALUE!</v>
      </c>
      <c r="EH19" t="e">
        <f>'Technical Skills Weighting'!960:960-"`FU!5:"</f>
        <v>#VALUE!</v>
      </c>
      <c r="EI19" t="e">
        <f>'Technical Skills Weighting'!961:961-"`FU!5;"</f>
        <v>#VALUE!</v>
      </c>
      <c r="EJ19" t="e">
        <f>'Technical Skills Weighting'!962:962-"`FU!5&lt;"</f>
        <v>#VALUE!</v>
      </c>
      <c r="EK19" t="e">
        <f>'Technical Skills Weighting'!963:963-"`FU!5="</f>
        <v>#VALUE!</v>
      </c>
      <c r="EL19" t="e">
        <f>'Technical Skills Weighting'!964:964-"`FU!5&gt;"</f>
        <v>#VALUE!</v>
      </c>
      <c r="EM19" t="e">
        <f>'Technical Skills Weighting'!965:965-"`FU!5?"</f>
        <v>#VALUE!</v>
      </c>
      <c r="EN19" t="e">
        <f>'Technical Skills Weighting'!966:966-"`FU!5@"</f>
        <v>#VALUE!</v>
      </c>
      <c r="EO19" t="e">
        <f>'Technical Skills Weighting'!967:967-"`FU!5A"</f>
        <v>#VALUE!</v>
      </c>
      <c r="EP19" t="e">
        <f>'Technical Skills Weighting'!968:968-"`FU!5B"</f>
        <v>#VALUE!</v>
      </c>
      <c r="EQ19" t="e">
        <f>'Technical Skills Weighting'!969:969-"`FU!5C"</f>
        <v>#VALUE!</v>
      </c>
      <c r="ER19" t="e">
        <f>'Technical Skills Weighting'!970:970-"`FU!5D"</f>
        <v>#VALUE!</v>
      </c>
      <c r="ES19" t="e">
        <f>'Technical Skills Weighting'!971:971-"`FU!5E"</f>
        <v>#VALUE!</v>
      </c>
      <c r="ET19" t="e">
        <f>'Technical Skills Weighting'!972:972-"`FU!5F"</f>
        <v>#VALUE!</v>
      </c>
      <c r="EU19" t="e">
        <f>'Technical Skills Weighting'!973:973-"`FU!5G"</f>
        <v>#VALUE!</v>
      </c>
      <c r="EV19" t="e">
        <f>'Technical Skills Weighting'!974:974-"`FU!5H"</f>
        <v>#VALUE!</v>
      </c>
      <c r="EW19" t="e">
        <f>'Technical Skills Weighting'!975:975-"`FU!5I"</f>
        <v>#VALUE!</v>
      </c>
      <c r="EX19" t="e">
        <f>'Technical Skills Weighting'!976:976-"`FU!5J"</f>
        <v>#VALUE!</v>
      </c>
      <c r="EY19" t="e">
        <f>'Technical Skills Weighting'!977:977-"`FU!5K"</f>
        <v>#VALUE!</v>
      </c>
      <c r="EZ19" t="e">
        <f>'Technical Skills Weighting'!978:978-"`FU!5L"</f>
        <v>#VALUE!</v>
      </c>
      <c r="FA19" t="e">
        <f>'Technical Skills Weighting'!979:979-"`FU!5M"</f>
        <v>#VALUE!</v>
      </c>
      <c r="FB19" t="e">
        <f>'Technical Skills Weighting'!980:980-"`FU!5N"</f>
        <v>#VALUE!</v>
      </c>
      <c r="FC19" t="e">
        <f>'Technical Skills Weighting'!981:981-"`FU!5O"</f>
        <v>#VALUE!</v>
      </c>
      <c r="FD19" t="e">
        <f>'Technical Skills Weighting'!982:982-"`FU!5P"</f>
        <v>#VALUE!</v>
      </c>
      <c r="FE19" t="e">
        <f>'Technical Skills Weighting'!983:983-"`FU!5Q"</f>
        <v>#VALUE!</v>
      </c>
      <c r="FF19" t="e">
        <f>'Technical Skills Weighting'!984:984-"`FU!5R"</f>
        <v>#VALUE!</v>
      </c>
      <c r="FG19" t="e">
        <f>'Technical Skills Weighting'!985:985-"`FU!5S"</f>
        <v>#VALUE!</v>
      </c>
      <c r="FH19" t="e">
        <f>'Technical Skills Weighting'!986:986-"`FU!5T"</f>
        <v>#VALUE!</v>
      </c>
      <c r="FI19" t="e">
        <f>'Technical Skills Weighting'!987:987-"`FU!5U"</f>
        <v>#VALUE!</v>
      </c>
      <c r="FJ19" t="e">
        <f>'Technical Skills Weighting'!988:988-"`FU!5V"</f>
        <v>#VALUE!</v>
      </c>
      <c r="FK19" t="e">
        <f>'Technical Skills Weighting'!989:989-"`FU!5W"</f>
        <v>#VALUE!</v>
      </c>
      <c r="FL19" t="e">
        <f>'Technical Skills Weighting'!990:990-"`FU!5X"</f>
        <v>#VALUE!</v>
      </c>
      <c r="FM19" t="e">
        <f>'Technical Skills Weighting'!991:991-"`FU!5Y"</f>
        <v>#VALUE!</v>
      </c>
      <c r="FN19" t="e">
        <f>'Technical Skills Weighting'!992:992-"`FU!5Z"</f>
        <v>#VALUE!</v>
      </c>
      <c r="FO19" t="e">
        <f>'Technical Skills Weighting'!993:993-"`FU!5["</f>
        <v>#VALUE!</v>
      </c>
      <c r="FP19" t="e">
        <f>'Technical Skills Weighting'!994:994-"`FU!5\"</f>
        <v>#VALUE!</v>
      </c>
      <c r="FQ19" t="e">
        <f>'Technical Skills Weighting'!995:995-"`FU!5]"</f>
        <v>#VALUE!</v>
      </c>
      <c r="FR19" t="e">
        <f>'Technical Skills Weighting'!996:996-"`FU!5^"</f>
        <v>#VALUE!</v>
      </c>
      <c r="FS19" t="e">
        <f>'Technical Skills Weighting'!997:997-"`FU!5_"</f>
        <v>#VALUE!</v>
      </c>
      <c r="FT19" t="e">
        <f>'Technical Skills Weighting'!998:998-"`FU!5`"</f>
        <v>#VALUE!</v>
      </c>
      <c r="FU19" t="e">
        <f>'Technical Skills Weighting'!999:999-"`FU!5a"</f>
        <v>#VALUE!</v>
      </c>
      <c r="FV19" t="e">
        <f>'Technical Skills Weighting'!1000:1000-"`FU!5b"</f>
        <v>#VALUE!</v>
      </c>
      <c r="FW19" t="e">
        <f>'Technical Skills Weighting'!1001:1001-"`FU!5c"</f>
        <v>#VALUE!</v>
      </c>
      <c r="FX19" t="e">
        <f>'Technical Skills Weighting'!1002:1002-"`FU!5d"</f>
        <v>#VALUE!</v>
      </c>
      <c r="FY19" t="e">
        <f>'Technical Skills Weighting'!1003:1003-"`FU!5e"</f>
        <v>#VALUE!</v>
      </c>
      <c r="FZ19" t="e">
        <f>'Technical Skills Weighting'!1004:1004-"`FU!5f"</f>
        <v>#VALUE!</v>
      </c>
      <c r="GA19" t="e">
        <f>'Technical Skills Weighting'!1005:1005-"`FU!5g"</f>
        <v>#VALUE!</v>
      </c>
      <c r="GB19" t="e">
        <f>'Technical Skills Weighting'!1006:1006-"`FU!5h"</f>
        <v>#VALUE!</v>
      </c>
      <c r="GC19" t="e">
        <f>'Technical Skills Weighting'!1007:1007-"`FU!5i"</f>
        <v>#VALUE!</v>
      </c>
      <c r="GD19" t="e">
        <f>'Technical Skills Weighting'!1008:1008-"`FU!5j"</f>
        <v>#VALUE!</v>
      </c>
      <c r="GE19" t="e">
        <f>'Technical Skills Weighting'!1009:1009-"`FU!5k"</f>
        <v>#VALUE!</v>
      </c>
      <c r="GF19" t="e">
        <f>'Technical Skills Weighting'!1010:1010-"`FU!5l"</f>
        <v>#VALUE!</v>
      </c>
      <c r="GG19" t="e">
        <f>'Technical Skills Weighting'!1011:1011-"`FU!5m"</f>
        <v>#VALUE!</v>
      </c>
      <c r="GH19" t="e">
        <f>'Technical Skills Weighting'!1012:1012-"`FU!5n"</f>
        <v>#VALUE!</v>
      </c>
      <c r="GI19" t="e">
        <f>'Technical Skills Weighting'!1013:1013-"`FU!5o"</f>
        <v>#VALUE!</v>
      </c>
      <c r="GJ19" t="e">
        <f>'Technical Skills Weighting'!1014:1014-"`FU!5p"</f>
        <v>#VALUE!</v>
      </c>
      <c r="GK19" t="e">
        <f>'Technical Skills Weighting'!1015:1015-"`FU!5q"</f>
        <v>#VALUE!</v>
      </c>
      <c r="GL19" t="e">
        <f>'Technical Skills Weighting'!1016:1016-"`FU!5r"</f>
        <v>#VALUE!</v>
      </c>
      <c r="GM19" t="e">
        <f>'Technical Skills Weighting'!1017:1017-"`FU!5s"</f>
        <v>#VALUE!</v>
      </c>
      <c r="GN19" t="e">
        <f>'Technical Skills Weighting'!1018:1018-"`FU!5t"</f>
        <v>#VALUE!</v>
      </c>
      <c r="GO19" t="e">
        <f>'Technical Skills Weighting'!1019:1019-"`FU!5u"</f>
        <v>#VALUE!</v>
      </c>
      <c r="GP19" t="e">
        <f>'Technical Skills Weighting'!1020:1020-"`FU!5v"</f>
        <v>#VALUE!</v>
      </c>
      <c r="GQ19" t="e">
        <f>'Technical Skills Weighting'!1021:1021-"`FU!5w"</f>
        <v>#VALUE!</v>
      </c>
      <c r="GR19" t="e">
        <f>'Technical Skills Weighting'!1022:1022-"`FU!5x"</f>
        <v>#VALUE!</v>
      </c>
      <c r="GS19" t="e">
        <f>'Technical Skills Weighting'!1023:1023-"`FU!5y"</f>
        <v>#VALUE!</v>
      </c>
      <c r="GT19" t="e">
        <f>'Technical Skills Weighting'!1024:1024-"`FU!5z"</f>
        <v>#VALUE!</v>
      </c>
      <c r="GU19" t="e">
        <f>'Technical Skills Weighting'!1025:1025-"`FU!5{"</f>
        <v>#VALUE!</v>
      </c>
      <c r="GV19" t="e">
        <f>'Technical Skills Weighting'!1026:1026-"`FU!5|"</f>
        <v>#VALUE!</v>
      </c>
      <c r="GW19" t="e">
        <f>'Technical Skills Weighting'!1027:1027-"`FU!5}"</f>
        <v>#VALUE!</v>
      </c>
      <c r="GX19" t="e">
        <f>'Technical Skills Weighting'!1028:1028-"`FU!5~"</f>
        <v>#VALUE!</v>
      </c>
      <c r="GY19" t="e">
        <f>'Technical Skills Weighting'!1029:1029-"`FU!6#"</f>
        <v>#VALUE!</v>
      </c>
      <c r="GZ19" t="e">
        <f>'Technical Skills Weighting'!1030:1030-"`FU!6$"</f>
        <v>#VALUE!</v>
      </c>
      <c r="HA19" t="e">
        <f>'Technical Skills Weighting'!1031:1031-"`FU!6%"</f>
        <v>#VALUE!</v>
      </c>
      <c r="HB19" t="e">
        <f>'Technical Skills Weighting'!1032:1032-"`FU!6&amp;"</f>
        <v>#VALUE!</v>
      </c>
      <c r="HC19" t="e">
        <f>'Technical Skills Weighting'!1033:1033-"`FU!6'"</f>
        <v>#VALUE!</v>
      </c>
      <c r="HD19" t="e">
        <f>'Technical Skills Weighting'!1034:1034-"`FU!6("</f>
        <v>#VALUE!</v>
      </c>
      <c r="HE19" t="e">
        <f>'Technical Skills Weighting'!1035:1035-"`FU!6)"</f>
        <v>#VALUE!</v>
      </c>
      <c r="HF19" t="e">
        <f>'Technical Skills Weighting'!1036:1036-"`FU!6."</f>
        <v>#VALUE!</v>
      </c>
      <c r="HG19" t="e">
        <f>'Technical Skills Weighting'!1037:1037-"`FU!6/"</f>
        <v>#VALUE!</v>
      </c>
      <c r="HH19" t="e">
        <f>'Technical Skills Weighting'!1038:1038-"`FU!60"</f>
        <v>#VALUE!</v>
      </c>
      <c r="HI19" t="e">
        <f>'Technical Skills Weighting'!1039:1039-"`FU!61"</f>
        <v>#VALUE!</v>
      </c>
      <c r="HJ19" t="e">
        <f>'Technical Skills Weighting'!1040:1040-"`FU!62"</f>
        <v>#VALUE!</v>
      </c>
      <c r="HK19" t="e">
        <f>'Technical Skills Weighting'!1041:1041-"`FU!63"</f>
        <v>#VALUE!</v>
      </c>
      <c r="HL19" t="e">
        <f>'Technical Skills Weighting'!1042:1042-"`FU!64"</f>
        <v>#VALUE!</v>
      </c>
      <c r="HM19" t="e">
        <f>'Technical Skills Weighting'!1043:1043-"`FU!65"</f>
        <v>#VALUE!</v>
      </c>
      <c r="HN19" t="e">
        <f>'Technical Skills Weighting'!1044:1044-"`FU!66"</f>
        <v>#VALUE!</v>
      </c>
      <c r="HO19" t="e">
        <f>'Technical Skills Weighting'!1045:1045-"`FU!67"</f>
        <v>#VALUE!</v>
      </c>
      <c r="HP19" t="e">
        <f>'Technical Skills Weighting'!1046:1046-"`FU!68"</f>
        <v>#VALUE!</v>
      </c>
      <c r="HQ19" t="e">
        <f>'Technical Skills Weighting'!1047:1047-"`FU!69"</f>
        <v>#VALUE!</v>
      </c>
      <c r="HR19" t="e">
        <f>'Technical Skills Weighting'!1048:1048-"`FU!6:"</f>
        <v>#VALUE!</v>
      </c>
      <c r="HS19" t="e">
        <f>'Technical Skills Weighting'!1049:1049-"`FU!6;"</f>
        <v>#VALUE!</v>
      </c>
      <c r="HT19" t="e">
        <f>'Technical Skills Weighting'!1050:1050-"`FU!6&lt;"</f>
        <v>#VALUE!</v>
      </c>
      <c r="HU19" t="e">
        <f>'Technical Skills Weighting'!1051:1051-"`FU!6="</f>
        <v>#VALUE!</v>
      </c>
      <c r="HV19" t="e">
        <f>'Technical Skills Weighting'!1052:1052-"`FU!6&gt;"</f>
        <v>#VALUE!</v>
      </c>
      <c r="HW19" t="e">
        <f>'Technical Skills Weighting'!1053:1053-"`FU!6?"</f>
        <v>#VALUE!</v>
      </c>
      <c r="HX19" t="e">
        <f>'Technical Skills Weighting'!1054:1054-"`FU!6@"</f>
        <v>#VALUE!</v>
      </c>
      <c r="HY19" t="e">
        <f>'Technical Skills Weighting'!1055:1055-"`FU!6A"</f>
        <v>#VALUE!</v>
      </c>
      <c r="HZ19" t="e">
        <f>'Technical Skills Weighting'!1056:1056-"`FU!6B"</f>
        <v>#VALUE!</v>
      </c>
      <c r="IA19" t="e">
        <f>'Technical Skills Weighting'!1057:1057-"`FU!6C"</f>
        <v>#VALUE!</v>
      </c>
      <c r="IB19" t="e">
        <f>'Technical Skills Weighting'!1058:1058-"`FU!6D"</f>
        <v>#VALUE!</v>
      </c>
      <c r="IC19" t="e">
        <f>'Technical Skills Weighting'!1059:1059-"`FU!6E"</f>
        <v>#VALUE!</v>
      </c>
      <c r="ID19" t="e">
        <f>'Technical Skills Weighting'!1060:1060-"`FU!6F"</f>
        <v>#VALUE!</v>
      </c>
      <c r="IE19" t="e">
        <f>'Technical Skills Weighting'!1061:1061-"`FU!6G"</f>
        <v>#VALUE!</v>
      </c>
      <c r="IF19" t="e">
        <f>'Technical Skills Weighting'!1062:1062-"`FU!6H"</f>
        <v>#VALUE!</v>
      </c>
      <c r="IG19" t="e">
        <f>'Technical Skills Weighting'!1063:1063-"`FU!6I"</f>
        <v>#VALUE!</v>
      </c>
      <c r="IH19" t="e">
        <f>'Technical Skills Weighting'!1064:1064-"`FU!6J"</f>
        <v>#VALUE!</v>
      </c>
      <c r="II19" t="e">
        <f>'Technical Skills Weighting'!1065:1065-"`FU!6K"</f>
        <v>#VALUE!</v>
      </c>
      <c r="IJ19" t="e">
        <f>'Technical Skills Weighting'!1066:1066-"`FU!6L"</f>
        <v>#VALUE!</v>
      </c>
      <c r="IK19" t="e">
        <f>'Technical Skills Weighting'!1067:1067-"`FU!6M"</f>
        <v>#VALUE!</v>
      </c>
      <c r="IL19" t="e">
        <f>'Technical Skills Weighting'!1068:1068-"`FU!6N"</f>
        <v>#VALUE!</v>
      </c>
      <c r="IM19" t="e">
        <f>'Technical Skills Weighting'!1069:1069-"`FU!6O"</f>
        <v>#VALUE!</v>
      </c>
      <c r="IN19" t="e">
        <f>'Technical Skills Weighting'!1070:1070-"`FU!6P"</f>
        <v>#VALUE!</v>
      </c>
      <c r="IO19" t="e">
        <f>'Technical Skills Weighting'!1071:1071-"`FU!6Q"</f>
        <v>#VALUE!</v>
      </c>
      <c r="IP19" t="e">
        <f>'Technical Skills Weighting'!1072:1072-"`FU!6R"</f>
        <v>#VALUE!</v>
      </c>
      <c r="IQ19" t="e">
        <f>'Technical Skills Weighting'!1073:1073-"`FU!6S"</f>
        <v>#VALUE!</v>
      </c>
      <c r="IR19" t="e">
        <f>'Technical Skills Weighting'!1074:1074-"`FU!6T"</f>
        <v>#VALUE!</v>
      </c>
      <c r="IS19" t="e">
        <f>'Technical Skills Weighting'!1075:1075-"`FU!6U"</f>
        <v>#VALUE!</v>
      </c>
      <c r="IT19" t="e">
        <f>'Technical Skills Weighting'!1076:1076-"`FU!6V"</f>
        <v>#VALUE!</v>
      </c>
      <c r="IU19" t="e">
        <f>'Technical Skills Weighting'!1077:1077-"`FU!6W"</f>
        <v>#VALUE!</v>
      </c>
      <c r="IV19" t="e">
        <f>'Technical Skills Weighting'!1078:1078-"`FU!6X"</f>
        <v>#VALUE!</v>
      </c>
    </row>
    <row r="20" spans="6:256" x14ac:dyDescent="0.25">
      <c r="F20" t="e">
        <f>'Technical Skills Weighting'!1079:1079-"`FU!6Y"</f>
        <v>#VALUE!</v>
      </c>
      <c r="G20" t="e">
        <f>'Technical Skills Weighting'!1080:1080-"`FU!6Z"</f>
        <v>#VALUE!</v>
      </c>
      <c r="H20" t="e">
        <f>'Technical Skills Weighting'!1081:1081-"`FU!6["</f>
        <v>#VALUE!</v>
      </c>
      <c r="I20" t="e">
        <f>'Technical Skills Weighting'!1082:1082-"`FU!6\"</f>
        <v>#VALUE!</v>
      </c>
      <c r="J20" t="e">
        <f>'Technical Skills Weighting'!1083:1083-"`FU!6]"</f>
        <v>#VALUE!</v>
      </c>
      <c r="K20" t="e">
        <f>'Technical Skills Weighting'!1084:1084-"`FU!6^"</f>
        <v>#VALUE!</v>
      </c>
      <c r="L20" t="e">
        <f>'Technical Skills Weighting'!1085:1085-"`FU!6_"</f>
        <v>#VALUE!</v>
      </c>
      <c r="M20" t="e">
        <f>'Technical Skills Weighting'!1086:1086-"`FU!6`"</f>
        <v>#VALUE!</v>
      </c>
      <c r="N20" t="e">
        <f>'Technical Skills Weighting'!1087:1087-"`FU!6a"</f>
        <v>#VALUE!</v>
      </c>
      <c r="O20" t="e">
        <f>'Technical Skills Weighting'!1088:1088-"`FU!6b"</f>
        <v>#VALUE!</v>
      </c>
      <c r="P20" t="e">
        <f>'Technical Skills Weighting'!1089:1089-"`FU!6c"</f>
        <v>#VALUE!</v>
      </c>
      <c r="Q20" t="e">
        <f>'Technical Skills Weighting'!1090:1090-"`FU!6d"</f>
        <v>#VALUE!</v>
      </c>
      <c r="R20" t="e">
        <f>'Technical Skills Weighting'!1091:1091-"`FU!6e"</f>
        <v>#VALUE!</v>
      </c>
      <c r="S20" t="e">
        <f>'Technical Skills Weighting'!1092:1092-"`FU!6f"</f>
        <v>#VALUE!</v>
      </c>
      <c r="T20" t="e">
        <f>'Technical Skills Weighting'!1093:1093-"`FU!6g"</f>
        <v>#VALUE!</v>
      </c>
      <c r="U20" t="e">
        <f>'Technical Skills Weighting'!1094:1094-"`FU!6h"</f>
        <v>#VALUE!</v>
      </c>
      <c r="V20" t="e">
        <f>'Technical Skills Weighting'!1095:1095-"`FU!6i"</f>
        <v>#VALUE!</v>
      </c>
      <c r="W20" t="e">
        <f>'Technical Skills Weighting'!1096:1096-"`FU!6j"</f>
        <v>#VALUE!</v>
      </c>
      <c r="X20" t="e">
        <f>'Technical Skills Weighting'!1097:1097-"`FU!6k"</f>
        <v>#VALUE!</v>
      </c>
      <c r="Y20" t="e">
        <f>'Technical Skills Weighting'!1098:1098-"`FU!6l"</f>
        <v>#VALUE!</v>
      </c>
      <c r="Z20" t="e">
        <f>'Technical Skills Weighting'!1099:1099-"`FU!6m"</f>
        <v>#VALUE!</v>
      </c>
      <c r="AA20" t="e">
        <f>'Technical Skills Weighting'!1100:1100-"`FU!6n"</f>
        <v>#VALUE!</v>
      </c>
      <c r="AB20" t="e">
        <f>'Technical Skills Weighting'!1101:1101-"`FU!6o"</f>
        <v>#VALUE!</v>
      </c>
      <c r="AC20" t="e">
        <f>'Technical Skills Weighting'!1102:1102-"`FU!6p"</f>
        <v>#VALUE!</v>
      </c>
      <c r="AD20" t="e">
        <f>'Technical Skills Weighting'!1103:1103-"`FU!6q"</f>
        <v>#VALUE!</v>
      </c>
      <c r="AE20" t="e">
        <f>'Technical Skills Weighting'!1104:1104-"`FU!6r"</f>
        <v>#VALUE!</v>
      </c>
      <c r="AF20" t="e">
        <f>'Technical Skills Weighting'!1105:1105-"`FU!6s"</f>
        <v>#VALUE!</v>
      </c>
      <c r="AG20" t="e">
        <f>'Technical Skills Weighting'!1106:1106-"`FU!6t"</f>
        <v>#VALUE!</v>
      </c>
      <c r="AH20" t="e">
        <f>'Technical Skills Weighting'!1107:1107-"`FU!6u"</f>
        <v>#VALUE!</v>
      </c>
      <c r="AI20" t="e">
        <f>'Technical Skills Weighting'!1108:1108-"`FU!6v"</f>
        <v>#VALUE!</v>
      </c>
      <c r="AJ20" t="e">
        <f>'Technical Skills Weighting'!1109:1109-"`FU!6w"</f>
        <v>#VALUE!</v>
      </c>
      <c r="AK20" t="e">
        <f>'Technical Skills Weighting'!1110:1110-"`FU!6x"</f>
        <v>#VALUE!</v>
      </c>
      <c r="AL20" t="e">
        <f>'Technical Skills Weighting'!1111:1111-"`FU!6y"</f>
        <v>#VALUE!</v>
      </c>
      <c r="AM20" t="e">
        <f>'Technical Skills Weighting'!1112:1112-"`FU!6z"</f>
        <v>#VALUE!</v>
      </c>
      <c r="AN20" t="e">
        <f>'Technical Skills Weighting'!1113:1113-"`FU!6{"</f>
        <v>#VALUE!</v>
      </c>
      <c r="AO20" t="e">
        <f>'Technical Skills Weighting'!1114:1114-"`FU!6|"</f>
        <v>#VALUE!</v>
      </c>
      <c r="AP20" t="e">
        <f>'Technical Skills Weighting'!1115:1115-"`FU!6}"</f>
        <v>#VALUE!</v>
      </c>
      <c r="AQ20" t="e">
        <f>'Technical Skills Weighting'!1116:1116-"`FU!6~"</f>
        <v>#VALUE!</v>
      </c>
      <c r="AR20" t="e">
        <f>'Technical Skills Weighting'!1117:1117-"`FU!7#"</f>
        <v>#VALUE!</v>
      </c>
      <c r="AS20" t="e">
        <f>'Technical Skills Weighting'!1118:1118-"`FU!7$"</f>
        <v>#VALUE!</v>
      </c>
      <c r="AT20" t="e">
        <f>'Technical Skills Weighting'!1119:1119-"`FU!7%"</f>
        <v>#VALUE!</v>
      </c>
      <c r="AU20" t="e">
        <f>'Technical Skills Weighting'!1120:1120-"`FU!7&amp;"</f>
        <v>#VALUE!</v>
      </c>
      <c r="AV20" t="e">
        <f>'Technical Skills Weighting'!1121:1121-"`FU!7'"</f>
        <v>#VALUE!</v>
      </c>
      <c r="AW20" t="e">
        <f>'Technical Skills Weighting'!1122:1122-"`FU!7("</f>
        <v>#VALUE!</v>
      </c>
      <c r="AX20" t="e">
        <f>'Technical Skills Weighting'!1123:1123-"`FU!7)"</f>
        <v>#VALUE!</v>
      </c>
      <c r="AY20" t="e">
        <f>'Technical Skills Weighting'!1124:1124-"`FU!7."</f>
        <v>#VALUE!</v>
      </c>
      <c r="AZ20" t="e">
        <f>'Technical Skills Weighting'!1125:1125-"`FU!7/"</f>
        <v>#VALUE!</v>
      </c>
      <c r="BA20" t="e">
        <f>'Technical Skills Weighting'!1126:1126-"`FU!70"</f>
        <v>#VALUE!</v>
      </c>
      <c r="BB20" t="e">
        <f>'Technical Skills Weighting'!1127:1127-"`FU!71"</f>
        <v>#VALUE!</v>
      </c>
      <c r="BC20" t="e">
        <f>'Technical Skills Weighting'!1128:1128-"`FU!72"</f>
        <v>#VALUE!</v>
      </c>
      <c r="BD20" t="e">
        <f>'Technical Skills Weighting'!1129:1129-"`FU!73"</f>
        <v>#VALUE!</v>
      </c>
      <c r="BE20" t="e">
        <f>'Technical Skills Weighting'!1130:1130-"`FU!74"</f>
        <v>#VALUE!</v>
      </c>
      <c r="BF20" t="e">
        <f>'Technical Skills Weighting'!1131:1131-"`FU!75"</f>
        <v>#VALUE!</v>
      </c>
      <c r="BG20" t="e">
        <f>'Technical Skills Weighting'!1132:1132-"`FU!76"</f>
        <v>#VALUE!</v>
      </c>
      <c r="BH20" t="e">
        <f>'Technical Skills Weighting'!1133:1133-"`FU!77"</f>
        <v>#VALUE!</v>
      </c>
      <c r="BI20" t="e">
        <f>'Technical Skills Weighting'!1134:1134-"`FU!78"</f>
        <v>#VALUE!</v>
      </c>
      <c r="BJ20" t="e">
        <f>'Technical Skills Weighting'!1135:1135-"`FU!79"</f>
        <v>#VALUE!</v>
      </c>
      <c r="BK20" t="e">
        <f>'Technical Skills Weighting'!1136:1136-"`FU!7:"</f>
        <v>#VALUE!</v>
      </c>
      <c r="BL20" t="e">
        <f>'Technical Skills Weighting'!1137:1137-"`FU!7;"</f>
        <v>#VALUE!</v>
      </c>
      <c r="BM20" t="e">
        <f>'Technical Skills Weighting'!1138:1138-"`FU!7&lt;"</f>
        <v>#VALUE!</v>
      </c>
      <c r="BN20" t="e">
        <f>'Technical Skills Weighting'!1139:1139-"`FU!7="</f>
        <v>#VALUE!</v>
      </c>
      <c r="BO20" t="e">
        <f>'Technical Skills Weighting'!1140:1140-"`FU!7&gt;"</f>
        <v>#VALUE!</v>
      </c>
      <c r="BP20" t="e">
        <f>'Technical Skills Weighting'!1141:1141-"`FU!7?"</f>
        <v>#VALUE!</v>
      </c>
      <c r="BQ20" t="e">
        <f>'Technical Skills Weighting'!1142:1142-"`FU!7@"</f>
        <v>#VALUE!</v>
      </c>
      <c r="BR20" t="e">
        <f>'Technical Skills Weighting'!1143:1143-"`FU!7A"</f>
        <v>#VALUE!</v>
      </c>
      <c r="BS20" t="e">
        <f>'Technical Skills Weighting'!1144:1144-"`FU!7B"</f>
        <v>#VALUE!</v>
      </c>
      <c r="BT20" t="e">
        <f>'Technical Skills Weighting'!1145:1145-"`FU!7C"</f>
        <v>#VALUE!</v>
      </c>
      <c r="BU20" t="e">
        <f>'Technical Skills Weighting'!1146:1146-"`FU!7D"</f>
        <v>#VALUE!</v>
      </c>
      <c r="BV20" t="e">
        <f>'Technical Skills Weighting'!1147:1147-"`FU!7E"</f>
        <v>#VALUE!</v>
      </c>
      <c r="BW20" t="e">
        <f>'Technical Skills Weighting'!1148:1148-"`FU!7F"</f>
        <v>#VALUE!</v>
      </c>
      <c r="BX20" t="e">
        <f>'Technical Skills Weighting'!1149:1149-"`FU!7G"</f>
        <v>#VALUE!</v>
      </c>
      <c r="BY20" t="e">
        <f>'Technical Skills Weighting'!1150:1150-"`FU!7H"</f>
        <v>#VALUE!</v>
      </c>
      <c r="BZ20" t="e">
        <f>'Technical Skills Weighting'!1151:1151-"`FU!7I"</f>
        <v>#VALUE!</v>
      </c>
      <c r="CA20" t="e">
        <f>'Technical Skills Weighting'!1152:1152-"`FU!7J"</f>
        <v>#VALUE!</v>
      </c>
      <c r="CB20" t="e">
        <f>'Technical Skills Weighting'!1153:1153-"`FU!7K"</f>
        <v>#VALUE!</v>
      </c>
      <c r="CC20" t="e">
        <f>'Technical Skills Weighting'!1154:1154-"`FU!7L"</f>
        <v>#VALUE!</v>
      </c>
      <c r="CD20" t="e">
        <f>'Technical Skills Weighting'!1155:1155-"`FU!7M"</f>
        <v>#VALUE!</v>
      </c>
      <c r="CE20" t="e">
        <f>'Technical Skills Weighting'!1156:1156-"`FU!7N"</f>
        <v>#VALUE!</v>
      </c>
      <c r="CF20" t="e">
        <f>'Technical Skills Weighting'!1157:1157-"`FU!7O"</f>
        <v>#VALUE!</v>
      </c>
      <c r="CG20" t="e">
        <f>'Technical Skills Weighting'!1158:1158-"`FU!7P"</f>
        <v>#VALUE!</v>
      </c>
      <c r="CH20" t="e">
        <f>'Technical Skills Weighting'!1159:1159-"`FU!7Q"</f>
        <v>#VALUE!</v>
      </c>
      <c r="CI20" t="e">
        <f>'Technical Skills Weighting'!1160:1160-"`FU!7R"</f>
        <v>#VALUE!</v>
      </c>
      <c r="CJ20" t="e">
        <f>'Technical Skills Weighting'!1161:1161-"`FU!7S"</f>
        <v>#VALUE!</v>
      </c>
      <c r="CK20" t="e">
        <f>'Technical Skills Weighting'!1162:1162-"`FU!7T"</f>
        <v>#VALUE!</v>
      </c>
      <c r="CL20" t="e">
        <f>'Technical Skills Weighting'!1163:1163-"`FU!7U"</f>
        <v>#VALUE!</v>
      </c>
      <c r="CM20" t="e">
        <f>'Technical Skills Weighting'!1164:1164-"`FU!7V"</f>
        <v>#VALUE!</v>
      </c>
      <c r="CN20" t="e">
        <f>'Technical Skills Weighting'!1165:1165-"`FU!7W"</f>
        <v>#VALUE!</v>
      </c>
      <c r="CO20" t="e">
        <f>'Technical Skills Weighting'!1166:1166-"`FU!7X"</f>
        <v>#VALUE!</v>
      </c>
      <c r="CP20" t="e">
        <f>'Technical Skills Weighting'!1167:1167-"`FU!7Y"</f>
        <v>#VALUE!</v>
      </c>
      <c r="CQ20" t="e">
        <f>'Technical Skills Weighting'!1168:1168-"`FU!7Z"</f>
        <v>#VALUE!</v>
      </c>
      <c r="CR20" t="e">
        <f>'Technical Skills Weighting'!1169:1169-"`FU!7["</f>
        <v>#VALUE!</v>
      </c>
      <c r="CS20" t="e">
        <f>'Technical Skills Weighting'!1170:1170-"`FU!7\"</f>
        <v>#VALUE!</v>
      </c>
      <c r="CT20" t="e">
        <f>'Technical Skills Weighting'!1171:1171-"`FU!7]"</f>
        <v>#VALUE!</v>
      </c>
      <c r="CU20" t="e">
        <f>'Technical Skills Weighting'!1172:1172-"`FU!7^"</f>
        <v>#VALUE!</v>
      </c>
      <c r="CV20" t="e">
        <f>'Technical Skills Weighting'!1173:1173-"`FU!7_"</f>
        <v>#VALUE!</v>
      </c>
      <c r="CW20" t="e">
        <f>'Technical Skills Weighting'!1174:1174-"`FU!7`"</f>
        <v>#VALUE!</v>
      </c>
      <c r="CX20" t="e">
        <f>'Technical Skills Weighting'!1175:1175-"`FU!7a"</f>
        <v>#VALUE!</v>
      </c>
      <c r="CY20" t="e">
        <f>'Technical Skills Weighting'!1176:1176-"`FU!7b"</f>
        <v>#VALUE!</v>
      </c>
      <c r="CZ20" t="e">
        <f>'Technical Skills Weighting'!1177:1177-"`FU!7c"</f>
        <v>#VALUE!</v>
      </c>
      <c r="DA20" t="e">
        <f>'Technical Skills Weighting'!1178:1178-"`FU!7d"</f>
        <v>#VALUE!</v>
      </c>
      <c r="DB20" t="e">
        <f>'Technical Skills Weighting'!1179:1179-"`FU!7e"</f>
        <v>#VALUE!</v>
      </c>
      <c r="DC20" t="e">
        <f>'Technical Skills Weighting'!1180:1180-"`FU!7f"</f>
        <v>#VALUE!</v>
      </c>
      <c r="DD20" t="e">
        <f>'Technical Skills Weighting'!1181:1181-"`FU!7g"</f>
        <v>#VALUE!</v>
      </c>
      <c r="DE20" t="e">
        <f>'Technical Skills Weighting'!1182:1182-"`FU!7h"</f>
        <v>#VALUE!</v>
      </c>
      <c r="DF20" t="e">
        <f>'Technical Skills Weighting'!1183:1183-"`FU!7i"</f>
        <v>#VALUE!</v>
      </c>
      <c r="DG20" t="e">
        <f>'Technical Skills Weighting'!1184:1184-"`FU!7j"</f>
        <v>#VALUE!</v>
      </c>
      <c r="DH20" t="e">
        <f>'Technical Skills Weighting'!1185:1185-"`FU!7k"</f>
        <v>#VALUE!</v>
      </c>
      <c r="DI20" t="e">
        <f>'Technical Skills Weighting'!1186:1186-"`FU!7l"</f>
        <v>#VALUE!</v>
      </c>
      <c r="DJ20" t="e">
        <f>'Technical Skills Weighting'!1187:1187-"`FU!7m"</f>
        <v>#VALUE!</v>
      </c>
      <c r="DK20" t="e">
        <f>'Technical Skills Weighting'!1188:1188-"`FU!7n"</f>
        <v>#VALUE!</v>
      </c>
      <c r="DL20" t="e">
        <f>'Technical Skills Weighting'!1189:1189-"`FU!7o"</f>
        <v>#VALUE!</v>
      </c>
      <c r="DM20" t="e">
        <f>'Technical Skills Weighting'!1190:1190-"`FU!7p"</f>
        <v>#VALUE!</v>
      </c>
      <c r="DN20" t="e">
        <f>'Technical Skills Weighting'!1191:1191-"`FU!7q"</f>
        <v>#VALUE!</v>
      </c>
      <c r="DO20" t="e">
        <f>'Technical Skills Weighting'!1192:1192-"`FU!7r"</f>
        <v>#VALUE!</v>
      </c>
      <c r="DP20" t="e">
        <f>'Technical Skills Weighting'!1193:1193-"`FU!7s"</f>
        <v>#VALUE!</v>
      </c>
      <c r="DQ20" t="e">
        <f>'Technical Skills Weighting'!1194:1194-"`FU!7t"</f>
        <v>#VALUE!</v>
      </c>
      <c r="DR20" t="e">
        <f>'Technical Skills Weighting'!1195:1195-"`FU!7u"</f>
        <v>#VALUE!</v>
      </c>
      <c r="DS20" t="e">
        <f>'Technical Skills Weighting'!1196:1196-"`FU!7v"</f>
        <v>#VALUE!</v>
      </c>
      <c r="DT20" t="e">
        <f>'Technical Skills Weighting'!1197:1197-"`FU!7w"</f>
        <v>#VALUE!</v>
      </c>
      <c r="DU20" t="e">
        <f>'Technical Skills Weighting'!1198:1198-"`FU!7x"</f>
        <v>#VALUE!</v>
      </c>
      <c r="DV20" t="e">
        <f>'Technical Skills Weighting'!1199:1199-"`FU!7y"</f>
        <v>#VALUE!</v>
      </c>
      <c r="DW20" t="e">
        <f>'Technical Skills Weighting'!1200:1200-"`FU!7z"</f>
        <v>#VALUE!</v>
      </c>
      <c r="DX20" t="e">
        <f>'Technical Skills Weighting'!1201:1201-"`FU!7{"</f>
        <v>#VALUE!</v>
      </c>
      <c r="DY20" t="e">
        <f>'Technical Skills Weighting'!1202:1202-"`FU!7|"</f>
        <v>#VALUE!</v>
      </c>
      <c r="DZ20" t="e">
        <f>'Technical Skills Weighting'!1203:1203-"`FU!7}"</f>
        <v>#VALUE!</v>
      </c>
      <c r="EA20" t="e">
        <f>'Technical Skills Weighting'!1204:1204-"`FU!7~"</f>
        <v>#VALUE!</v>
      </c>
      <c r="EB20" t="e">
        <f>'Technical Skills Weighting'!1205:1205-"`FU!8#"</f>
        <v>#VALUE!</v>
      </c>
      <c r="EC20" t="e">
        <f>'Technical Skills Weighting'!1206:1206-"`FU!8$"</f>
        <v>#VALUE!</v>
      </c>
      <c r="ED20" t="e">
        <f>'Technical Skills Weighting'!1207:1207-"`FU!8%"</f>
        <v>#VALUE!</v>
      </c>
      <c r="EE20" t="e">
        <f>'Technical Skills Weighting'!1208:1208-"`FU!8&amp;"</f>
        <v>#VALUE!</v>
      </c>
      <c r="EF20" t="e">
        <f>'Technical Skills Weighting'!1209:1209-"`FU!8'"</f>
        <v>#VALUE!</v>
      </c>
      <c r="EG20" t="e">
        <f>'Technical Skills Weighting'!1210:1210-"`FU!8("</f>
        <v>#VALUE!</v>
      </c>
      <c r="EH20" t="e">
        <f>'Technical Skills Weighting'!1211:1211-"`FU!8)"</f>
        <v>#VALUE!</v>
      </c>
      <c r="EI20" t="e">
        <f>'Technical Skills Weighting'!1212:1212-"`FU!8."</f>
        <v>#VALUE!</v>
      </c>
      <c r="EJ20" t="e">
        <f>'Technical Skills Weighting'!1213:1213-"`FU!8/"</f>
        <v>#VALUE!</v>
      </c>
      <c r="EK20" t="e">
        <f>'Technical Skills Weighting'!1214:1214-"`FU!80"</f>
        <v>#VALUE!</v>
      </c>
      <c r="EL20" t="e">
        <f>'Technical Skills Weighting'!1215:1215-"`FU!81"</f>
        <v>#VALUE!</v>
      </c>
      <c r="EM20" t="e">
        <f>'Technical Skills Weighting'!1216:1216-"`FU!82"</f>
        <v>#VALUE!</v>
      </c>
      <c r="EN20" t="e">
        <f>'Technical Skills Weighting'!1217:1217-"`FU!83"</f>
        <v>#VALUE!</v>
      </c>
      <c r="EO20" t="e">
        <f>'Technical Skills Weighting'!1218:1218-"`FU!84"</f>
        <v>#VALUE!</v>
      </c>
      <c r="EP20" t="e">
        <f>'Technical Skills Weighting'!1219:1219-"`FU!85"</f>
        <v>#VALUE!</v>
      </c>
      <c r="EQ20" t="e">
        <f>'Technical Skills Weighting'!1220:1220-"`FU!86"</f>
        <v>#VALUE!</v>
      </c>
      <c r="ER20" t="e">
        <f>'Technical Skills Weighting'!1221:1221-"`FU!87"</f>
        <v>#VALUE!</v>
      </c>
      <c r="ES20" t="e">
        <f>'Technical Skills Weighting'!1222:1222-"`FU!88"</f>
        <v>#VALUE!</v>
      </c>
      <c r="ET20" t="e">
        <f>'Technical Skills Weighting'!1223:1223-"`FU!89"</f>
        <v>#VALUE!</v>
      </c>
      <c r="EU20" t="e">
        <f>'Technical Skills Weighting'!1224:1224-"`FU!8:"</f>
        <v>#VALUE!</v>
      </c>
      <c r="EV20" t="e">
        <f>'Technical Skills Weighting'!1225:1225-"`FU!8;"</f>
        <v>#VALUE!</v>
      </c>
      <c r="EW20" t="e">
        <f>'Technical Skills Weighting'!1226:1226-"`FU!8&lt;"</f>
        <v>#VALUE!</v>
      </c>
      <c r="EX20" t="e">
        <f>'Technical Skills Weighting'!1227:1227-"`FU!8="</f>
        <v>#VALUE!</v>
      </c>
      <c r="EY20" t="e">
        <f>'Technical Skills Weighting'!1228:1228-"`FU!8&gt;"</f>
        <v>#VALUE!</v>
      </c>
      <c r="EZ20" t="e">
        <f>'Technical Skills Weighting'!1229:1229-"`FU!8?"</f>
        <v>#VALUE!</v>
      </c>
      <c r="FA20" t="e">
        <f>'Technical Skills Weighting'!1230:1230-"`FU!8@"</f>
        <v>#VALUE!</v>
      </c>
      <c r="FB20" t="e">
        <f>'Technical Skills Weighting'!1231:1231-"`FU!8A"</f>
        <v>#VALUE!</v>
      </c>
      <c r="FC20" t="e">
        <f>'Technical Skills Weighting'!1232:1232-"`FU!8B"</f>
        <v>#VALUE!</v>
      </c>
      <c r="FD20" t="e">
        <f>'Technical Skills Weighting'!1233:1233-"`FU!8C"</f>
        <v>#VALUE!</v>
      </c>
      <c r="FE20" t="e">
        <f>'Technical Skills Weighting'!1234:1234-"`FU!8D"</f>
        <v>#VALUE!</v>
      </c>
      <c r="FF20" t="e">
        <f>'Technical Skills Weighting'!1235:1235-"`FU!8E"</f>
        <v>#VALUE!</v>
      </c>
      <c r="FG20" t="e">
        <f>'Technical Skills Weighting'!1236:1236-"`FU!8F"</f>
        <v>#VALUE!</v>
      </c>
      <c r="FH20" t="e">
        <f>'Technical Skills Weighting'!1237:1237-"`FU!8G"</f>
        <v>#VALUE!</v>
      </c>
      <c r="FI20" t="e">
        <f>'Technical Skills Weighting'!1238:1238-"`FU!8H"</f>
        <v>#VALUE!</v>
      </c>
      <c r="FJ20" t="e">
        <f>'Technical Skills Weighting'!1239:1239-"`FU!8I"</f>
        <v>#VALUE!</v>
      </c>
      <c r="FK20" t="e">
        <f>'Technical Skills Weighting'!1240:1240-"`FU!8J"</f>
        <v>#VALUE!</v>
      </c>
      <c r="FL20" t="e">
        <f>'Technical Skills Weighting'!1241:1241-"`FU!8K"</f>
        <v>#VALUE!</v>
      </c>
      <c r="FM20" t="e">
        <f>'Technical Skills Weighting'!1242:1242-"`FU!8L"</f>
        <v>#VALUE!</v>
      </c>
      <c r="FN20" t="e">
        <f>'Technical Skills Weighting'!1243:1243-"`FU!8M"</f>
        <v>#VALUE!</v>
      </c>
      <c r="FO20" t="e">
        <f>'Technical Skills Weighting'!1244:1244-"`FU!8N"</f>
        <v>#VALUE!</v>
      </c>
      <c r="FP20" t="e">
        <f>'Technical Skills Weighting'!1245:1245-"`FU!8O"</f>
        <v>#VALUE!</v>
      </c>
      <c r="FQ20" t="e">
        <f>'Technical Skills Weighting'!1246:1246-"`FU!8P"</f>
        <v>#VALUE!</v>
      </c>
      <c r="FR20" t="e">
        <f>'Technical Skills Weighting'!1247:1247-"`FU!8Q"</f>
        <v>#VALUE!</v>
      </c>
      <c r="FS20" t="e">
        <f>'Technical Skills Weighting'!1248:1248-"`FU!8R"</f>
        <v>#VALUE!</v>
      </c>
      <c r="FT20" t="e">
        <f>'Technical Skills Weighting'!1249:1249-"`FU!8S"</f>
        <v>#VALUE!</v>
      </c>
      <c r="FU20" t="e">
        <f>'Technical Skills Weighting'!1250:1250-"`FU!8T"</f>
        <v>#VALUE!</v>
      </c>
      <c r="FV20" t="e">
        <f>'Technical Skills Weighting'!1251:1251-"`FU!8U"</f>
        <v>#VALUE!</v>
      </c>
      <c r="FW20" t="e">
        <f>'Technical Skills Weighting'!1252:1252-"`FU!8V"</f>
        <v>#VALUE!</v>
      </c>
      <c r="FX20" t="e">
        <f>'Technical Skills Weighting'!1253:1253-"`FU!8W"</f>
        <v>#VALUE!</v>
      </c>
      <c r="FY20" t="e">
        <f>'Technical Skills Weighting'!1254:1254-"`FU!8X"</f>
        <v>#VALUE!</v>
      </c>
      <c r="FZ20" t="e">
        <f>'Technical Skills Weighting'!1255:1255-"`FU!8Y"</f>
        <v>#VALUE!</v>
      </c>
      <c r="GA20" t="e">
        <f>'Technical Skills Weighting'!1256:1256-"`FU!8Z"</f>
        <v>#VALUE!</v>
      </c>
      <c r="GB20" t="e">
        <f>'Technical Skills Weighting'!1257:1257-"`FU!8["</f>
        <v>#VALUE!</v>
      </c>
      <c r="GC20" t="e">
        <f>'Technical Skills Weighting'!1258:1258-"`FU!8\"</f>
        <v>#VALUE!</v>
      </c>
      <c r="GD20" t="e">
        <f>'Technical Skills Weighting'!1259:1259-"`FU!8]"</f>
        <v>#VALUE!</v>
      </c>
      <c r="GE20" t="e">
        <f>'Technical Skills Weighting'!1260:1260-"`FU!8^"</f>
        <v>#VALUE!</v>
      </c>
      <c r="GF20" t="e">
        <f>'Technical Skills Weighting'!1261:1261-"`FU!8_"</f>
        <v>#VALUE!</v>
      </c>
      <c r="GG20" t="e">
        <f>'Technical Skills Weighting'!1262:1262-"`FU!8`"</f>
        <v>#VALUE!</v>
      </c>
      <c r="GH20" t="e">
        <f>'Technical Skills Weighting'!1263:1263-"`FU!8a"</f>
        <v>#VALUE!</v>
      </c>
      <c r="GI20" t="e">
        <f>'Technical Skills Weighting'!1264:1264-"`FU!8b"</f>
        <v>#VALUE!</v>
      </c>
      <c r="GJ20" t="e">
        <f>'Technical Skills Weighting'!1265:1265-"`FU!8c"</f>
        <v>#VALUE!</v>
      </c>
      <c r="GK20" t="e">
        <f>'Technical Skills Weighting'!1266:1266-"`FU!8d"</f>
        <v>#VALUE!</v>
      </c>
      <c r="GL20" t="e">
        <f>'Technical Skills Weighting'!1267:1267-"`FU!8e"</f>
        <v>#VALUE!</v>
      </c>
      <c r="GM20" t="e">
        <f>'Technical Skills Weighting'!1268:1268-"`FU!8f"</f>
        <v>#VALUE!</v>
      </c>
      <c r="GN20" t="e">
        <f>'Technical Skills Weighting'!1269:1269-"`FU!8g"</f>
        <v>#VALUE!</v>
      </c>
      <c r="GO20" t="e">
        <f>'Technical Skills Weighting'!1270:1270-"`FU!8h"</f>
        <v>#VALUE!</v>
      </c>
      <c r="GP20" t="e">
        <f>'Technical Skills Weighting'!1271:1271-"`FU!8i"</f>
        <v>#VALUE!</v>
      </c>
      <c r="GQ20" t="e">
        <f>'Technical Skills Weighting'!1272:1272-"`FU!8j"</f>
        <v>#VALUE!</v>
      </c>
      <c r="GR20" t="e">
        <f>'Technical Skills Weighting'!1273:1273-"`FU!8k"</f>
        <v>#VALUE!</v>
      </c>
      <c r="GS20" t="e">
        <f>'Technical Skills Weighting'!1274:1274-"`FU!8l"</f>
        <v>#VALUE!</v>
      </c>
      <c r="GT20" t="e">
        <f>'Technical Skills Weighting'!1275:1275-"`FU!8m"</f>
        <v>#VALUE!</v>
      </c>
      <c r="GU20" t="e">
        <f>'Technical Skills Weighting'!1276:1276-"`FU!8n"</f>
        <v>#VALUE!</v>
      </c>
      <c r="GV20" t="e">
        <f>'Technical Skills Weighting'!1277:1277-"`FU!8o"</f>
        <v>#VALUE!</v>
      </c>
      <c r="GW20" t="e">
        <f>'Technical Skills Weighting'!1278:1278-"`FU!8p"</f>
        <v>#VALUE!</v>
      </c>
      <c r="GX20" t="e">
        <f>'Technical Skills Weighting'!1279:1279-"`FU!8q"</f>
        <v>#VALUE!</v>
      </c>
      <c r="GY20" t="e">
        <f>'Technical Skills Weighting'!1280:1280-"`FU!8r"</f>
        <v>#VALUE!</v>
      </c>
      <c r="GZ20" t="e">
        <f>'Technical Skills Weighting'!1281:1281-"`FU!8s"</f>
        <v>#VALUE!</v>
      </c>
      <c r="HA20" t="e">
        <f>'Technical Skills Weighting'!1282:1282-"`FU!8t"</f>
        <v>#VALUE!</v>
      </c>
      <c r="HB20" t="e">
        <f>'Technical Skills Weighting'!1283:1283-"`FU!8u"</f>
        <v>#VALUE!</v>
      </c>
      <c r="HC20" t="e">
        <f>'Technical Skills Weighting'!1284:1284-"`FU!8v"</f>
        <v>#VALUE!</v>
      </c>
      <c r="HD20" t="e">
        <f>'Technical Skills Weighting'!1285:1285-"`FU!8w"</f>
        <v>#VALUE!</v>
      </c>
      <c r="HE20" t="e">
        <f>'Technical Skills Weighting'!1286:1286-"`FU!8x"</f>
        <v>#VALUE!</v>
      </c>
      <c r="HF20" t="e">
        <f>'Technical Skills Weighting'!1287:1287-"`FU!8y"</f>
        <v>#VALUE!</v>
      </c>
      <c r="HG20" t="e">
        <f>'Technical Skills Weighting'!1288:1288-"`FU!8z"</f>
        <v>#VALUE!</v>
      </c>
      <c r="HH20" t="e">
        <f>'Technical Skills Weighting'!1289:1289-"`FU!8{"</f>
        <v>#VALUE!</v>
      </c>
      <c r="HI20" t="e">
        <f>'Technical Skills Weighting'!1290:1290-"`FU!8|"</f>
        <v>#VALUE!</v>
      </c>
      <c r="HJ20" t="e">
        <f>'Technical Skills Weighting'!1291:1291-"`FU!8}"</f>
        <v>#VALUE!</v>
      </c>
      <c r="HK20" t="e">
        <f>'Technical Skills Weighting'!1292:1292-"`FU!8~"</f>
        <v>#VALUE!</v>
      </c>
      <c r="HL20" t="e">
        <f>'Technical Skills Weighting'!1293:1293-"`FU!9#"</f>
        <v>#VALUE!</v>
      </c>
      <c r="HM20" t="e">
        <f>'Technical Skills Weighting'!1294:1294-"`FU!9$"</f>
        <v>#VALUE!</v>
      </c>
      <c r="HN20" t="e">
        <f>'Technical Skills Weighting'!1295:1295-"`FU!9%"</f>
        <v>#VALUE!</v>
      </c>
      <c r="HO20" t="e">
        <f>'Technical Skills Weighting'!1296:1296-"`FU!9&amp;"</f>
        <v>#VALUE!</v>
      </c>
      <c r="HP20" t="e">
        <f>'Technical Skills Weighting'!1297:1297-"`FU!9'"</f>
        <v>#VALUE!</v>
      </c>
      <c r="HQ20" t="e">
        <f>'Technical Skills Weighting'!1298:1298-"`FU!9("</f>
        <v>#VALUE!</v>
      </c>
      <c r="HR20" t="e">
        <f>'Technical Skills Weighting'!1299:1299-"`FU!9)"</f>
        <v>#VALUE!</v>
      </c>
      <c r="HS20" t="e">
        <f>'Technical Skills Weighting'!1300:1300-"`FU!9."</f>
        <v>#VALUE!</v>
      </c>
      <c r="HT20" t="e">
        <f>'Technical Skills Weighting'!1301:1301-"`FU!9/"</f>
        <v>#VALUE!</v>
      </c>
      <c r="HU20" t="e">
        <f>'Technical Skills Weighting'!1302:1302-"`FU!90"</f>
        <v>#VALUE!</v>
      </c>
      <c r="HV20" t="e">
        <f>'Technical Skills Weighting'!1303:1303-"`FU!91"</f>
        <v>#VALUE!</v>
      </c>
      <c r="HW20" t="e">
        <f>'Technical Skills Weighting'!1304:1304-"`FU!92"</f>
        <v>#VALUE!</v>
      </c>
      <c r="HX20" t="e">
        <f>'Technical Skills Weighting'!1305:1305-"`FU!93"</f>
        <v>#VALUE!</v>
      </c>
      <c r="HY20" t="e">
        <f>'Technical Skills Weighting'!1306:1306-"`FU!94"</f>
        <v>#VALUE!</v>
      </c>
      <c r="HZ20" t="e">
        <f>'Technical Skills Weighting'!1307:1307-"`FU!95"</f>
        <v>#VALUE!</v>
      </c>
      <c r="IA20" t="e">
        <f>'Technical Skills Weighting'!1308:1308-"`FU!96"</f>
        <v>#VALUE!</v>
      </c>
      <c r="IB20" t="e">
        <f>'Technical Skills Weighting'!1309:1309-"`FU!97"</f>
        <v>#VALUE!</v>
      </c>
      <c r="IC20" t="e">
        <f>'Technical Skills Weighting'!1310:1310-"`FU!98"</f>
        <v>#VALUE!</v>
      </c>
      <c r="ID20" t="e">
        <f>'Technical Skills Weighting'!1311:1311-"`FU!99"</f>
        <v>#VALUE!</v>
      </c>
      <c r="IE20" t="e">
        <f>'Technical Skills Weighting'!1312:1312-"`FU!9:"</f>
        <v>#VALUE!</v>
      </c>
      <c r="IF20" t="e">
        <f>'Technical Skills Weighting'!1313:1313-"`FU!9;"</f>
        <v>#VALUE!</v>
      </c>
      <c r="IG20" t="e">
        <f>'Technical Skills Weighting'!1314:1314-"`FU!9&lt;"</f>
        <v>#VALUE!</v>
      </c>
      <c r="IH20" t="e">
        <f>'Technical Skills Weighting'!1315:1315-"`FU!9="</f>
        <v>#VALUE!</v>
      </c>
      <c r="II20" t="e">
        <f>'Technical Skills Weighting'!1316:1316-"`FU!9&gt;"</f>
        <v>#VALUE!</v>
      </c>
      <c r="IJ20" t="e">
        <f>'Technical Skills Weighting'!1317:1317-"`FU!9?"</f>
        <v>#VALUE!</v>
      </c>
      <c r="IK20" t="e">
        <f>'Technical Skills Weighting'!1318:1318-"`FU!9@"</f>
        <v>#VALUE!</v>
      </c>
      <c r="IL20" t="e">
        <f>'Technical Skills Weighting'!1319:1319-"`FU!9A"</f>
        <v>#VALUE!</v>
      </c>
      <c r="IM20" t="e">
        <f>'Technical Skills Weighting'!1320:1320-"`FU!9B"</f>
        <v>#VALUE!</v>
      </c>
      <c r="IN20" t="e">
        <f>'Technical Skills Weighting'!1321:1321-"`FU!9C"</f>
        <v>#VALUE!</v>
      </c>
      <c r="IO20" t="e">
        <f>'Technical Skills Weighting'!1322:1322-"`FU!9D"</f>
        <v>#VALUE!</v>
      </c>
      <c r="IP20" t="e">
        <f>'Technical Skills Weighting'!1323:1323-"`FU!9E"</f>
        <v>#VALUE!</v>
      </c>
      <c r="IQ20" t="e">
        <f>'Technical Skills Weighting'!1324:1324-"`FU!9F"</f>
        <v>#VALUE!</v>
      </c>
      <c r="IR20" t="e">
        <f>'Technical Skills Weighting'!1325:1325-"`FU!9G"</f>
        <v>#VALUE!</v>
      </c>
      <c r="IS20" t="e">
        <f>'Technical Skills Weighting'!1326:1326-"`FU!9H"</f>
        <v>#VALUE!</v>
      </c>
      <c r="IT20" t="e">
        <f>'Technical Skills Weighting'!1327:1327-"`FU!9I"</f>
        <v>#VALUE!</v>
      </c>
      <c r="IU20" t="e">
        <f>'Technical Skills Weighting'!1328:1328-"`FU!9J"</f>
        <v>#VALUE!</v>
      </c>
      <c r="IV20" t="e">
        <f>'Technical Skills Weighting'!1329:1329-"`FU!9K"</f>
        <v>#VALUE!</v>
      </c>
    </row>
    <row r="21" spans="6:256" x14ac:dyDescent="0.25">
      <c r="F21" t="e">
        <f>'Technical Skills Weighting'!1330:1330-"`FU!9L"</f>
        <v>#VALUE!</v>
      </c>
      <c r="G21" t="e">
        <f>'Technical Skills Weighting'!1331:1331-"`FU!9M"</f>
        <v>#VALUE!</v>
      </c>
      <c r="H21" t="e">
        <f>'Technical Skills Weighting'!1332:1332-"`FU!9N"</f>
        <v>#VALUE!</v>
      </c>
      <c r="I21" t="e">
        <f>'Technical Skills Weighting'!1333:1333-"`FU!9O"</f>
        <v>#VALUE!</v>
      </c>
      <c r="J21" t="e">
        <f>'Technical Skills Weighting'!1334:1334-"`FU!9P"</f>
        <v>#VALUE!</v>
      </c>
      <c r="K21" t="e">
        <f>'Technical Skills Weighting'!1335:1335-"`FU!9Q"</f>
        <v>#VALUE!</v>
      </c>
      <c r="L21" t="e">
        <f>'Technical Skills Weighting'!1336:1336-"`FU!9R"</f>
        <v>#VALUE!</v>
      </c>
      <c r="M21" t="e">
        <f>'Technical Skills Weighting'!1337:1337-"`FU!9S"</f>
        <v>#VALUE!</v>
      </c>
      <c r="N21" t="e">
        <f>'Technical Skills Weighting'!1338:1338-"`FU!9T"</f>
        <v>#VALUE!</v>
      </c>
      <c r="O21" t="e">
        <f>'Technical Skills Weighting'!1339:1339-"`FU!9U"</f>
        <v>#VALUE!</v>
      </c>
      <c r="P21" t="e">
        <f>'Technical Skills Weighting'!1340:1340-"`FU!9V"</f>
        <v>#VALUE!</v>
      </c>
      <c r="Q21" t="e">
        <f>'Technical Skills Weighting'!1341:1341-"`FU!9W"</f>
        <v>#VALUE!</v>
      </c>
      <c r="R21" t="e">
        <f>'Technical Skills Weighting'!1342:1342-"`FU!9X"</f>
        <v>#VALUE!</v>
      </c>
      <c r="S21" t="e">
        <f>'Technical Skills Weighting'!1343:1343-"`FU!9Y"</f>
        <v>#VALUE!</v>
      </c>
      <c r="T21" t="e">
        <f>'Technical Skills Weighting'!1344:1344-"`FU!9Z"</f>
        <v>#VALUE!</v>
      </c>
      <c r="U21" t="e">
        <f>'Technical Skills Weighting'!1345:1345-"`FU!9["</f>
        <v>#VALUE!</v>
      </c>
      <c r="V21" t="e">
        <f>'Technical Skills Weighting'!1346:1346-"`FU!9\"</f>
        <v>#VALUE!</v>
      </c>
      <c r="W21" t="e">
        <f>'Technical Skills Weighting'!1347:1347-"`FU!9]"</f>
        <v>#VALUE!</v>
      </c>
      <c r="X21" t="e">
        <f>'Technical Skills Weighting'!1348:1348-"`FU!9^"</f>
        <v>#VALUE!</v>
      </c>
      <c r="Y21" t="e">
        <f>'Technical Skills Weighting'!1349:1349-"`FU!9_"</f>
        <v>#VALUE!</v>
      </c>
      <c r="Z21" t="e">
        <f>'Technical Skills Weighting'!1350:1350-"`FU!9`"</f>
        <v>#VALUE!</v>
      </c>
      <c r="AA21" t="e">
        <f>'Technical Skills Weighting'!1351:1351-"`FU!9a"</f>
        <v>#VALUE!</v>
      </c>
      <c r="AB21" t="e">
        <f>'Technical Skills Weighting'!1352:1352-"`FU!9b"</f>
        <v>#VALUE!</v>
      </c>
      <c r="AC21" t="e">
        <f>'Technical Skills Weighting'!1353:1353-"`FU!9c"</f>
        <v>#VALUE!</v>
      </c>
      <c r="AD21" t="e">
        <f>'Technical Skills Weighting'!1354:1354-"`FU!9d"</f>
        <v>#VALUE!</v>
      </c>
      <c r="AE21" t="e">
        <f>'Technical Skills Weighting'!1355:1355-"`FU!9e"</f>
        <v>#VALUE!</v>
      </c>
      <c r="AF21" t="e">
        <f>'Technical Skills Weighting'!1356:1356-"`FU!9f"</f>
        <v>#VALUE!</v>
      </c>
      <c r="AG21" t="e">
        <f>'Technical Skills Weighting'!1357:1357-"`FU!9g"</f>
        <v>#VALUE!</v>
      </c>
      <c r="AH21" t="e">
        <f>'Technical Skills Weighting'!1358:1358-"`FU!9h"</f>
        <v>#VALUE!</v>
      </c>
      <c r="AI21" t="e">
        <f>'Technical Skills Weighting'!1359:1359-"`FU!9i"</f>
        <v>#VALUE!</v>
      </c>
      <c r="AJ21" t="e">
        <f>'Technical Skills Weighting'!1360:1360-"`FU!9j"</f>
        <v>#VALUE!</v>
      </c>
      <c r="AK21" t="e">
        <f>'Technical Skills Weighting'!1361:1361-"`FU!9k"</f>
        <v>#VALUE!</v>
      </c>
      <c r="AL21" t="e">
        <f>'Technical Skills Weighting'!1362:1362-"`FU!9l"</f>
        <v>#VALUE!</v>
      </c>
      <c r="AM21" t="e">
        <f>'Technical Skills Weighting'!1363:1363-"`FU!9m"</f>
        <v>#VALUE!</v>
      </c>
      <c r="AN21" t="e">
        <f>'Technical Skills Weighting'!1364:1364-"`FU!9n"</f>
        <v>#VALUE!</v>
      </c>
      <c r="AO21" t="e">
        <f>'Technical Skills Weighting'!1365:1365-"`FU!9o"</f>
        <v>#VALUE!</v>
      </c>
      <c r="AP21" t="e">
        <f>'Technical Skills Weighting'!1366:1366-"`FU!9p"</f>
        <v>#VALUE!</v>
      </c>
      <c r="AQ21" t="e">
        <f>'Technical Skills Weighting'!1367:1367-"`FU!9q"</f>
        <v>#VALUE!</v>
      </c>
      <c r="AR21" t="e">
        <f>'Technical Skills Weighting'!1368:1368-"`FU!9r"</f>
        <v>#VALUE!</v>
      </c>
      <c r="AS21" t="e">
        <f>'Technical Skills Weighting'!1369:1369-"`FU!9s"</f>
        <v>#VALUE!</v>
      </c>
      <c r="AT21" t="e">
        <f>'Technical Skills Weighting'!1370:1370-"`FU!9t"</f>
        <v>#VALUE!</v>
      </c>
      <c r="AU21" t="e">
        <f>'Technical Skills Weighting'!1371:1371-"`FU!9u"</f>
        <v>#VALUE!</v>
      </c>
      <c r="AV21" t="e">
        <f>'Technical Skills Weighting'!1372:1372-"`FU!9v"</f>
        <v>#VALUE!</v>
      </c>
      <c r="AW21" t="e">
        <f>'Technical Skills Weighting'!1373:1373-"`FU!9w"</f>
        <v>#VALUE!</v>
      </c>
      <c r="AX21" t="e">
        <f>'Technical Skills Weighting'!1374:1374-"`FU!9x"</f>
        <v>#VALUE!</v>
      </c>
      <c r="AY21" t="e">
        <f>'Technical Skills Weighting'!1375:1375-"`FU!9y"</f>
        <v>#VALUE!</v>
      </c>
      <c r="AZ21" t="e">
        <f>'Technical Skills Weighting'!1376:1376-"`FU!9z"</f>
        <v>#VALUE!</v>
      </c>
      <c r="BA21" t="e">
        <f>'Technical Skills Weighting'!1377:1377-"`FU!9{"</f>
        <v>#VALUE!</v>
      </c>
      <c r="BB21" t="e">
        <f>'Technical Skills Weighting'!1378:1378-"`FU!9|"</f>
        <v>#VALUE!</v>
      </c>
      <c r="BC21" t="e">
        <f>'Technical Skills Weighting'!1379:1379-"`FU!9}"</f>
        <v>#VALUE!</v>
      </c>
      <c r="BD21" t="e">
        <f>'Technical Skills Weighting'!1380:1380-"`FU!9~"</f>
        <v>#VALUE!</v>
      </c>
      <c r="BE21" t="e">
        <f>'Technical Skills Weighting'!1381:1381-"`FU!:#"</f>
        <v>#VALUE!</v>
      </c>
      <c r="BF21" t="e">
        <f>'Technical Skills Weighting'!1382:1382-"`FU!:$"</f>
        <v>#VALUE!</v>
      </c>
      <c r="BG21" t="e">
        <f>'Technical Skills Weighting'!1383:1383-"`FU!:%"</f>
        <v>#VALUE!</v>
      </c>
      <c r="BH21" t="e">
        <f>'Technical Skills Weighting'!1384:1384-"`FU!:&amp;"</f>
        <v>#VALUE!</v>
      </c>
      <c r="BI21" t="e">
        <f>'Technical Skills Weighting'!1385:1385-"`FU!:'"</f>
        <v>#VALUE!</v>
      </c>
      <c r="BJ21" t="e">
        <f>'Technical Skills Weighting'!1386:1386-"`FU!:("</f>
        <v>#VALUE!</v>
      </c>
      <c r="BK21" t="e">
        <f>'Technical Skills Weighting'!1387:1387-"`FU!:)"</f>
        <v>#VALUE!</v>
      </c>
      <c r="BL21" t="e">
        <f>'Technical Skills Weighting'!1388:1388-"`FU!:."</f>
        <v>#VALUE!</v>
      </c>
      <c r="BM21" t="e">
        <f>'Technical Skills Weighting'!1389:1389-"`FU!:/"</f>
        <v>#VALUE!</v>
      </c>
      <c r="BN21" t="e">
        <f>'Technical Skills Weighting'!1390:1390-"`FU!:0"</f>
        <v>#VALUE!</v>
      </c>
      <c r="BO21" t="e">
        <f>'Technical Skills Weighting'!1391:1391-"`FU!:1"</f>
        <v>#VALUE!</v>
      </c>
      <c r="BP21" t="e">
        <f>'Technical Skills Weighting'!1392:1392-"`FU!:2"</f>
        <v>#VALUE!</v>
      </c>
      <c r="BQ21" t="e">
        <f>'Technical Skills Weighting'!1393:1393-"`FU!:3"</f>
        <v>#VALUE!</v>
      </c>
      <c r="BR21" t="e">
        <f>'Technical Skills Weighting'!1394:1394-"`FU!:4"</f>
        <v>#VALUE!</v>
      </c>
      <c r="BS21" t="e">
        <f>'Technical Skills Weighting'!1395:1395-"`FU!:5"</f>
        <v>#VALUE!</v>
      </c>
      <c r="BT21" t="e">
        <f>'Technical Skills Weighting'!1396:1396-"`FU!:6"</f>
        <v>#VALUE!</v>
      </c>
      <c r="BU21" t="e">
        <f>'Technical Skills Weighting'!1397:1397-"`FU!:7"</f>
        <v>#VALUE!</v>
      </c>
      <c r="BV21" t="e">
        <f>'Technical Skills Weighting'!1398:1398-"`FU!:8"</f>
        <v>#VALUE!</v>
      </c>
      <c r="BW21" t="e">
        <f>'Technical Skills Weighting'!1399:1399-"`FU!:9"</f>
        <v>#VALUE!</v>
      </c>
      <c r="BX21" t="e">
        <f>'Technical Skills Weighting'!1400:1400-"`FU!::"</f>
        <v>#VALUE!</v>
      </c>
      <c r="BY21" t="e">
        <f>'Technical Skills Weighting'!1401:1401-"`FU!:;"</f>
        <v>#VALUE!</v>
      </c>
      <c r="BZ21" t="e">
        <f>'Technical Skills Weighting'!1402:1402-"`FU!:&lt;"</f>
        <v>#VALUE!</v>
      </c>
      <c r="CA21" t="e">
        <f>'Technical Skills Weighting'!1403:1403-"`FU!:="</f>
        <v>#VALUE!</v>
      </c>
      <c r="CB21" t="e">
        <f>'Technical Skills Weighting'!1404:1404-"`FU!:&gt;"</f>
        <v>#VALUE!</v>
      </c>
      <c r="CC21" t="e">
        <f>'Technical Skills Weighting'!1405:1405-"`FU!:?"</f>
        <v>#VALUE!</v>
      </c>
      <c r="CD21" t="e">
        <f>'Technical Skills Weighting'!1406:1406-"`FU!:@"</f>
        <v>#VALUE!</v>
      </c>
      <c r="CE21" t="e">
        <f>'Technical Skills Weighting'!1407:1407-"`FU!:A"</f>
        <v>#VALUE!</v>
      </c>
      <c r="CF21" t="e">
        <f>'Technical Skills Weighting'!1408:1408-"`FU!:B"</f>
        <v>#VALUE!</v>
      </c>
      <c r="CG21" t="e">
        <f>'Technical Skills Weighting'!1409:1409-"`FU!:C"</f>
        <v>#VALUE!</v>
      </c>
      <c r="CH21" t="e">
        <f>'Technical Skills Weighting'!1410:1410-"`FU!:D"</f>
        <v>#VALUE!</v>
      </c>
      <c r="CI21" t="e">
        <f>'Technical Skills Weighting'!1411:1411-"`FU!:E"</f>
        <v>#VALUE!</v>
      </c>
      <c r="CJ21" t="e">
        <f>'Technical Skills Weighting'!1412:1412-"`FU!:F"</f>
        <v>#VALUE!</v>
      </c>
      <c r="CK21" t="e">
        <f>'Technical Skills Weighting'!1413:1413-"`FU!:G"</f>
        <v>#VALUE!</v>
      </c>
      <c r="CL21" t="e">
        <f>'Technical Skills Weighting'!1414:1414-"`FU!:H"</f>
        <v>#VALUE!</v>
      </c>
      <c r="CM21" t="e">
        <f>'Technical Skills Weighting'!1415:1415-"`FU!:I"</f>
        <v>#VALUE!</v>
      </c>
      <c r="CN21" t="e">
        <f>'Technical Skills Weighting'!1416:1416-"`FU!:J"</f>
        <v>#VALUE!</v>
      </c>
      <c r="CO21" t="e">
        <f>'Technical Skills Weighting'!1417:1417-"`FU!:K"</f>
        <v>#VALUE!</v>
      </c>
      <c r="CP21" t="e">
        <f>'Technical Skills Weighting'!1418:1418-"`FU!:L"</f>
        <v>#VALUE!</v>
      </c>
      <c r="CQ21" t="e">
        <f>'Technical Skills Weighting'!1419:1419-"`FU!:M"</f>
        <v>#VALUE!</v>
      </c>
      <c r="CR21" t="e">
        <f>'Technical Skills Weighting'!1420:1420-"`FU!:N"</f>
        <v>#VALUE!</v>
      </c>
      <c r="CS21" t="e">
        <f>'Technical Skills Weighting'!1421:1421-"`FU!:O"</f>
        <v>#VALUE!</v>
      </c>
      <c r="CT21" t="e">
        <f>'Technical Skills Weighting'!1422:1422-"`FU!:P"</f>
        <v>#VALUE!</v>
      </c>
      <c r="CU21" t="e">
        <f>'Technical Skills Weighting'!1423:1423-"`FU!:Q"</f>
        <v>#VALUE!</v>
      </c>
      <c r="CV21" t="e">
        <f>'Technical Skills Weighting'!1424:1424-"`FU!:R"</f>
        <v>#VALUE!</v>
      </c>
      <c r="CW21" t="e">
        <f>'Technical Skills Weighting'!1425:1425-"`FU!:S"</f>
        <v>#VALUE!</v>
      </c>
      <c r="CX21" t="e">
        <f>'Technical Skills Weighting'!1426:1426-"`FU!:T"</f>
        <v>#VALUE!</v>
      </c>
      <c r="CY21" t="e">
        <f>'Technical Skills Weighting'!1427:1427-"`FU!:U"</f>
        <v>#VALUE!</v>
      </c>
      <c r="CZ21" t="e">
        <f>'Technical Skills Weighting'!1428:1428-"`FU!:V"</f>
        <v>#VALUE!</v>
      </c>
      <c r="DA21" t="e">
        <f>'Technical Skills Weighting'!1429:1429-"`FU!:W"</f>
        <v>#VALUE!</v>
      </c>
      <c r="DB21" t="e">
        <f>'Technical Skills Weighting'!1430:1430-"`FU!:X"</f>
        <v>#VALUE!</v>
      </c>
      <c r="DC21" t="e">
        <f>'Technical Skills Weighting'!1431:1431-"`FU!:Y"</f>
        <v>#VALUE!</v>
      </c>
      <c r="DD21" t="e">
        <f>'Technical Skills Weighting'!1432:1432-"`FU!:Z"</f>
        <v>#VALUE!</v>
      </c>
      <c r="DE21" t="e">
        <f>'Technical Skills Weighting'!1433:1433-"`FU!:["</f>
        <v>#VALUE!</v>
      </c>
      <c r="DF21" t="e">
        <f>'Technical Skills Weighting'!1434:1434-"`FU!:\"</f>
        <v>#VALUE!</v>
      </c>
      <c r="DG21" t="e">
        <f>'Technical Skills Weighting'!1435:1435-"`FU!:]"</f>
        <v>#VALUE!</v>
      </c>
      <c r="DH21" t="e">
        <f>'Technical Skills Weighting'!1436:1436-"`FU!:^"</f>
        <v>#VALUE!</v>
      </c>
      <c r="DI21" t="e">
        <f>'Technical Skills Weighting'!1437:1437-"`FU!:_"</f>
        <v>#VALUE!</v>
      </c>
      <c r="DJ21" t="e">
        <f>'Technical Skills Weighting'!1438:1438-"`FU!:`"</f>
        <v>#VALUE!</v>
      </c>
      <c r="DK21" t="e">
        <f>'Technical Skills Weighting'!1439:1439-"`FU!:a"</f>
        <v>#VALUE!</v>
      </c>
      <c r="DL21" t="e">
        <f>'Technical Skills Weighting'!1440:1440-"`FU!:b"</f>
        <v>#VALUE!</v>
      </c>
      <c r="DM21" t="e">
        <f>'Technical Skills Weighting'!1441:1441-"`FU!:c"</f>
        <v>#VALUE!</v>
      </c>
      <c r="DN21" t="e">
        <f>'Technical Skills Weighting'!1442:1442-"`FU!:d"</f>
        <v>#VALUE!</v>
      </c>
      <c r="DO21" t="e">
        <f>'Technical Skills Weighting'!1443:1443-"`FU!:e"</f>
        <v>#VALUE!</v>
      </c>
      <c r="DP21" t="e">
        <f>'Technical Skills Weighting'!1444:1444-"`FU!:f"</f>
        <v>#VALUE!</v>
      </c>
      <c r="DQ21" t="e">
        <f>'Technical Skills Weighting'!1445:1445-"`FU!:g"</f>
        <v>#VALUE!</v>
      </c>
      <c r="DR21" t="e">
        <f>'Technical Skills Weighting'!1446:1446-"`FU!:h"</f>
        <v>#VALUE!</v>
      </c>
      <c r="DS21" t="e">
        <f>'Technical Skills Weighting'!1447:1447-"`FU!:i"</f>
        <v>#VALUE!</v>
      </c>
      <c r="DT21" t="e">
        <f>'Technical Skills Weighting'!1448:1448-"`FU!:j"</f>
        <v>#VALUE!</v>
      </c>
      <c r="DU21" t="e">
        <f>'Technical Skills Weighting'!1449:1449-"`FU!:k"</f>
        <v>#VALUE!</v>
      </c>
      <c r="DV21" t="e">
        <f>'Technical Skills Weighting'!1450:1450-"`FU!:l"</f>
        <v>#VALUE!</v>
      </c>
      <c r="DW21" t="e">
        <f>'Technical Skills Weighting'!1451:1451-"`FU!:m"</f>
        <v>#VALUE!</v>
      </c>
      <c r="DX21" t="e">
        <f>'Technical Skills Weighting'!1452:1452-"`FU!:n"</f>
        <v>#VALUE!</v>
      </c>
      <c r="DY21" t="e">
        <f>'Technical Skills Weighting'!1453:1453-"`FU!:o"</f>
        <v>#VALUE!</v>
      </c>
      <c r="DZ21" t="e">
        <f>'Technical Skills Weighting'!1454:1454-"`FU!:p"</f>
        <v>#VALUE!</v>
      </c>
      <c r="EA21" t="e">
        <f>'Technical Skills Weighting'!1455:1455-"`FU!:q"</f>
        <v>#VALUE!</v>
      </c>
      <c r="EB21" t="e">
        <f>'Technical Skills Weighting'!1456:1456-"`FU!:r"</f>
        <v>#VALUE!</v>
      </c>
      <c r="EC21" t="e">
        <f>'Technical Skills Weighting'!1457:1457-"`FU!:s"</f>
        <v>#VALUE!</v>
      </c>
      <c r="ED21" t="e">
        <f>'Technical Skills Weighting'!1458:1458-"`FU!:t"</f>
        <v>#VALUE!</v>
      </c>
      <c r="EE21" t="e">
        <f>'Technical Skills Weighting'!1459:1459-"`FU!:u"</f>
        <v>#VALUE!</v>
      </c>
      <c r="EF21" t="e">
        <f>'Technical Skills Weighting'!1460:1460-"`FU!:v"</f>
        <v>#VALUE!</v>
      </c>
      <c r="EG21" t="e">
        <f>'Technical Skills Weighting'!1461:1461-"`FU!:w"</f>
        <v>#VALUE!</v>
      </c>
      <c r="EH21" t="e">
        <f>'Technical Skills Weighting'!1462:1462-"`FU!:x"</f>
        <v>#VALUE!</v>
      </c>
      <c r="EI21" t="e">
        <f>'Technical Skills Weighting'!1463:1463-"`FU!:y"</f>
        <v>#VALUE!</v>
      </c>
      <c r="EJ21" t="e">
        <f>'Technical Skills Weighting'!1464:1464-"`FU!:z"</f>
        <v>#VALUE!</v>
      </c>
      <c r="EK21" t="e">
        <f>'Technical Skills Weighting'!1465:1465-"`FU!:{"</f>
        <v>#VALUE!</v>
      </c>
      <c r="EL21" t="e">
        <f>'Technical Skills Weighting'!1466:1466-"`FU!:|"</f>
        <v>#VALUE!</v>
      </c>
      <c r="EM21" t="e">
        <f>'Technical Skills Weighting'!1467:1467-"`FU!:}"</f>
        <v>#VALUE!</v>
      </c>
      <c r="EN21" t="e">
        <f>'Technical Skills Weighting'!1468:1468-"`FU!:~"</f>
        <v>#VALUE!</v>
      </c>
      <c r="EO21" t="e">
        <f>'Technical Skills Weighting'!1469:1469-"`FU!;#"</f>
        <v>#VALUE!</v>
      </c>
      <c r="EP21" t="e">
        <f>'Technical Skills Weighting'!1470:1470-"`FU!;$"</f>
        <v>#VALUE!</v>
      </c>
      <c r="EQ21" t="e">
        <f>'Technical Skills Weighting'!1471:1471-"`FU!;%"</f>
        <v>#VALUE!</v>
      </c>
      <c r="ER21" t="e">
        <f>'Technical Skills Weighting'!1472:1472-"`FU!;&amp;"</f>
        <v>#VALUE!</v>
      </c>
      <c r="ES21" t="e">
        <f>'Technical Skills Weighting'!1473:1473-"`FU!;'"</f>
        <v>#VALUE!</v>
      </c>
      <c r="ET21" t="e">
        <f>'Technical Skills Weighting'!1474:1474-"`FU!;("</f>
        <v>#VALUE!</v>
      </c>
      <c r="EU21" t="e">
        <f>'Technical Skills Weighting'!1475:1475-"`FU!;)"</f>
        <v>#VALUE!</v>
      </c>
      <c r="EV21" t="e">
        <f>'Technical Skills Weighting'!1476:1476-"`FU!;."</f>
        <v>#VALUE!</v>
      </c>
      <c r="EW21" t="e">
        <f>'Technical Skills Weighting'!1477:1477-"`FU!;/"</f>
        <v>#VALUE!</v>
      </c>
      <c r="EX21" t="e">
        <f>'Technical Skills Weighting'!1478:1478-"`FU!;0"</f>
        <v>#VALUE!</v>
      </c>
      <c r="EY21" t="e">
        <f>'Technical Skills Weighting'!1479:1479-"`FU!;1"</f>
        <v>#VALUE!</v>
      </c>
      <c r="EZ21" t="e">
        <f>'Technical Skills Weighting'!1480:1480-"`FU!;2"</f>
        <v>#VALUE!</v>
      </c>
      <c r="FA21" t="e">
        <f>'Technical Skills Weighting'!1481:1481-"`FU!;3"</f>
        <v>#VALUE!</v>
      </c>
      <c r="FB21" t="e">
        <f>'Technical Skills Weighting'!1482:1482-"`FU!;4"</f>
        <v>#VALUE!</v>
      </c>
      <c r="FC21" t="e">
        <f>'Technical Skills Weighting'!1483:1483-"`FU!;5"</f>
        <v>#VALUE!</v>
      </c>
      <c r="FD21" t="e">
        <f>'Technical Skills Weighting'!1484:1484-"`FU!;6"</f>
        <v>#VALUE!</v>
      </c>
      <c r="FE21" t="e">
        <f>'Technical Skills Weighting'!1485:1485-"`FU!;7"</f>
        <v>#VALUE!</v>
      </c>
      <c r="FF21" t="e">
        <f>'Technical Skills Weighting'!1486:1486-"`FU!;8"</f>
        <v>#VALUE!</v>
      </c>
      <c r="FG21" t="e">
        <f>'Technical Skills Weighting'!1487:1487-"`FU!;9"</f>
        <v>#VALUE!</v>
      </c>
      <c r="FH21" t="e">
        <f>'Technical Skills Weighting'!1488:1488-"`FU!;:"</f>
        <v>#VALUE!</v>
      </c>
      <c r="FI21" t="e">
        <f>'Technical Skills Weighting'!1489:1489-"`FU!;;"</f>
        <v>#VALUE!</v>
      </c>
      <c r="FJ21" t="e">
        <f>'Technical Skills Weighting'!1490:1490-"`FU!;&lt;"</f>
        <v>#VALUE!</v>
      </c>
      <c r="FK21" t="e">
        <f>'Technical Skills Weighting'!1491:1491-"`FU!;="</f>
        <v>#VALUE!</v>
      </c>
      <c r="FL21" t="e">
        <f>'Technical Skills Weighting'!1492:1492-"`FU!;&gt;"</f>
        <v>#VALUE!</v>
      </c>
      <c r="FM21" t="e">
        <f>'Technical Skills Weighting'!1493:1493-"`FU!;?"</f>
        <v>#VALUE!</v>
      </c>
      <c r="FN21" t="e">
        <f>'Technical Skills Weighting'!1494:1494-"`FU!;@"</f>
        <v>#VALUE!</v>
      </c>
      <c r="FO21" t="e">
        <f>'Technical Skills Weighting'!1495:1495-"`FU!;A"</f>
        <v>#VALUE!</v>
      </c>
      <c r="FP21" t="e">
        <f>'Technical Skills Weighting'!1496:1496-"`FU!;B"</f>
        <v>#VALUE!</v>
      </c>
      <c r="FQ21" t="e">
        <f>'Technical Skills Weighting'!1497:1497-"`FU!;C"</f>
        <v>#VALUE!</v>
      </c>
      <c r="FR21" t="e">
        <f>'Technical Skills Weighting'!1498:1498-"`FU!;D"</f>
        <v>#VALUE!</v>
      </c>
      <c r="FS21" t="e">
        <f>'Technical Skills Weighting'!1499:1499-"`FU!;E"</f>
        <v>#VALUE!</v>
      </c>
      <c r="FT21" t="e">
        <f>'Technical Skills Weighting'!1500:1500-"`FU!;F"</f>
        <v>#VALUE!</v>
      </c>
      <c r="FU21" t="e">
        <f>'Technical Skills Weighting'!1501:1501-"`FU!;G"</f>
        <v>#VALUE!</v>
      </c>
      <c r="FV21" t="e">
        <f>'Technical Skills Weighting'!1502:1502-"`FU!;H"</f>
        <v>#VALUE!</v>
      </c>
      <c r="FW21" t="e">
        <f>'Technical Skills Weighting'!1503:1503-"`FU!;I"</f>
        <v>#VALUE!</v>
      </c>
      <c r="FX21" t="e">
        <f>'Technical Skills Weighting'!1504:1504-"`FU!;J"</f>
        <v>#VALUE!</v>
      </c>
      <c r="FY21" t="e">
        <f>'Technical Skills Weighting'!1505:1505-"`FU!;K"</f>
        <v>#VALUE!</v>
      </c>
      <c r="FZ21" t="e">
        <f>'Technical Skills Weighting'!1506:1506-"`FU!;L"</f>
        <v>#VALUE!</v>
      </c>
      <c r="GA21" t="e">
        <f>'Technical Skills Weighting'!1507:1507-"`FU!;M"</f>
        <v>#VALUE!</v>
      </c>
      <c r="GB21" t="e">
        <f>'Technical Skills Weighting'!1508:1508-"`FU!;N"</f>
        <v>#VALUE!</v>
      </c>
      <c r="GC21" t="e">
        <f>'Technical Skills Weighting'!1509:1509-"`FU!;O"</f>
        <v>#VALUE!</v>
      </c>
      <c r="GD21" t="e">
        <f>'Technical Skills Weighting'!1510:1510-"`FU!;P"</f>
        <v>#VALUE!</v>
      </c>
      <c r="GE21" t="e">
        <f>'Technical Skills Weighting'!1511:1511-"`FU!;Q"</f>
        <v>#VALUE!</v>
      </c>
      <c r="GF21" t="e">
        <f>'Technical Skills Weighting'!1512:1512-"`FU!;R"</f>
        <v>#VALUE!</v>
      </c>
      <c r="GG21" t="e">
        <f>'Technical Skills Weighting'!1513:1513-"`FU!;S"</f>
        <v>#VALUE!</v>
      </c>
      <c r="GH21" t="e">
        <f>'Technical Skills Weighting'!1514:1514-"`FU!;T"</f>
        <v>#VALUE!</v>
      </c>
      <c r="GI21" t="e">
        <f>'Technical Skills Weighting'!1515:1515-"`FU!;U"</f>
        <v>#VALUE!</v>
      </c>
      <c r="GJ21" t="e">
        <f>'Technical Skills Weighting'!1516:1516-"`FU!;V"</f>
        <v>#VALUE!</v>
      </c>
      <c r="GK21" t="e">
        <f>'Technical Skills Weighting'!1517:1517-"`FU!;W"</f>
        <v>#VALUE!</v>
      </c>
      <c r="GL21" t="e">
        <f>'Technical Skills Weighting'!1518:1518-"`FU!;X"</f>
        <v>#VALUE!</v>
      </c>
      <c r="GM21" t="e">
        <f>'Technical Skills Weighting'!1519:1519-"`FU!;Y"</f>
        <v>#VALUE!</v>
      </c>
      <c r="GN21" t="e">
        <f>'Technical Skills Weighting'!1520:1520-"`FU!;Z"</f>
        <v>#VALUE!</v>
      </c>
      <c r="GO21" t="e">
        <f>'Technical Skills Weighting'!1521:1521-"`FU!;["</f>
        <v>#VALUE!</v>
      </c>
      <c r="GP21" t="e">
        <f>'Technical Skills Weighting'!1522:1522-"`FU!;\"</f>
        <v>#VALUE!</v>
      </c>
      <c r="GQ21" t="e">
        <f>'Technical Skills Weighting'!1523:1523-"`FU!;]"</f>
        <v>#VALUE!</v>
      </c>
      <c r="GR21" t="e">
        <f>'Technical Skills Weighting'!1524:1524-"`FU!;^"</f>
        <v>#VALUE!</v>
      </c>
      <c r="GS21" t="e">
        <f>'Technical Skills Weighting'!1525:1525-"`FU!;_"</f>
        <v>#VALUE!</v>
      </c>
      <c r="GT21" t="e">
        <f>'Technical Skills Weighting'!1526:1526-"`FU!;`"</f>
        <v>#VALUE!</v>
      </c>
      <c r="GU21" t="e">
        <f>'Technical Skills Weighting'!1527:1527-"`FU!;a"</f>
        <v>#VALUE!</v>
      </c>
      <c r="GV21" t="e">
        <f>'Technical Skills Weighting'!1528:1528-"`FU!;b"</f>
        <v>#VALUE!</v>
      </c>
      <c r="GW21" t="e">
        <f>'Technical Skills Weighting'!1529:1529-"`FU!;c"</f>
        <v>#VALUE!</v>
      </c>
      <c r="GX21" t="e">
        <f>'Technical Skills Weighting'!1530:1530-"`FU!;d"</f>
        <v>#VALUE!</v>
      </c>
      <c r="GY21" t="e">
        <f>'Technical Skills Weighting'!1531:1531-"`FU!;e"</f>
        <v>#VALUE!</v>
      </c>
      <c r="GZ21" t="e">
        <f>'Technical Skills Weighting'!1532:1532-"`FU!;f"</f>
        <v>#VALUE!</v>
      </c>
      <c r="HA21" t="e">
        <f>'Technical Skills Weighting'!1533:1533-"`FU!;g"</f>
        <v>#VALUE!</v>
      </c>
      <c r="HB21" t="e">
        <f>'Technical Skills Weighting'!1534:1534-"`FU!;h"</f>
        <v>#VALUE!</v>
      </c>
      <c r="HC21" t="e">
        <f>'Technical Skills Weighting'!1535:1535-"`FU!;i"</f>
        <v>#VALUE!</v>
      </c>
      <c r="HD21" t="e">
        <f>'Technical Skills Weighting'!1536:1536-"`FU!;j"</f>
        <v>#VALUE!</v>
      </c>
      <c r="HE21" t="e">
        <f>'Technical Skills Weighting'!1537:1537-"`FU!;k"</f>
        <v>#VALUE!</v>
      </c>
      <c r="HF21" t="e">
        <f>'Technical Skills Weighting'!1538:1538-"`FU!;l"</f>
        <v>#VALUE!</v>
      </c>
      <c r="HG21" t="e">
        <f>'Technical Skills Weighting'!1539:1539-"`FU!;m"</f>
        <v>#VALUE!</v>
      </c>
      <c r="HH21" t="e">
        <f>'Technical Skills Weighting'!1540:1540-"`FU!;n"</f>
        <v>#VALUE!</v>
      </c>
      <c r="HI21" t="e">
        <f>'Technical Skills Weighting'!1541:1541-"`FU!;o"</f>
        <v>#VALUE!</v>
      </c>
      <c r="HJ21" t="e">
        <f>'Technical Skills Weighting'!1542:1542-"`FU!;p"</f>
        <v>#VALUE!</v>
      </c>
      <c r="HK21" t="e">
        <f>'Technical Skills Weighting'!1543:1543-"`FU!;q"</f>
        <v>#VALUE!</v>
      </c>
      <c r="HL21" t="e">
        <f>'Technical Skills Weighting'!1544:1544-"`FU!;r"</f>
        <v>#VALUE!</v>
      </c>
      <c r="HM21" t="e">
        <f>'Technical Skills Weighting'!1545:1545-"`FU!;s"</f>
        <v>#VALUE!</v>
      </c>
      <c r="HN21" t="e">
        <f>'Technical Skills Weighting'!1546:1546-"`FU!;t"</f>
        <v>#VALUE!</v>
      </c>
      <c r="HO21" t="e">
        <f>'Technical Skills Weighting'!1547:1547-"`FU!;u"</f>
        <v>#VALUE!</v>
      </c>
      <c r="HP21" t="e">
        <f>'Technical Skills Weighting'!1548:1548-"`FU!;v"</f>
        <v>#VALUE!</v>
      </c>
      <c r="HQ21" t="e">
        <f>'Technical Skills Weighting'!1549:1549-"`FU!;w"</f>
        <v>#VALUE!</v>
      </c>
      <c r="HR21" t="e">
        <f>'Technical Skills Weighting'!1550:1550-"`FU!;x"</f>
        <v>#VALUE!</v>
      </c>
      <c r="HS21" t="e">
        <f>'Technical Skills Weighting'!1551:1551-"`FU!;y"</f>
        <v>#VALUE!</v>
      </c>
      <c r="HT21" t="e">
        <f>'Technical Skills Weighting'!1552:1552-"`FU!;z"</f>
        <v>#VALUE!</v>
      </c>
      <c r="HU21" t="e">
        <f>'Technical Skills Weighting'!1553:1553-"`FU!;{"</f>
        <v>#VALUE!</v>
      </c>
      <c r="HV21" t="e">
        <f>'Technical Skills Weighting'!1554:1554-"`FU!;|"</f>
        <v>#VALUE!</v>
      </c>
      <c r="HW21" t="e">
        <f>'Technical Skills Weighting'!1555:1555-"`FU!;}"</f>
        <v>#VALUE!</v>
      </c>
      <c r="HX21" t="e">
        <f>'Technical Skills Weighting'!1556:1556-"`FU!;~"</f>
        <v>#VALUE!</v>
      </c>
      <c r="HY21" t="e">
        <f>'Technical Skills Weighting'!1557:1557-"`FU!&lt;#"</f>
        <v>#VALUE!</v>
      </c>
      <c r="HZ21" t="e">
        <f>'Technical Skills Weighting'!1558:1558-"`FU!&lt;$"</f>
        <v>#VALUE!</v>
      </c>
      <c r="IA21" t="e">
        <f>'Technical Skills Weighting'!1559:1559-"`FU!&lt;%"</f>
        <v>#VALUE!</v>
      </c>
      <c r="IB21" t="e">
        <f>'Technical Skills Weighting'!1560:1560-"`FU!&lt;&amp;"</f>
        <v>#VALUE!</v>
      </c>
      <c r="IC21" t="e">
        <f>'Technical Skills Weighting'!1561:1561-"`FU!&lt;'"</f>
        <v>#VALUE!</v>
      </c>
      <c r="ID21" t="e">
        <f>'Technical Skills Weighting'!1562:1562-"`FU!&lt;("</f>
        <v>#VALUE!</v>
      </c>
      <c r="IE21" t="e">
        <f>'Technical Skills Weighting'!1563:1563-"`FU!&lt;)"</f>
        <v>#VALUE!</v>
      </c>
      <c r="IF21" t="e">
        <f>'Technical Skills Weighting'!1564:1564-"`FU!&lt;."</f>
        <v>#VALUE!</v>
      </c>
      <c r="IG21" t="e">
        <f>'Technical Skills Weighting'!1565:1565-"`FU!&lt;/"</f>
        <v>#VALUE!</v>
      </c>
      <c r="IH21" t="e">
        <f>'Technical Skills Weighting'!1566:1566-"`FU!&lt;0"</f>
        <v>#VALUE!</v>
      </c>
      <c r="II21" t="e">
        <f>'Technical Skills Weighting'!1567:1567-"`FU!&lt;1"</f>
        <v>#VALUE!</v>
      </c>
      <c r="IJ21" t="e">
        <f>'Technical Skills Weighting'!1568:1568-"`FU!&lt;2"</f>
        <v>#VALUE!</v>
      </c>
      <c r="IK21" t="e">
        <f>'Technical Skills Weighting'!1569:1569-"`FU!&lt;3"</f>
        <v>#VALUE!</v>
      </c>
      <c r="IL21" t="e">
        <f>'Technical Skills Weighting'!1570:1570-"`FU!&lt;4"</f>
        <v>#VALUE!</v>
      </c>
      <c r="IM21" t="e">
        <f>'Technical Skills Weighting'!1571:1571-"`FU!&lt;5"</f>
        <v>#VALUE!</v>
      </c>
      <c r="IN21" t="e">
        <f>'Technical Skills Weighting'!1572:1572-"`FU!&lt;6"</f>
        <v>#VALUE!</v>
      </c>
      <c r="IO21" t="e">
        <f>'Technical Skills Weighting'!1573:1573-"`FU!&lt;7"</f>
        <v>#VALUE!</v>
      </c>
      <c r="IP21" t="e">
        <f>'Technical Skills Weighting'!1574:1574-"`FU!&lt;8"</f>
        <v>#VALUE!</v>
      </c>
      <c r="IQ21" t="e">
        <f>'Technical Skills Weighting'!1575:1575-"`FU!&lt;9"</f>
        <v>#VALUE!</v>
      </c>
      <c r="IR21" t="e">
        <f>'Technical Skills Weighting'!1576:1576-"`FU!&lt;:"</f>
        <v>#VALUE!</v>
      </c>
      <c r="IS21" t="e">
        <f>'Technical Skills Weighting'!1577:1577-"`FU!&lt;;"</f>
        <v>#VALUE!</v>
      </c>
      <c r="IT21" t="e">
        <f>'Technical Skills Weighting'!1578:1578-"`FU!&lt;&lt;"</f>
        <v>#VALUE!</v>
      </c>
      <c r="IU21" t="e">
        <f>'Technical Skills Weighting'!1579:1579-"`FU!&lt;="</f>
        <v>#VALUE!</v>
      </c>
      <c r="IV21" t="e">
        <f>'Technical Skills Weighting'!1580:1580-"`FU!&lt;&gt;"</f>
        <v>#VALUE!</v>
      </c>
    </row>
    <row r="22" spans="6:256" x14ac:dyDescent="0.25">
      <c r="F22" t="e">
        <f>'Technical Skills Weighting'!1581:1581-"`FU!&lt;?"</f>
        <v>#VALUE!</v>
      </c>
      <c r="G22" t="e">
        <f>'Technical Skills Weighting'!1582:1582-"`FU!&lt;@"</f>
        <v>#VALUE!</v>
      </c>
      <c r="H22" t="e">
        <f>'Technical Skills Weighting'!1583:1583-"`FU!&lt;A"</f>
        <v>#VALUE!</v>
      </c>
      <c r="I22" t="e">
        <f>'Technical Skills Weighting'!1584:1584-"`FU!&lt;B"</f>
        <v>#VALUE!</v>
      </c>
      <c r="J22" t="e">
        <f>'Technical Skills Weighting'!1585:1585-"`FU!&lt;C"</f>
        <v>#VALUE!</v>
      </c>
      <c r="K22" t="e">
        <f>'Technical Skills Weighting'!1586:1586-"`FU!&lt;D"</f>
        <v>#VALUE!</v>
      </c>
      <c r="L22" t="e">
        <f>'Technical Skills Weighting'!1587:1587-"`FU!&lt;E"</f>
        <v>#VALUE!</v>
      </c>
      <c r="M22" t="e">
        <f>'Technical Skills Weighting'!1588:1588-"`FU!&lt;F"</f>
        <v>#VALUE!</v>
      </c>
      <c r="N22" t="e">
        <f>'Technical Skills Weighting'!1589:1589-"`FU!&lt;G"</f>
        <v>#VALUE!</v>
      </c>
      <c r="O22" t="e">
        <f>'Technical Skills Weighting'!1590:1590-"`FU!&lt;H"</f>
        <v>#VALUE!</v>
      </c>
      <c r="P22" t="e">
        <f>'Technical Skills Weighting'!1591:1591-"`FU!&lt;I"</f>
        <v>#VALUE!</v>
      </c>
      <c r="Q22" t="e">
        <f>'Technical Skills Weighting'!1592:1592-"`FU!&lt;J"</f>
        <v>#VALUE!</v>
      </c>
      <c r="R22" t="e">
        <f>'Technical Skills Weighting'!1593:1593-"`FU!&lt;K"</f>
        <v>#VALUE!</v>
      </c>
      <c r="S22" t="e">
        <f>'Technical Skills Weighting'!1594:1594-"`FU!&lt;L"</f>
        <v>#VALUE!</v>
      </c>
      <c r="T22" t="e">
        <f>'Technical Skills Weighting'!1595:1595-"`FU!&lt;M"</f>
        <v>#VALUE!</v>
      </c>
      <c r="U22" t="e">
        <f>'Technical Skills Weighting'!1596:1596-"`FU!&lt;N"</f>
        <v>#VALUE!</v>
      </c>
      <c r="V22" t="e">
        <f>'Technical Skills Weighting'!1597:1597-"`FU!&lt;O"</f>
        <v>#VALUE!</v>
      </c>
      <c r="W22" t="e">
        <f>'Technical Skills Weighting'!1598:1598-"`FU!&lt;P"</f>
        <v>#VALUE!</v>
      </c>
      <c r="X22" t="e">
        <f>'Technical Skills Weighting'!1599:1599-"`FU!&lt;Q"</f>
        <v>#VALUE!</v>
      </c>
      <c r="Y22" t="e">
        <f>'Technical Skills Weighting'!1600:1600-"`FU!&lt;R"</f>
        <v>#VALUE!</v>
      </c>
      <c r="Z22" t="e">
        <f>'Technical Skills Weighting'!1601:1601-"`FU!&lt;S"</f>
        <v>#VALUE!</v>
      </c>
      <c r="AA22" t="e">
        <f>'Technical Skills Weighting'!1602:1602-"`FU!&lt;T"</f>
        <v>#VALUE!</v>
      </c>
      <c r="AB22" t="e">
        <f>'Technical Skills Weighting'!1603:1603-"`FU!&lt;U"</f>
        <v>#VALUE!</v>
      </c>
      <c r="AC22" t="e">
        <f>'Technical Skills Weighting'!1604:1604-"`FU!&lt;V"</f>
        <v>#VALUE!</v>
      </c>
      <c r="AD22" t="e">
        <f>'Technical Skills Weighting'!1605:1605-"`FU!&lt;W"</f>
        <v>#VALUE!</v>
      </c>
      <c r="AE22" t="e">
        <f>'Technical Skills Weighting'!1606:1606-"`FU!&lt;X"</f>
        <v>#VALUE!</v>
      </c>
      <c r="AF22" t="e">
        <f>'Technical Skills Weighting'!1607:1607-"`FU!&lt;Y"</f>
        <v>#VALUE!</v>
      </c>
      <c r="AG22" t="e">
        <f>'Technical Skills Weighting'!1608:1608-"`FU!&lt;Z"</f>
        <v>#VALUE!</v>
      </c>
      <c r="AH22" t="e">
        <f>'Technical Skills Weighting'!1609:1609-"`FU!&lt;["</f>
        <v>#VALUE!</v>
      </c>
      <c r="AI22" t="e">
        <f>'Technical Skills Weighting'!1610:1610-"`FU!&lt;\"</f>
        <v>#VALUE!</v>
      </c>
      <c r="AJ22" t="e">
        <f>'Technical Skills Weighting'!1611:1611-"`FU!&lt;]"</f>
        <v>#VALUE!</v>
      </c>
      <c r="AK22" t="e">
        <f>'Technical Skills Weighting'!1612:1612-"`FU!&lt;^"</f>
        <v>#VALUE!</v>
      </c>
      <c r="AL22" t="e">
        <f>'Technical Skills Weighting'!1613:1613-"`FU!&lt;_"</f>
        <v>#VALUE!</v>
      </c>
      <c r="AM22" t="e">
        <f>'Technical Skills Weighting'!1614:1614-"`FU!&lt;`"</f>
        <v>#VALUE!</v>
      </c>
      <c r="AN22" t="e">
        <f>'Technical Skills Weighting'!1615:1615-"`FU!&lt;a"</f>
        <v>#VALUE!</v>
      </c>
      <c r="AO22" t="e">
        <f>'Technical Skills Weighting'!1616:1616-"`FU!&lt;b"</f>
        <v>#VALUE!</v>
      </c>
      <c r="AP22" t="e">
        <f>'Technical Skills Weighting'!1617:1617-"`FU!&lt;c"</f>
        <v>#VALUE!</v>
      </c>
      <c r="AQ22" t="e">
        <f>'Technical Skills Weighting'!1618:1618-"`FU!&lt;d"</f>
        <v>#VALUE!</v>
      </c>
      <c r="AR22" t="e">
        <f>'Technical Skills Weighting'!1619:1619-"`FU!&lt;e"</f>
        <v>#VALUE!</v>
      </c>
      <c r="AS22" t="e">
        <f>'Technical Skills Weighting'!1620:1620-"`FU!&lt;f"</f>
        <v>#VALUE!</v>
      </c>
      <c r="AT22" t="e">
        <f>'Technical Skills Weighting'!1621:1621-"`FU!&lt;g"</f>
        <v>#VALUE!</v>
      </c>
      <c r="AU22" t="e">
        <f>'Technical Skills Weighting'!1622:1622-"`FU!&lt;h"</f>
        <v>#VALUE!</v>
      </c>
      <c r="AV22" t="e">
        <f>'Technical Skills Weighting'!1623:1623-"`FU!&lt;i"</f>
        <v>#VALUE!</v>
      </c>
      <c r="AW22" t="e">
        <f>'Technical Skills Weighting'!1624:1624-"`FU!&lt;j"</f>
        <v>#VALUE!</v>
      </c>
      <c r="AX22" t="e">
        <f>'Technical Skills Weighting'!1625:1625-"`FU!&lt;k"</f>
        <v>#VALUE!</v>
      </c>
      <c r="AY22" t="e">
        <f>'Technical Skills Weighting'!1626:1626-"`FU!&lt;l"</f>
        <v>#VALUE!</v>
      </c>
      <c r="AZ22" t="e">
        <f>'Technical Skills Weighting'!1627:1627-"`FU!&lt;m"</f>
        <v>#VALUE!</v>
      </c>
      <c r="BA22" t="e">
        <f>'Technical Skills Weighting'!1628:1628-"`FU!&lt;n"</f>
        <v>#VALUE!</v>
      </c>
      <c r="BB22" t="e">
        <f>'Technical Skills Weighting'!1629:1629-"`FU!&lt;o"</f>
        <v>#VALUE!</v>
      </c>
      <c r="BC22" t="e">
        <f>'Technical Skills Weighting'!1630:1630-"`FU!&lt;p"</f>
        <v>#VALUE!</v>
      </c>
      <c r="BD22" t="e">
        <f>'Technical Skills Weighting'!1631:1631-"`FU!&lt;q"</f>
        <v>#VALUE!</v>
      </c>
      <c r="BE22" t="e">
        <f>'Technical Skills Weighting'!1632:1632-"`FU!&lt;r"</f>
        <v>#VALUE!</v>
      </c>
      <c r="BF22" t="e">
        <f>'Technical Skills Weighting'!1633:1633-"`FU!&lt;s"</f>
        <v>#VALUE!</v>
      </c>
      <c r="BG22" t="e">
        <f>'Technical Skills Weighting'!1634:1634-"`FU!&lt;t"</f>
        <v>#VALUE!</v>
      </c>
      <c r="BH22" t="e">
        <f>'Technical Skills Weighting'!1635:1635-"`FU!&lt;u"</f>
        <v>#VALUE!</v>
      </c>
      <c r="BI22" t="e">
        <f>'Technical Skills Weighting'!1636:1636-"`FU!&lt;v"</f>
        <v>#VALUE!</v>
      </c>
      <c r="BJ22" t="e">
        <f>'Technical Skills Weighting'!1637:1637-"`FU!&lt;w"</f>
        <v>#VALUE!</v>
      </c>
      <c r="BK22" t="e">
        <f>'Technical Skills Weighting'!1638:1638-"`FU!&lt;x"</f>
        <v>#VALUE!</v>
      </c>
      <c r="BL22" t="e">
        <f>'Technical Skills Weighting'!1639:1639-"`FU!&lt;y"</f>
        <v>#VALUE!</v>
      </c>
      <c r="BM22" t="e">
        <f>'Technical Skills Weighting'!1640:1640-"`FU!&lt;z"</f>
        <v>#VALUE!</v>
      </c>
      <c r="BN22" t="e">
        <f>'Technical Skills Weighting'!1641:1641-"`FU!&lt;{"</f>
        <v>#VALUE!</v>
      </c>
      <c r="BO22" t="e">
        <f>'Technical Skills Weighting'!1642:1642-"`FU!&lt;|"</f>
        <v>#VALUE!</v>
      </c>
      <c r="BP22" t="e">
        <f>'Technical Skills Weighting'!1643:1643-"`FU!&lt;}"</f>
        <v>#VALUE!</v>
      </c>
      <c r="BQ22" t="e">
        <f>'Technical Skills Weighting'!1644:1644-"`FU!&lt;~"</f>
        <v>#VALUE!</v>
      </c>
      <c r="BR22" t="e">
        <f>'Technical Skills Weighting'!1645:1645-"`FU!=#"</f>
        <v>#VALUE!</v>
      </c>
      <c r="BS22" t="e">
        <f>'Technical Skills Weighting'!1646:1646-"`FU!=$"</f>
        <v>#VALUE!</v>
      </c>
      <c r="BT22" t="e">
        <f>'Technical Skills Weighting'!1647:1647-"`FU!=%"</f>
        <v>#VALUE!</v>
      </c>
      <c r="BU22" t="e">
        <f>'Technical Skills Weighting'!1648:1648-"`FU!=&amp;"</f>
        <v>#VALUE!</v>
      </c>
      <c r="BV22" t="e">
        <f>'Technical Skills Weighting'!1649:1649-"`FU!='"</f>
        <v>#VALUE!</v>
      </c>
      <c r="BW22" t="e">
        <f>'Technical Skills Weighting'!1650:1650-"`FU!=("</f>
        <v>#VALUE!</v>
      </c>
      <c r="BX22" t="e">
        <f>'Technical Skills Weighting'!1651:1651-"`FU!=)"</f>
        <v>#VALUE!</v>
      </c>
      <c r="BY22" t="e">
        <f>'Technical Skills Weighting'!1652:1652-"`FU!=."</f>
        <v>#VALUE!</v>
      </c>
      <c r="BZ22" t="e">
        <f>'Technical Skills Weighting'!1653:1653-"`FU!=/"</f>
        <v>#VALUE!</v>
      </c>
      <c r="CA22" t="e">
        <f>'Technical Skills Weighting'!1654:1654-"`FU!=0"</f>
        <v>#VALUE!</v>
      </c>
      <c r="CB22" t="e">
        <f>'Technical Skills Weighting'!1655:1655-"`FU!=1"</f>
        <v>#VALUE!</v>
      </c>
      <c r="CC22" t="e">
        <f>'Technical Skills Weighting'!1656:1656-"`FU!=2"</f>
        <v>#VALUE!</v>
      </c>
      <c r="CD22" t="e">
        <f>'Technical Skills Weighting'!1657:1657-"`FU!=3"</f>
        <v>#VALUE!</v>
      </c>
      <c r="CE22" t="e">
        <f>'Technical Skills Weighting'!1658:1658-"`FU!=4"</f>
        <v>#VALUE!</v>
      </c>
      <c r="CF22" t="e">
        <f>'Technical Skills Weighting'!1659:1659-"`FU!=5"</f>
        <v>#VALUE!</v>
      </c>
      <c r="CG22" t="e">
        <f>'Technical Skills Weighting'!1660:1660-"`FU!=6"</f>
        <v>#VALUE!</v>
      </c>
      <c r="CH22" t="e">
        <f>'Technical Skills Weighting'!1661:1661-"`FU!=7"</f>
        <v>#VALUE!</v>
      </c>
      <c r="CI22" t="e">
        <f>'Technical Skills Weighting'!1662:1662-"`FU!=8"</f>
        <v>#VALUE!</v>
      </c>
      <c r="CJ22" t="e">
        <f>'Technical Skills Weighting'!1663:1663-"`FU!=9"</f>
        <v>#VALUE!</v>
      </c>
      <c r="CK22" t="e">
        <f>'Technical Skills Weighting'!1664:1664-"`FU!=:"</f>
        <v>#VALUE!</v>
      </c>
      <c r="CL22" t="e">
        <f>'Technical Skills Weighting'!1665:1665-"`FU!=;"</f>
        <v>#VALUE!</v>
      </c>
      <c r="CM22" t="e">
        <f>'Technical Skills Weighting'!1666:1666-"`FU!=&lt;"</f>
        <v>#VALUE!</v>
      </c>
      <c r="CN22" t="e">
        <f>'Technical Skills Weighting'!1667:1667-"`FU!=="</f>
        <v>#VALUE!</v>
      </c>
      <c r="CO22" t="e">
        <f>'Technical Skills Weighting'!1668:1668-"`FU!=&gt;"</f>
        <v>#VALUE!</v>
      </c>
      <c r="CP22" t="e">
        <f>'Technical Skills Weighting'!1669:1669-"`FU!=?"</f>
        <v>#VALUE!</v>
      </c>
      <c r="CQ22" t="e">
        <f>'Technical Skills Weighting'!1670:1670-"`FU!=@"</f>
        <v>#VALUE!</v>
      </c>
      <c r="CR22" t="e">
        <f>'Technical Skills Weighting'!1671:1671-"`FU!=A"</f>
        <v>#VALUE!</v>
      </c>
      <c r="CS22" t="e">
        <f>'Technical Skills Weighting'!1672:1672-"`FU!=B"</f>
        <v>#VALUE!</v>
      </c>
      <c r="CT22" t="e">
        <f>'Technical Skills Weighting'!1673:1673-"`FU!=C"</f>
        <v>#VALUE!</v>
      </c>
      <c r="CU22" t="e">
        <f>'Technical Skills Weighting'!1674:1674-"`FU!=D"</f>
        <v>#VALUE!</v>
      </c>
      <c r="CV22" t="e">
        <f>'Technical Skills Weighting'!1675:1675-"`FU!=E"</f>
        <v>#VALUE!</v>
      </c>
      <c r="CW22" t="e">
        <f>'Technical Skills Weighting'!1676:1676-"`FU!=F"</f>
        <v>#VALUE!</v>
      </c>
      <c r="CX22" t="e">
        <f>'Technical Skills Weighting'!1677:1677-"`FU!=G"</f>
        <v>#VALUE!</v>
      </c>
      <c r="CY22" t="e">
        <f>'Technical Skills Weighting'!1678:1678-"`FU!=H"</f>
        <v>#VALUE!</v>
      </c>
      <c r="CZ22" t="e">
        <f>'Technical Skills Weighting'!1679:1679-"`FU!=I"</f>
        <v>#VALUE!</v>
      </c>
      <c r="DA22" t="e">
        <f>'Technical Skills Weighting'!1680:1680-"`FU!=J"</f>
        <v>#VALUE!</v>
      </c>
      <c r="DB22" t="e">
        <f>'Technical Skills Weighting'!1681:1681-"`FU!=K"</f>
        <v>#VALUE!</v>
      </c>
      <c r="DC22" t="e">
        <f>'Technical Skills Weighting'!1682:1682-"`FU!=L"</f>
        <v>#VALUE!</v>
      </c>
      <c r="DD22" t="e">
        <f>'Technical Skills Weighting'!1683:1683-"`FU!=M"</f>
        <v>#VALUE!</v>
      </c>
      <c r="DE22" t="e">
        <f>'Technical Skills Weighting'!1684:1684-"`FU!=N"</f>
        <v>#VALUE!</v>
      </c>
      <c r="DF22" t="e">
        <f>'Technical Skills Weighting'!1685:1685-"`FU!=O"</f>
        <v>#VALUE!</v>
      </c>
      <c r="DG22" t="e">
        <f>'Technical Skills Weighting'!1686:1686-"`FU!=P"</f>
        <v>#VALUE!</v>
      </c>
      <c r="DH22" t="e">
        <f>'Technical Skills Weighting'!1687:1687-"`FU!=Q"</f>
        <v>#VALUE!</v>
      </c>
      <c r="DI22" t="e">
        <f>'Technical Skills Weighting'!1688:1688-"`FU!=R"</f>
        <v>#VALUE!</v>
      </c>
      <c r="DJ22" t="e">
        <f>'Technical Skills Weighting'!1689:1689-"`FU!=S"</f>
        <v>#VALUE!</v>
      </c>
      <c r="DK22" t="e">
        <f>'Technical Skills Weighting'!1690:1690-"`FU!=T"</f>
        <v>#VALUE!</v>
      </c>
      <c r="DL22" t="e">
        <f>'Technical Skills Weighting'!1691:1691-"`FU!=U"</f>
        <v>#VALUE!</v>
      </c>
      <c r="DM22" t="e">
        <f>'Technical Skills Weighting'!1692:1692-"`FU!=V"</f>
        <v>#VALUE!</v>
      </c>
      <c r="DN22" t="e">
        <f>'Technical Skills Weighting'!1693:1693-"`FU!=W"</f>
        <v>#VALUE!</v>
      </c>
      <c r="DO22" t="e">
        <f>'Technical Skills Weighting'!1694:1694-"`FU!=X"</f>
        <v>#VALUE!</v>
      </c>
      <c r="DP22" t="e">
        <f>'Technical Skills Weighting'!1695:1695-"`FU!=Y"</f>
        <v>#VALUE!</v>
      </c>
      <c r="DQ22" t="e">
        <f>'Technical Skills Weighting'!1696:1696-"`FU!=Z"</f>
        <v>#VALUE!</v>
      </c>
      <c r="DR22" t="e">
        <f>'Technical Skills Weighting'!1697:1697-"`FU!=["</f>
        <v>#VALUE!</v>
      </c>
      <c r="DS22" t="e">
        <f>'Technical Skills Weighting'!1698:1698-"`FU!=\"</f>
        <v>#VALUE!</v>
      </c>
      <c r="DT22" t="e">
        <f>'Technical Skills Weighting'!1699:1699-"`FU!=]"</f>
        <v>#VALUE!</v>
      </c>
      <c r="DU22" t="e">
        <f>'Technical Skills Weighting'!1700:1700-"`FU!=^"</f>
        <v>#VALUE!</v>
      </c>
      <c r="DV22" t="e">
        <f>'Technical Skills Weighting'!1701:1701-"`FU!=_"</f>
        <v>#VALUE!</v>
      </c>
      <c r="DW22" t="e">
        <f>'Technical Skills Weighting'!1702:1702-"`FU!=`"</f>
        <v>#VALUE!</v>
      </c>
      <c r="DX22" t="e">
        <f>'Technical Skills Weighting'!1703:1703-"`FU!=a"</f>
        <v>#VALUE!</v>
      </c>
      <c r="DY22" t="e">
        <f>'Technical Skills Weighting'!1704:1704-"`FU!=b"</f>
        <v>#VALUE!</v>
      </c>
      <c r="DZ22" t="e">
        <f>'Technical Skills Weighting'!1705:1705-"`FU!=c"</f>
        <v>#VALUE!</v>
      </c>
      <c r="EA22" t="e">
        <f>'Technical Skills Weighting'!1706:1706-"`FU!=d"</f>
        <v>#VALUE!</v>
      </c>
      <c r="EB22" t="e">
        <f>'Technical Skills Weighting'!1707:1707-"`FU!=e"</f>
        <v>#VALUE!</v>
      </c>
      <c r="EC22" t="e">
        <f>'Technical Skills Weighting'!1708:1708-"`FU!=f"</f>
        <v>#VALUE!</v>
      </c>
      <c r="ED22" t="e">
        <f>'Technical Skills Weighting'!1709:1709-"`FU!=g"</f>
        <v>#VALUE!</v>
      </c>
      <c r="EE22" t="e">
        <f>'Technical Skills Weighting'!1710:1710-"`FU!=h"</f>
        <v>#VALUE!</v>
      </c>
      <c r="EF22" t="e">
        <f>'Technical Skills Weighting'!1711:1711-"`FU!=i"</f>
        <v>#VALUE!</v>
      </c>
      <c r="EG22" t="e">
        <f>'Technical Skills Weighting'!1712:1712-"`FU!=j"</f>
        <v>#VALUE!</v>
      </c>
      <c r="EH22" t="e">
        <f>'Technical Skills Weighting'!1713:1713-"`FU!=k"</f>
        <v>#VALUE!</v>
      </c>
      <c r="EI22" t="e">
        <f>'Technical Skills Weighting'!1714:1714-"`FU!=l"</f>
        <v>#VALUE!</v>
      </c>
      <c r="EJ22" t="e">
        <f>'Technical Skills Weighting'!1715:1715-"`FU!=m"</f>
        <v>#VALUE!</v>
      </c>
      <c r="EK22" t="e">
        <f>'Technical Skills Weighting'!1716:1716-"`FU!=n"</f>
        <v>#VALUE!</v>
      </c>
      <c r="EL22" t="e">
        <f>'Technical Skills Weighting'!1717:1717-"`FU!=o"</f>
        <v>#VALUE!</v>
      </c>
      <c r="EM22" t="e">
        <f>'Technical Skills Weighting'!1718:1718-"`FU!=p"</f>
        <v>#VALUE!</v>
      </c>
      <c r="EN22" t="e">
        <f>'Technical Skills Weighting'!1719:1719-"`FU!=q"</f>
        <v>#VALUE!</v>
      </c>
      <c r="EO22" t="e">
        <f>'Technical Skills Weighting'!1720:1720-"`FU!=r"</f>
        <v>#VALUE!</v>
      </c>
      <c r="EP22" t="e">
        <f>'Technical Skills Weighting'!1721:1721-"`FU!=s"</f>
        <v>#VALUE!</v>
      </c>
      <c r="EQ22" t="e">
        <f>'Technical Skills Weighting'!1722:1722-"`FU!=t"</f>
        <v>#VALUE!</v>
      </c>
      <c r="ER22" t="e">
        <f>'Technical Skills Weighting'!1723:1723-"`FU!=u"</f>
        <v>#VALUE!</v>
      </c>
      <c r="ES22" t="e">
        <f>'Technical Skills Weighting'!1724:1724-"`FU!=v"</f>
        <v>#VALUE!</v>
      </c>
      <c r="ET22" t="e">
        <f>'Technical Skills Weighting'!1725:1725-"`FU!=w"</f>
        <v>#VALUE!</v>
      </c>
      <c r="EU22" t="e">
        <f>'Technical Skills Weighting'!1726:1726-"`FU!=x"</f>
        <v>#VALUE!</v>
      </c>
      <c r="EV22" t="e">
        <f>'Technical Skills Weighting'!1727:1727-"`FU!=y"</f>
        <v>#VALUE!</v>
      </c>
      <c r="EW22" t="e">
        <f>'Technical Skills Weighting'!1728:1728-"`FU!=z"</f>
        <v>#VALUE!</v>
      </c>
      <c r="EX22" t="e">
        <f>'Technical Skills Weighting'!1729:1729-"`FU!={"</f>
        <v>#VALUE!</v>
      </c>
      <c r="EY22" t="e">
        <f>'Technical Skills Weighting'!1730:1730-"`FU!=|"</f>
        <v>#VALUE!</v>
      </c>
      <c r="EZ22" t="e">
        <f>'Technical Skills Weighting'!1731:1731-"`FU!=}"</f>
        <v>#VALUE!</v>
      </c>
      <c r="FA22" t="e">
        <f>'Technical Skills Weighting'!1732:1732-"`FU!=~"</f>
        <v>#VALUE!</v>
      </c>
      <c r="FB22" t="e">
        <f>'Technical Skills Weighting'!1733:1733-"`FU!&gt;#"</f>
        <v>#VALUE!</v>
      </c>
      <c r="FC22" t="e">
        <f>'Technical Skills Weighting'!1734:1734-"`FU!&gt;$"</f>
        <v>#VALUE!</v>
      </c>
      <c r="FD22" t="e">
        <f>'Technical Skills Weighting'!1735:1735-"`FU!&gt;%"</f>
        <v>#VALUE!</v>
      </c>
      <c r="FE22" t="e">
        <f>'Technical Skills Weighting'!1736:1736-"`FU!&gt;&amp;"</f>
        <v>#VALUE!</v>
      </c>
      <c r="FF22" t="e">
        <f>'Technical Skills Weighting'!1737:1737-"`FU!&gt;'"</f>
        <v>#VALUE!</v>
      </c>
      <c r="FG22" t="e">
        <f>'Technical Skills Weighting'!1738:1738-"`FU!&gt;("</f>
        <v>#VALUE!</v>
      </c>
      <c r="FH22" t="e">
        <f>'Technical Skills Weighting'!1739:1739-"`FU!&gt;)"</f>
        <v>#VALUE!</v>
      </c>
      <c r="FI22" t="e">
        <f>'Technical Skills Weighting'!1740:1740-"`FU!&gt;."</f>
        <v>#VALUE!</v>
      </c>
      <c r="FJ22" t="e">
        <f>'Technical Skills Weighting'!1741:1741-"`FU!&gt;/"</f>
        <v>#VALUE!</v>
      </c>
      <c r="FK22" t="e">
        <f>'Technical Skills Weighting'!1742:1742-"`FU!&gt;0"</f>
        <v>#VALUE!</v>
      </c>
      <c r="FL22" t="e">
        <f>'Technical Skills Weighting'!1743:1743-"`FU!&gt;1"</f>
        <v>#VALUE!</v>
      </c>
      <c r="FM22" t="e">
        <f>'Technical Skills Weighting'!1744:1744-"`FU!&gt;2"</f>
        <v>#VALUE!</v>
      </c>
      <c r="FN22" t="e">
        <f>'Technical Skills Weighting'!1745:1745-"`FU!&gt;3"</f>
        <v>#VALUE!</v>
      </c>
      <c r="FO22" t="e">
        <f>'Technical Skills Weighting'!1746:1746-"`FU!&gt;4"</f>
        <v>#VALUE!</v>
      </c>
      <c r="FP22" t="e">
        <f>'Technical Skills Weighting'!1747:1747-"`FU!&gt;5"</f>
        <v>#VALUE!</v>
      </c>
      <c r="FQ22" t="e">
        <f>'Technical Skills Weighting'!1748:1748-"`FU!&gt;6"</f>
        <v>#VALUE!</v>
      </c>
      <c r="FR22" t="e">
        <f>'Technical Skills Weighting'!1749:1749-"`FU!&gt;7"</f>
        <v>#VALUE!</v>
      </c>
      <c r="FS22" t="e">
        <f>'Technical Skills Weighting'!1750:1750-"`FU!&gt;8"</f>
        <v>#VALUE!</v>
      </c>
      <c r="FT22" t="e">
        <f>'Technical Skills Weighting'!1751:1751-"`FU!&gt;9"</f>
        <v>#VALUE!</v>
      </c>
      <c r="FU22" t="e">
        <f>'Technical Skills Weighting'!1752:1752-"`FU!&gt;:"</f>
        <v>#VALUE!</v>
      </c>
      <c r="FV22" t="e">
        <f>'Technical Skills Weighting'!1753:1753-"`FU!&gt;;"</f>
        <v>#VALUE!</v>
      </c>
      <c r="FW22" t="e">
        <f>'Technical Skills Weighting'!1754:1754-"`FU!&gt;&lt;"</f>
        <v>#VALUE!</v>
      </c>
      <c r="FX22" t="e">
        <f>'Technical Skills Weighting'!1755:1755-"`FU!&gt;="</f>
        <v>#VALUE!</v>
      </c>
      <c r="FY22" t="e">
        <f>'Technical Skills Weighting'!1756:1756-"`FU!&gt;&gt;"</f>
        <v>#VALUE!</v>
      </c>
      <c r="FZ22" t="e">
        <f>'Technical Skills Weighting'!1757:1757-"`FU!&gt;?"</f>
        <v>#VALUE!</v>
      </c>
      <c r="GA22" t="e">
        <f>'Technical Skills Weighting'!1758:1758-"`FU!&gt;@"</f>
        <v>#VALUE!</v>
      </c>
      <c r="GB22" t="e">
        <f>'Technical Skills Weighting'!1759:1759-"`FU!&gt;A"</f>
        <v>#VALUE!</v>
      </c>
      <c r="GC22" t="e">
        <f>'Technical Skills Weighting'!1760:1760-"`FU!&gt;B"</f>
        <v>#VALUE!</v>
      </c>
      <c r="GD22" t="e">
        <f>'Technical Skills Weighting'!1761:1761-"`FU!&gt;C"</f>
        <v>#VALUE!</v>
      </c>
      <c r="GE22" t="e">
        <f>'Technical Skills Weighting'!1762:1762-"`FU!&gt;D"</f>
        <v>#VALUE!</v>
      </c>
      <c r="GF22" t="e">
        <f>'Technical Skills Weighting'!1763:1763-"`FU!&gt;E"</f>
        <v>#VALUE!</v>
      </c>
      <c r="GG22" t="e">
        <f>'Technical Skills Weighting'!1764:1764-"`FU!&gt;F"</f>
        <v>#VALUE!</v>
      </c>
      <c r="GH22" t="e">
        <f>'Technical Skills Weighting'!1765:1765-"`FU!&gt;G"</f>
        <v>#VALUE!</v>
      </c>
      <c r="GI22" t="e">
        <f>'Technical Skills Weighting'!1766:1766-"`FU!&gt;H"</f>
        <v>#VALUE!</v>
      </c>
      <c r="GJ22" t="e">
        <f>'Technical Skills Weighting'!1767:1767-"`FU!&gt;I"</f>
        <v>#VALUE!</v>
      </c>
      <c r="GK22" t="e">
        <f>'Technical Skills Weighting'!1768:1768-"`FU!&gt;J"</f>
        <v>#VALUE!</v>
      </c>
      <c r="GL22" t="e">
        <f>'Technical Skills Weighting'!1769:1769-"`FU!&gt;K"</f>
        <v>#VALUE!</v>
      </c>
      <c r="GM22" t="e">
        <f>'Technical Skills Weighting'!1770:1770-"`FU!&gt;L"</f>
        <v>#VALUE!</v>
      </c>
      <c r="GN22" t="e">
        <f>'Technical Skills Weighting'!1771:1771-"`FU!&gt;M"</f>
        <v>#VALUE!</v>
      </c>
      <c r="GO22" t="e">
        <f>'Technical Skills Weighting'!1772:1772-"`FU!&gt;N"</f>
        <v>#VALUE!</v>
      </c>
      <c r="GP22" t="e">
        <f>'Technical Skills Weighting'!1773:1773-"`FU!&gt;O"</f>
        <v>#VALUE!</v>
      </c>
      <c r="GQ22" t="e">
        <f>'Technical Skills Weighting'!1774:1774-"`FU!&gt;P"</f>
        <v>#VALUE!</v>
      </c>
      <c r="GR22" t="e">
        <f>'Technical Skills Weighting'!1775:1775-"`FU!&gt;Q"</f>
        <v>#VALUE!</v>
      </c>
      <c r="GS22" t="e">
        <f>'Technical Skills Weighting'!1776:1776-"`FU!&gt;R"</f>
        <v>#VALUE!</v>
      </c>
      <c r="GT22" t="e">
        <f>'Technical Skills Weighting'!1777:1777-"`FU!&gt;S"</f>
        <v>#VALUE!</v>
      </c>
      <c r="GU22" t="e">
        <f>'Technical Skills Weighting'!1778:1778-"`FU!&gt;T"</f>
        <v>#VALUE!</v>
      </c>
      <c r="GV22" t="e">
        <f>'Technical Skills Weighting'!1779:1779-"`FU!&gt;U"</f>
        <v>#VALUE!</v>
      </c>
      <c r="GW22" t="e">
        <f>'Technical Skills Weighting'!1780:1780-"`FU!&gt;V"</f>
        <v>#VALUE!</v>
      </c>
      <c r="GX22" t="e">
        <f>'Technical Skills Weighting'!1781:1781-"`FU!&gt;W"</f>
        <v>#VALUE!</v>
      </c>
      <c r="GY22" t="e">
        <f>'Technical Skills Weighting'!1782:1782-"`FU!&gt;X"</f>
        <v>#VALUE!</v>
      </c>
      <c r="GZ22" t="e">
        <f>'Technical Skills Weighting'!1783:1783-"`FU!&gt;Y"</f>
        <v>#VALUE!</v>
      </c>
      <c r="HA22" t="e">
        <f>'Technical Skills Weighting'!1784:1784-"`FU!&gt;Z"</f>
        <v>#VALUE!</v>
      </c>
      <c r="HB22" t="e">
        <f>'Technical Skills Weighting'!1785:1785-"`FU!&gt;["</f>
        <v>#VALUE!</v>
      </c>
      <c r="HC22" t="e">
        <f>'Technical Skills Weighting'!1786:1786-"`FU!&gt;\"</f>
        <v>#VALUE!</v>
      </c>
      <c r="HD22" t="e">
        <f>'Technical Skills Weighting'!1787:1787-"`FU!&gt;]"</f>
        <v>#VALUE!</v>
      </c>
      <c r="HE22" t="e">
        <f>'Technical Skills Weighting'!1788:1788-"`FU!&gt;^"</f>
        <v>#VALUE!</v>
      </c>
      <c r="HF22" t="e">
        <f>'Technical Skills Weighting'!1789:1789-"`FU!&gt;_"</f>
        <v>#VALUE!</v>
      </c>
      <c r="HG22" t="e">
        <f>'Technical Skills Weighting'!1790:1790-"`FU!&gt;`"</f>
        <v>#VALUE!</v>
      </c>
      <c r="HH22" t="e">
        <f>'Technical Skills Weighting'!1791:1791-"`FU!&gt;a"</f>
        <v>#VALUE!</v>
      </c>
      <c r="HI22" t="e">
        <f>'Technical Skills Weighting'!1792:1792-"`FU!&gt;b"</f>
        <v>#VALUE!</v>
      </c>
      <c r="HJ22" t="e">
        <f>'Technical Skills Weighting'!1793:1793-"`FU!&gt;c"</f>
        <v>#VALUE!</v>
      </c>
      <c r="HK22" t="e">
        <f>'Technical Skills Weighting'!1794:1794-"`FU!&gt;d"</f>
        <v>#VALUE!</v>
      </c>
      <c r="HL22" t="e">
        <f>'Technical Skills Weighting'!1795:1795-"`FU!&gt;e"</f>
        <v>#VALUE!</v>
      </c>
      <c r="HM22" t="e">
        <f>'Technical Skills Weighting'!1796:1796-"`FU!&gt;f"</f>
        <v>#VALUE!</v>
      </c>
      <c r="HN22" t="e">
        <f>'Technical Skills Weighting'!1797:1797-"`FU!&gt;g"</f>
        <v>#VALUE!</v>
      </c>
      <c r="HO22" t="e">
        <f>'Technical Skills Weighting'!1798:1798-"`FU!&gt;h"</f>
        <v>#VALUE!</v>
      </c>
      <c r="HP22" t="e">
        <f>'Technical Skills Weighting'!1799:1799-"`FU!&gt;i"</f>
        <v>#VALUE!</v>
      </c>
      <c r="HQ22" t="e">
        <f>'Technical Skills Weighting'!1800:1800-"`FU!&gt;j"</f>
        <v>#VALUE!</v>
      </c>
      <c r="HR22" t="e">
        <f>'Technical Skills Weighting'!1801:1801-"`FU!&gt;k"</f>
        <v>#VALUE!</v>
      </c>
      <c r="HS22" t="e">
        <f>'Technical Skills Weighting'!1802:1802-"`FU!&gt;l"</f>
        <v>#VALUE!</v>
      </c>
      <c r="HT22" t="e">
        <f>'Technical Skills Weighting'!1803:1803-"`FU!&gt;m"</f>
        <v>#VALUE!</v>
      </c>
      <c r="HU22" t="e">
        <f>'Technical Skills Weighting'!1804:1804-"`FU!&gt;n"</f>
        <v>#VALUE!</v>
      </c>
      <c r="HV22" t="e">
        <f>'Technical Skills Weighting'!1805:1805-"`FU!&gt;o"</f>
        <v>#VALUE!</v>
      </c>
      <c r="HW22" t="e">
        <f>'Technical Skills Weighting'!1806:1806-"`FU!&gt;p"</f>
        <v>#VALUE!</v>
      </c>
      <c r="HX22" t="e">
        <f>'Technical Skills Weighting'!1807:1807-"`FU!&gt;q"</f>
        <v>#VALUE!</v>
      </c>
      <c r="HY22" t="e">
        <f>'Technical Skills Weighting'!1808:1808-"`FU!&gt;r"</f>
        <v>#VALUE!</v>
      </c>
      <c r="HZ22" t="e">
        <f>'Technical Skills Weighting'!1809:1809-"`FU!&gt;s"</f>
        <v>#VALUE!</v>
      </c>
      <c r="IA22" t="e">
        <f>'Technical Skills Weighting'!1810:1810-"`FU!&gt;t"</f>
        <v>#VALUE!</v>
      </c>
      <c r="IB22" t="e">
        <f>'Technical Skills Weighting'!1811:1811-"`FU!&gt;u"</f>
        <v>#VALUE!</v>
      </c>
      <c r="IC22" t="e">
        <f>'Technical Skills Weighting'!1812:1812-"`FU!&gt;v"</f>
        <v>#VALUE!</v>
      </c>
      <c r="ID22" t="e">
        <f>'Technical Skills Weighting'!1813:1813-"`FU!&gt;w"</f>
        <v>#VALUE!</v>
      </c>
      <c r="IE22" t="e">
        <f>'Technical Skills Weighting'!1814:1814-"`FU!&gt;x"</f>
        <v>#VALUE!</v>
      </c>
      <c r="IF22" t="e">
        <f>'Technical Skills Weighting'!1815:1815-"`FU!&gt;y"</f>
        <v>#VALUE!</v>
      </c>
      <c r="IG22" t="e">
        <f>'Technical Skills Weighting'!1816:1816-"`FU!&gt;z"</f>
        <v>#VALUE!</v>
      </c>
      <c r="IH22" t="e">
        <f>'Technical Skills Weighting'!1817:1817-"`FU!&gt;{"</f>
        <v>#VALUE!</v>
      </c>
      <c r="II22" t="e">
        <f>'Technical Skills Weighting'!1818:1818-"`FU!&gt;|"</f>
        <v>#VALUE!</v>
      </c>
      <c r="IJ22" t="e">
        <f>'Technical Skills Weighting'!1819:1819-"`FU!&gt;}"</f>
        <v>#VALUE!</v>
      </c>
      <c r="IK22" t="e">
        <f>'Technical Skills Weighting'!1820:1820-"`FU!&gt;~"</f>
        <v>#VALUE!</v>
      </c>
      <c r="IL22" t="e">
        <f>'Technical Skills Weighting'!1821:1821-"`FU!?#"</f>
        <v>#VALUE!</v>
      </c>
      <c r="IM22" t="e">
        <f>'Technical Skills Weighting'!1822:1822-"`FU!?$"</f>
        <v>#VALUE!</v>
      </c>
      <c r="IN22" t="e">
        <f>'Technical Skills Weighting'!1823:1823-"`FU!?%"</f>
        <v>#VALUE!</v>
      </c>
      <c r="IO22" t="e">
        <f>'Technical Skills Weighting'!1824:1824-"`FU!?&amp;"</f>
        <v>#VALUE!</v>
      </c>
      <c r="IP22" t="e">
        <f>'Technical Skills Weighting'!1825:1825-"`FU!?'"</f>
        <v>#VALUE!</v>
      </c>
      <c r="IQ22" t="e">
        <f>'Technical Skills Weighting'!1826:1826-"`FU!?("</f>
        <v>#VALUE!</v>
      </c>
      <c r="IR22" t="e">
        <f>'Technical Skills Weighting'!1827:1827-"`FU!?)"</f>
        <v>#VALUE!</v>
      </c>
      <c r="IS22" t="e">
        <f>'Technical Skills Weighting'!1828:1828-"`FU!?."</f>
        <v>#VALUE!</v>
      </c>
      <c r="IT22" t="e">
        <f>'Technical Skills Weighting'!1829:1829-"`FU!?/"</f>
        <v>#VALUE!</v>
      </c>
      <c r="IU22" t="e">
        <f>'Technical Skills Weighting'!1830:1830-"`FU!?0"</f>
        <v>#VALUE!</v>
      </c>
      <c r="IV22" t="e">
        <f>'Technical Skills Weighting'!1831:1831-"`FU!?1"</f>
        <v>#VALUE!</v>
      </c>
    </row>
    <row r="23" spans="6:256" x14ac:dyDescent="0.25">
      <c r="F23" t="e">
        <f>'Technical Skills Weighting'!1832:1832-"`FU!?2"</f>
        <v>#VALUE!</v>
      </c>
      <c r="G23" t="e">
        <f>'Technical Skills Weighting'!1833:1833-"`FU!?3"</f>
        <v>#VALUE!</v>
      </c>
      <c r="H23" t="e">
        <f>'Technical Skills Weighting'!1834:1834-"`FU!?4"</f>
        <v>#VALUE!</v>
      </c>
      <c r="I23" t="e">
        <f>'Technical Skills Weighting'!1835:1835-"`FU!?5"</f>
        <v>#VALUE!</v>
      </c>
      <c r="J23" t="e">
        <f>'Technical Skills Weighting'!1836:1836-"`FU!?6"</f>
        <v>#VALUE!</v>
      </c>
      <c r="K23" t="e">
        <f>'Technical Skills Weighting'!1837:1837-"`FU!?7"</f>
        <v>#VALUE!</v>
      </c>
      <c r="L23" t="e">
        <f>'Technical Skills Weighting'!1838:1838-"`FU!?8"</f>
        <v>#VALUE!</v>
      </c>
      <c r="M23" t="e">
        <f>'Technical Skills Weighting'!1839:1839-"`FU!?9"</f>
        <v>#VALUE!</v>
      </c>
      <c r="N23" t="e">
        <f>'Technical Skills Weighting'!1840:1840-"`FU!?:"</f>
        <v>#VALUE!</v>
      </c>
      <c r="O23" t="e">
        <f>'Technical Skills Weighting'!1841:1841-"`FU!?;"</f>
        <v>#VALUE!</v>
      </c>
      <c r="P23" t="e">
        <f>'Technical Skills Weighting'!1842:1842-"`FU!?&lt;"</f>
        <v>#VALUE!</v>
      </c>
      <c r="Q23" t="e">
        <f>'Technical Skills Weighting'!1843:1843-"`FU!?="</f>
        <v>#VALUE!</v>
      </c>
      <c r="R23" t="e">
        <f>'Technical Skills Weighting'!1844:1844-"`FU!?&gt;"</f>
        <v>#VALUE!</v>
      </c>
      <c r="S23" t="e">
        <f>'Technical Skills Weighting'!1845:1845-"`FU!??"</f>
        <v>#VALUE!</v>
      </c>
      <c r="T23" t="e">
        <f>'Technical Skills Weighting'!1846:1846-"`FU!?@"</f>
        <v>#VALUE!</v>
      </c>
      <c r="U23" t="e">
        <f>'Technical Skills Weighting'!1847:1847-"`FU!?A"</f>
        <v>#VALUE!</v>
      </c>
      <c r="V23" t="e">
        <f>'Technical Skills Weighting'!1848:1848-"`FU!?B"</f>
        <v>#VALUE!</v>
      </c>
      <c r="W23" t="e">
        <f>'Technical Skills Weighting'!1849:1849-"`FU!?C"</f>
        <v>#VALUE!</v>
      </c>
      <c r="X23" t="e">
        <f>'Technical Skills Weighting'!1850:1850-"`FU!?D"</f>
        <v>#VALUE!</v>
      </c>
      <c r="Y23" t="e">
        <f>'Technical Skills Weighting'!1851:1851-"`FU!?E"</f>
        <v>#VALUE!</v>
      </c>
      <c r="Z23" t="e">
        <f>'Technical Skills Weighting'!1852:1852-"`FU!?F"</f>
        <v>#VALUE!</v>
      </c>
      <c r="AA23" t="e">
        <f>'Technical Skills Weighting'!1853:1853-"`FU!?G"</f>
        <v>#VALUE!</v>
      </c>
      <c r="AB23" t="e">
        <f>'Technical Skills Weighting'!1854:1854-"`FU!?H"</f>
        <v>#VALUE!</v>
      </c>
      <c r="AC23" t="e">
        <f>'Technical Skills Weighting'!1855:1855-"`FU!?I"</f>
        <v>#VALUE!</v>
      </c>
      <c r="AD23" t="e">
        <f>'Technical Skills Weighting'!1856:1856-"`FU!?J"</f>
        <v>#VALUE!</v>
      </c>
      <c r="AE23" t="e">
        <f>'Technical Skills Weighting'!1857:1857-"`FU!?K"</f>
        <v>#VALUE!</v>
      </c>
      <c r="AF23" t="e">
        <f>'Technical Skills Weighting'!1858:1858-"`FU!?L"</f>
        <v>#VALUE!</v>
      </c>
      <c r="AG23" t="e">
        <f>'Technical Skills Weighting'!1859:1859-"`FU!?M"</f>
        <v>#VALUE!</v>
      </c>
      <c r="AH23" t="e">
        <f>'Technical Skills Weighting'!1860:1860-"`FU!?N"</f>
        <v>#VALUE!</v>
      </c>
      <c r="AI23" t="e">
        <f>'Technical Skills Weighting'!1861:1861-"`FU!?O"</f>
        <v>#VALUE!</v>
      </c>
      <c r="AJ23" t="e">
        <f>'Technical Skills Weighting'!1862:1862-"`FU!?P"</f>
        <v>#VALUE!</v>
      </c>
      <c r="AK23" t="e">
        <f>'Technical Skills Weighting'!1863:1863-"`FU!?Q"</f>
        <v>#VALUE!</v>
      </c>
      <c r="AL23" t="e">
        <f>'Technical Skills Weighting'!1864:1864-"`FU!?R"</f>
        <v>#VALUE!</v>
      </c>
      <c r="AM23" t="e">
        <f>'Technical Skills Weighting'!1865:1865-"`FU!?S"</f>
        <v>#VALUE!</v>
      </c>
      <c r="AN23" t="e">
        <f>'Technical Skills Weighting'!1866:1866-"`FU!?T"</f>
        <v>#VALUE!</v>
      </c>
      <c r="AO23" t="e">
        <f>'Technical Skills Weighting'!1867:1867-"`FU!?U"</f>
        <v>#VALUE!</v>
      </c>
      <c r="AP23" t="e">
        <f>'Technical Skills Weighting'!1868:1868-"`FU!?V"</f>
        <v>#VALUE!</v>
      </c>
      <c r="AQ23" t="e">
        <f>'Technical Skills Weighting'!1869:1869-"`FU!?W"</f>
        <v>#VALUE!</v>
      </c>
      <c r="AR23" t="e">
        <f>'Technical Skills Weighting'!1870:1870-"`FU!?X"</f>
        <v>#VALUE!</v>
      </c>
      <c r="AS23" t="e">
        <f>'Technical Skills Weighting'!1871:1871-"`FU!?Y"</f>
        <v>#VALUE!</v>
      </c>
      <c r="AT23" t="e">
        <f>'Technical Skills Weighting'!1872:1872-"`FU!?Z"</f>
        <v>#VALUE!</v>
      </c>
      <c r="AU23" t="e">
        <f>'Technical Skills Weighting'!1873:1873-"`FU!?["</f>
        <v>#VALUE!</v>
      </c>
      <c r="AV23" t="e">
        <f>'Technical Skills Weighting'!1874:1874-"`FU!?\"</f>
        <v>#VALUE!</v>
      </c>
      <c r="AW23" t="e">
        <f>'Technical Skills Weighting'!1875:1875-"`FU!?]"</f>
        <v>#VALUE!</v>
      </c>
      <c r="AX23" t="e">
        <f>'Technical Skills Weighting'!1876:1876-"`FU!?^"</f>
        <v>#VALUE!</v>
      </c>
      <c r="AY23" t="e">
        <f>'Technical Skills Weighting'!1877:1877-"`FU!?_"</f>
        <v>#VALUE!</v>
      </c>
      <c r="AZ23" t="e">
        <f>'Technical Skills Weighting'!1878:1878-"`FU!?`"</f>
        <v>#VALUE!</v>
      </c>
      <c r="BA23" t="e">
        <f>'Technical Skills Weighting'!1879:1879-"`FU!?a"</f>
        <v>#VALUE!</v>
      </c>
      <c r="BB23" t="e">
        <f>'Technical Skills Weighting'!1880:1880-"`FU!?b"</f>
        <v>#VALUE!</v>
      </c>
      <c r="BC23" t="e">
        <f>'Technical Skills Weighting'!1881:1881-"`FU!?c"</f>
        <v>#VALUE!</v>
      </c>
      <c r="BD23" t="e">
        <f>'Technical Skills Weighting'!1882:1882-"`FU!?d"</f>
        <v>#VALUE!</v>
      </c>
      <c r="BE23" t="e">
        <f>'Technical Skills Weighting'!1883:1883-"`FU!?e"</f>
        <v>#VALUE!</v>
      </c>
      <c r="BF23" t="e">
        <f>'Technical Skills Weighting'!1884:1884-"`FU!?f"</f>
        <v>#VALUE!</v>
      </c>
      <c r="BG23" t="e">
        <f>'Technical Skills Weighting'!1885:1885-"`FU!?g"</f>
        <v>#VALUE!</v>
      </c>
      <c r="BH23" t="e">
        <f>'Technical Skills Weighting'!1886:1886-"`FU!?h"</f>
        <v>#VALUE!</v>
      </c>
      <c r="BI23" t="e">
        <f>'Technical Skills Weighting'!1887:1887-"`FU!?i"</f>
        <v>#VALUE!</v>
      </c>
      <c r="BJ23" t="e">
        <f>'Technical Skills Weighting'!1888:1888-"`FU!?j"</f>
        <v>#VALUE!</v>
      </c>
      <c r="BK23" t="e">
        <f>'Technical Skills Weighting'!1889:1889-"`FU!?k"</f>
        <v>#VALUE!</v>
      </c>
      <c r="BL23" t="e">
        <f>'Technical Skills Weighting'!1890:1890-"`FU!?l"</f>
        <v>#VALUE!</v>
      </c>
      <c r="BM23" t="e">
        <f>'Technical Skills Weighting'!1891:1891-"`FU!?m"</f>
        <v>#VALUE!</v>
      </c>
      <c r="BN23" t="e">
        <f>'Technical Skills Weighting'!1892:1892-"`FU!?n"</f>
        <v>#VALUE!</v>
      </c>
      <c r="BO23" t="e">
        <f>'Technical Skills Weighting'!1893:1893-"`FU!?o"</f>
        <v>#VALUE!</v>
      </c>
      <c r="BP23" t="e">
        <f>'Technical Skills Weighting'!1894:1894-"`FU!?p"</f>
        <v>#VALUE!</v>
      </c>
      <c r="BQ23" t="e">
        <f>'Technical Skills Weighting'!1895:1895-"`FU!?q"</f>
        <v>#VALUE!</v>
      </c>
      <c r="BR23" t="e">
        <f>'Technical Skills Weighting'!1896:1896-"`FU!?r"</f>
        <v>#VALUE!</v>
      </c>
      <c r="BS23" t="e">
        <f>'Technical Skills Weighting'!1897:1897-"`FU!?s"</f>
        <v>#VALUE!</v>
      </c>
      <c r="BT23" t="e">
        <f>'Technical Skills Weighting'!1898:1898-"`FU!?t"</f>
        <v>#VALUE!</v>
      </c>
      <c r="BU23" t="e">
        <f>'Technical Skills Weighting'!1899:1899-"`FU!?u"</f>
        <v>#VALUE!</v>
      </c>
      <c r="BV23" t="e">
        <f>'Technical Skills Weighting'!1900:1900-"`FU!?v"</f>
        <v>#VALUE!</v>
      </c>
      <c r="BW23" t="e">
        <f>'Technical Skills Weighting'!1901:1901-"`FU!?w"</f>
        <v>#VALUE!</v>
      </c>
      <c r="BX23" t="e">
        <f>'Technical Skills Weighting'!1902:1902-"`FU!?x"</f>
        <v>#VALUE!</v>
      </c>
      <c r="BY23" t="e">
        <f>'Technical Skills Weighting'!1903:1903-"`FU!?y"</f>
        <v>#VALUE!</v>
      </c>
      <c r="BZ23" t="e">
        <f>'Technical Skills Weighting'!1904:1904-"`FU!?z"</f>
        <v>#VALUE!</v>
      </c>
      <c r="CA23" t="e">
        <f>'Technical Skills Weighting'!1905:1905-"`FU!?{"</f>
        <v>#VALUE!</v>
      </c>
      <c r="CB23" t="e">
        <f>'Technical Skills Weighting'!1906:1906-"`FU!?|"</f>
        <v>#VALUE!</v>
      </c>
      <c r="CC23" t="e">
        <f>'Technical Skills Weighting'!1907:1907-"`FU!?}"</f>
        <v>#VALUE!</v>
      </c>
      <c r="CD23" t="e">
        <f>'Technical Skills Weighting'!1908:1908-"`FU!?~"</f>
        <v>#VALUE!</v>
      </c>
      <c r="CE23" t="e">
        <f>'Technical Skills Weighting'!1909:1909-"`FU!@#"</f>
        <v>#VALUE!</v>
      </c>
      <c r="CF23" t="e">
        <f>'Technical Skills Weighting'!1910:1910-"`FU!@$"</f>
        <v>#VALUE!</v>
      </c>
      <c r="CG23" t="e">
        <f>'Technical Skills Weighting'!1911:1911-"`FU!@%"</f>
        <v>#VALUE!</v>
      </c>
      <c r="CH23" t="e">
        <f>'Technical Skills Weighting'!1912:1912-"`FU!@&amp;"</f>
        <v>#VALUE!</v>
      </c>
      <c r="CI23" t="e">
        <f>'Technical Skills Weighting'!1913:1913-"`FU!@'"</f>
        <v>#VALUE!</v>
      </c>
      <c r="CJ23" t="e">
        <f>'Technical Skills Weighting'!1914:1914-"`FU!@("</f>
        <v>#VALUE!</v>
      </c>
      <c r="CK23" t="e">
        <f>'Technical Skills Weighting'!1915:1915-"`FU!@)"</f>
        <v>#VALUE!</v>
      </c>
      <c r="CL23" t="e">
        <f>'Technical Skills Weighting'!1916:1916-"`FU!@."</f>
        <v>#VALUE!</v>
      </c>
      <c r="CM23" t="e">
        <f>'Technical Skills Weighting'!1917:1917-"`FU!@/"</f>
        <v>#VALUE!</v>
      </c>
      <c r="CN23" t="e">
        <f>'Technical Skills Weighting'!1918:1918-"`FU!@0"</f>
        <v>#VALUE!</v>
      </c>
      <c r="CO23" t="e">
        <f>'Technical Skills Weighting'!1919:1919-"`FU!@1"</f>
        <v>#VALUE!</v>
      </c>
      <c r="CP23" t="e">
        <f>'Technical Skills Weighting'!1920:1920-"`FU!@2"</f>
        <v>#VALUE!</v>
      </c>
      <c r="CQ23" t="e">
        <f>'Technical Skills Weighting'!1921:1921-"`FU!@3"</f>
        <v>#VALUE!</v>
      </c>
      <c r="CR23" t="e">
        <f>'Technical Skills Weighting'!1922:1922-"`FU!@4"</f>
        <v>#VALUE!</v>
      </c>
      <c r="CS23" t="e">
        <f>'Technical Skills Weighting'!1923:1923-"`FU!@5"</f>
        <v>#VALUE!</v>
      </c>
      <c r="CT23" t="e">
        <f>'Technical Skills Weighting'!1924:1924-"`FU!@6"</f>
        <v>#VALUE!</v>
      </c>
      <c r="CU23" t="e">
        <f>'Technical Skills Weighting'!1925:1925-"`FU!@7"</f>
        <v>#VALUE!</v>
      </c>
      <c r="CV23" t="e">
        <f>'Technical Skills Weighting'!1926:1926-"`FU!@8"</f>
        <v>#VALUE!</v>
      </c>
      <c r="CW23" t="e">
        <f>'Technical Skills Weighting'!1927:1927-"`FU!@9"</f>
        <v>#VALUE!</v>
      </c>
      <c r="CX23" t="e">
        <f>'Technical Skills Weighting'!1928:1928-"`FU!@:"</f>
        <v>#VALUE!</v>
      </c>
      <c r="CY23" t="e">
        <f>'Technical Skills Weighting'!1929:1929-"`FU!@;"</f>
        <v>#VALUE!</v>
      </c>
      <c r="CZ23" t="e">
        <f>'Technical Skills Weighting'!1930:1930-"`FU!@&lt;"</f>
        <v>#VALUE!</v>
      </c>
      <c r="DA23" t="e">
        <f>'Technical Skills Weighting'!1931:1931-"`FU!@="</f>
        <v>#VALUE!</v>
      </c>
      <c r="DB23" t="e">
        <f>'Technical Skills Weighting'!1932:1932-"`FU!@&gt;"</f>
        <v>#VALUE!</v>
      </c>
      <c r="DC23" t="e">
        <f>'Technical Skills Weighting'!1933:1933-"`FU!@?"</f>
        <v>#VALUE!</v>
      </c>
      <c r="DD23" t="e">
        <f>'Technical Skills Weighting'!1934:1934-"`FU!@@"</f>
        <v>#VALUE!</v>
      </c>
      <c r="DE23" t="e">
        <f>'Technical Skills Weighting'!1935:1935-"`FU!@A"</f>
        <v>#VALUE!</v>
      </c>
      <c r="DF23" t="e">
        <f>'Technical Skills Weighting'!1936:1936-"`FU!@B"</f>
        <v>#VALUE!</v>
      </c>
      <c r="DG23" t="e">
        <f>'Technical Skills Weighting'!1937:1937-"`FU!@C"</f>
        <v>#VALUE!</v>
      </c>
      <c r="DH23" t="e">
        <f>'Technical Skills Weighting'!1938:1938-"`FU!@D"</f>
        <v>#VALUE!</v>
      </c>
      <c r="DI23" t="e">
        <f>'Technical Skills Weighting'!1939:1939-"`FU!@E"</f>
        <v>#VALUE!</v>
      </c>
      <c r="DJ23" t="e">
        <f>'Technical Skills Weighting'!1940:1940-"`FU!@F"</f>
        <v>#VALUE!</v>
      </c>
      <c r="DK23" t="e">
        <f>'Technical Skills Weighting'!1941:1941-"`FU!@G"</f>
        <v>#VALUE!</v>
      </c>
      <c r="DL23" t="e">
        <f>'Technical Skills Weighting'!1942:1942-"`FU!@H"</f>
        <v>#VALUE!</v>
      </c>
      <c r="DM23" t="e">
        <f>'Technical Skills Weighting'!1943:1943-"`FU!@I"</f>
        <v>#VALUE!</v>
      </c>
      <c r="DN23" t="e">
        <f>'Technical Skills Weighting'!1944:1944-"`FU!@J"</f>
        <v>#VALUE!</v>
      </c>
      <c r="DO23" t="e">
        <f>'Technical Skills Weighting'!1945:1945-"`FU!@K"</f>
        <v>#VALUE!</v>
      </c>
      <c r="DP23" t="e">
        <f>'Technical Skills Weighting'!1946:1946-"`FU!@L"</f>
        <v>#VALUE!</v>
      </c>
      <c r="DQ23" t="e">
        <f>'Technical Skills Weighting'!1947:1947-"`FU!@M"</f>
        <v>#VALUE!</v>
      </c>
      <c r="DR23" t="e">
        <f>'Technical Skills Weighting'!1948:1948-"`FU!@N"</f>
        <v>#VALUE!</v>
      </c>
      <c r="DS23" t="e">
        <f>'Technical Skills Weighting'!1949:1949-"`FU!@O"</f>
        <v>#VALUE!</v>
      </c>
      <c r="DT23" t="e">
        <f>'Technical Skills Weighting'!1950:1950-"`FU!@P"</f>
        <v>#VALUE!</v>
      </c>
      <c r="DU23" t="e">
        <f>'Technical Skills Weighting'!1951:1951-"`FU!@Q"</f>
        <v>#VALUE!</v>
      </c>
      <c r="DV23" t="e">
        <f>'Technical Skills Weighting'!1952:1952-"`FU!@R"</f>
        <v>#VALUE!</v>
      </c>
      <c r="DW23" t="e">
        <f>'Technical Skills Weighting'!1953:1953-"`FU!@S"</f>
        <v>#VALUE!</v>
      </c>
      <c r="DX23" t="e">
        <f>'Technical Skills Weighting'!1954:1954-"`FU!@T"</f>
        <v>#VALUE!</v>
      </c>
      <c r="DY23" t="e">
        <f>'Technical Skills Weighting'!1955:1955-"`FU!@U"</f>
        <v>#VALUE!</v>
      </c>
      <c r="DZ23" t="e">
        <f>'Technical Skills Weighting'!1956:1956-"`FU!@V"</f>
        <v>#VALUE!</v>
      </c>
      <c r="EA23" t="e">
        <f>'Technical Skills Weighting'!1957:1957-"`FU!@W"</f>
        <v>#VALUE!</v>
      </c>
      <c r="EB23" t="e">
        <f>'Technical Skills Weighting'!1958:1958-"`FU!@X"</f>
        <v>#VALUE!</v>
      </c>
      <c r="EC23" t="e">
        <f>'Technical Skills Weighting'!1959:1959-"`FU!@Y"</f>
        <v>#VALUE!</v>
      </c>
      <c r="ED23" t="e">
        <f>'Technical Skills Weighting'!1960:1960-"`FU!@Z"</f>
        <v>#VALUE!</v>
      </c>
      <c r="EE23" t="e">
        <f>'Technical Skills Weighting'!1961:1961-"`FU!@["</f>
        <v>#VALUE!</v>
      </c>
      <c r="EF23" t="e">
        <f>'Technical Skills Weighting'!1962:1962-"`FU!@\"</f>
        <v>#VALUE!</v>
      </c>
      <c r="EG23" t="e">
        <f>'Technical Skills Weighting'!1963:1963-"`FU!@]"</f>
        <v>#VALUE!</v>
      </c>
      <c r="EH23" t="e">
        <f>'Technical Skills Weighting'!1964:1964-"`FU!@^"</f>
        <v>#VALUE!</v>
      </c>
      <c r="EI23" t="e">
        <f>'Technical Skills Weighting'!1965:1965-"`FU!@_"</f>
        <v>#VALUE!</v>
      </c>
      <c r="EJ23" t="e">
        <f>'Technical Skills Weighting'!1966:1966-"`FU!@`"</f>
        <v>#VALUE!</v>
      </c>
      <c r="EK23" t="e">
        <f>'Technical Skills Weighting'!1967:1967-"`FU!@a"</f>
        <v>#VALUE!</v>
      </c>
      <c r="EL23" t="e">
        <f>'Technical Skills Weighting'!1968:1968-"`FU!@b"</f>
        <v>#VALUE!</v>
      </c>
      <c r="EM23" t="e">
        <f>'Technical Skills Weighting'!1969:1969-"`FU!@c"</f>
        <v>#VALUE!</v>
      </c>
      <c r="EN23" t="e">
        <f>'Technical Skills Weighting'!1970:1970-"`FU!@d"</f>
        <v>#VALUE!</v>
      </c>
      <c r="EO23" t="e">
        <f>'Technical Skills Weighting'!1971:1971-"`FU!@e"</f>
        <v>#VALUE!</v>
      </c>
      <c r="EP23" t="e">
        <f>'Technical Skills Weighting'!1972:1972-"`FU!@f"</f>
        <v>#VALUE!</v>
      </c>
      <c r="EQ23" t="e">
        <f>'Technical Skills Weighting'!1973:1973-"`FU!@g"</f>
        <v>#VALUE!</v>
      </c>
      <c r="ER23" t="e">
        <f>'Technical Skills Weighting'!1974:1974-"`FU!@h"</f>
        <v>#VALUE!</v>
      </c>
      <c r="ES23" t="e">
        <f>'Technical Skills Weighting'!1975:1975-"`FU!@i"</f>
        <v>#VALUE!</v>
      </c>
      <c r="ET23" t="e">
        <f>'Technical Skills Weighting'!1976:1976-"`FU!@j"</f>
        <v>#VALUE!</v>
      </c>
      <c r="EU23" t="e">
        <f>'Technical Skills Weighting'!1977:1977-"`FU!@k"</f>
        <v>#VALUE!</v>
      </c>
      <c r="EV23" t="e">
        <f>'Technical Skills Weighting'!1978:1978-"`FU!@l"</f>
        <v>#VALUE!</v>
      </c>
      <c r="EW23" t="e">
        <f>'Technical Skills Weighting'!1979:1979-"`FU!@m"</f>
        <v>#VALUE!</v>
      </c>
      <c r="EX23" t="e">
        <f>'Technical Skills Weighting'!1980:1980-"`FU!@n"</f>
        <v>#VALUE!</v>
      </c>
      <c r="EY23" t="e">
        <f>'Technical Skills Weighting'!1981:1981-"`FU!@o"</f>
        <v>#VALUE!</v>
      </c>
      <c r="EZ23" t="e">
        <f>'Technical Skills Weighting'!1982:1982-"`FU!@p"</f>
        <v>#VALUE!</v>
      </c>
      <c r="FA23" t="e">
        <f>'Technical Skills Weighting'!1983:1983-"`FU!@q"</f>
        <v>#VALUE!</v>
      </c>
      <c r="FB23" t="e">
        <f>'Technical Skills Weighting'!1984:1984-"`FU!@r"</f>
        <v>#VALUE!</v>
      </c>
      <c r="FC23" t="e">
        <f>'Technical Skills Weighting'!1985:1985-"`FU!@s"</f>
        <v>#VALUE!</v>
      </c>
      <c r="FD23" t="e">
        <f>'Technical Skills Weighting'!1986:1986-"`FU!@t"</f>
        <v>#VALUE!</v>
      </c>
      <c r="FE23" t="e">
        <f>'Technical Skills Weighting'!1987:1987-"`FU!@u"</f>
        <v>#VALUE!</v>
      </c>
      <c r="FF23" t="e">
        <f>'Technical Skills Weighting'!1988:1988-"`FU!@v"</f>
        <v>#VALUE!</v>
      </c>
      <c r="FG23" t="e">
        <f>'Technical Skills Weighting'!1989:1989-"`FU!@w"</f>
        <v>#VALUE!</v>
      </c>
      <c r="FH23" t="e">
        <f>'Technical Skills Weighting'!1990:1990-"`FU!@x"</f>
        <v>#VALUE!</v>
      </c>
      <c r="FI23" t="e">
        <f>'Technical Skills Weighting'!1991:1991-"`FU!@y"</f>
        <v>#VALUE!</v>
      </c>
      <c r="FJ23" t="e">
        <f>'Technical Skills Weighting'!1992:1992-"`FU!@z"</f>
        <v>#VALUE!</v>
      </c>
      <c r="FK23" t="e">
        <f>'Technical Skills Weighting'!1993:1993-"`FU!@{"</f>
        <v>#VALUE!</v>
      </c>
      <c r="FL23" t="e">
        <f>'Technical Skills Weighting'!1994:1994-"`FU!@|"</f>
        <v>#VALUE!</v>
      </c>
      <c r="FM23" t="e">
        <f>'Technical Skills Weighting'!1995:1995-"`FU!@}"</f>
        <v>#VALUE!</v>
      </c>
      <c r="FN23" t="e">
        <f>'Technical Skills Weighting'!1996:1996-"`FU!@~"</f>
        <v>#VALUE!</v>
      </c>
      <c r="FO23" t="e">
        <f>'Technical Skills Weighting'!1997:1997-"`FU!A#"</f>
        <v>#VALUE!</v>
      </c>
      <c r="FP23" t="e">
        <f>'Technical Skills Weighting'!1998:1998-"`FU!A$"</f>
        <v>#VALUE!</v>
      </c>
      <c r="FQ23" t="e">
        <f>'Technical Skills Weighting'!1999:1999-"`FU!A%"</f>
        <v>#VALUE!</v>
      </c>
      <c r="FR23" t="e">
        <f>'Technical Skills Weighting'!2000:2000-"`FU!A&amp;"</f>
        <v>#VALUE!</v>
      </c>
      <c r="FS23" t="e">
        <f>'Technical Skills Weighting'!2001:2001-"`FU!A'"</f>
        <v>#VALUE!</v>
      </c>
      <c r="FT23" t="e">
        <f>'Technical Skills Weighting'!2002:2002-"`FU!A("</f>
        <v>#VALUE!</v>
      </c>
      <c r="FU23" t="e">
        <f>'Technical Skills Weighting'!2003:2003-"`FU!A)"</f>
        <v>#VALUE!</v>
      </c>
      <c r="FV23" t="e">
        <f>'Technical Skills Weighting'!2004:2004-"`FU!A."</f>
        <v>#VALUE!</v>
      </c>
      <c r="FW23" t="e">
        <f>'Technical Skills Weighting'!2005:2005-"`FU!A/"</f>
        <v>#VALUE!</v>
      </c>
      <c r="FX23" t="e">
        <f>'Technical Skills Weighting'!2006:2006-"`FU!A0"</f>
        <v>#VALUE!</v>
      </c>
      <c r="FY23" t="e">
        <f>'Technical Skills Weighting'!2007:2007-"`FU!A1"</f>
        <v>#VALUE!</v>
      </c>
      <c r="FZ23" t="e">
        <f>'Technical Skills Weighting'!2008:2008-"`FU!A2"</f>
        <v>#VALUE!</v>
      </c>
      <c r="GA23" t="e">
        <f>'Technical Skills Weighting'!2009:2009-"`FU!A3"</f>
        <v>#VALUE!</v>
      </c>
      <c r="GB23" t="e">
        <f>'Technical Skills Weighting'!2010:2010-"`FU!A4"</f>
        <v>#VALUE!</v>
      </c>
      <c r="GC23" t="e">
        <f>'Technical Skills Weighting'!2011:2011-"`FU!A5"</f>
        <v>#VALUE!</v>
      </c>
      <c r="GD23" t="e">
        <f>'Technical Skills Weighting'!2012:2012-"`FU!A6"</f>
        <v>#VALUE!</v>
      </c>
      <c r="GE23" t="e">
        <f>'Technical Skills Weighting'!2013:2013-"`FU!A7"</f>
        <v>#VALUE!</v>
      </c>
      <c r="GF23" t="e">
        <f>'Technical Skills Weighting'!2014:2014-"`FU!A8"</f>
        <v>#VALUE!</v>
      </c>
      <c r="GG23" t="e">
        <f>'Technical Skills Weighting'!2015:2015-"`FU!A9"</f>
        <v>#VALUE!</v>
      </c>
      <c r="GH23" t="e">
        <f>'Technical Skills Weighting'!2016:2016-"`FU!A:"</f>
        <v>#VALUE!</v>
      </c>
      <c r="GI23" t="e">
        <f>'Technical Skills Weighting'!2017:2017-"`FU!A;"</f>
        <v>#VALUE!</v>
      </c>
      <c r="GJ23" t="e">
        <f>'Technical Skills Weighting'!2018:2018-"`FU!A&lt;"</f>
        <v>#VALUE!</v>
      </c>
      <c r="GK23" t="e">
        <f>'Technical Skills Weighting'!2019:2019-"`FU!A="</f>
        <v>#VALUE!</v>
      </c>
      <c r="GL23" t="e">
        <f>'Technical Skills Weighting'!2020:2020-"`FU!A&gt;"</f>
        <v>#VALUE!</v>
      </c>
      <c r="GM23" t="e">
        <f>'Technical Skills Weighting'!2021:2021-"`FU!A?"</f>
        <v>#VALUE!</v>
      </c>
      <c r="GN23" t="e">
        <f>'Technical Skills Weighting'!2022:2022-"`FU!A@"</f>
        <v>#VALUE!</v>
      </c>
      <c r="GO23" t="e">
        <f>'Technical Skills Weighting'!2023:2023-"`FU!AA"</f>
        <v>#VALUE!</v>
      </c>
      <c r="GP23" t="e">
        <f>'Technical Skills Weighting'!2024:2024-"`FU!AB"</f>
        <v>#VALUE!</v>
      </c>
      <c r="GQ23" t="e">
        <f>'Technical Skills Weighting'!2025:2025-"`FU!AC"</f>
        <v>#VALUE!</v>
      </c>
      <c r="GR23" t="e">
        <f>'Technical Skills Weighting'!2026:2026-"`FU!AD"</f>
        <v>#VALUE!</v>
      </c>
      <c r="GS23" t="e">
        <f>'Technical Skills Weighting'!2027:2027-"`FU!AE"</f>
        <v>#VALUE!</v>
      </c>
      <c r="GT23" t="e">
        <f>'Technical Skills Weighting'!2028:2028-"`FU!AF"</f>
        <v>#VALUE!</v>
      </c>
      <c r="GU23" t="e">
        <f>'Technical Skills Weighting'!2029:2029-"`FU!AG"</f>
        <v>#VALUE!</v>
      </c>
      <c r="GV23" t="e">
        <f>'Technical Skills Weighting'!2030:2030-"`FU!AH"</f>
        <v>#VALUE!</v>
      </c>
      <c r="GW23" t="e">
        <f>'Technical Skills Weighting'!2031:2031-"`FU!AI"</f>
        <v>#VALUE!</v>
      </c>
      <c r="GX23" t="e">
        <f>'Technical Skills Weighting'!2032:2032-"`FU!AJ"</f>
        <v>#VALUE!</v>
      </c>
      <c r="GY23" t="e">
        <f>'Technical Skills Weighting'!2033:2033-"`FU!AK"</f>
        <v>#VALUE!</v>
      </c>
      <c r="GZ23" t="e">
        <f>'Technical Skills Weighting'!2034:2034-"`FU!AL"</f>
        <v>#VALUE!</v>
      </c>
      <c r="HA23" t="e">
        <f>'Technical Skills Weighting'!2035:2035-"`FU!AM"</f>
        <v>#VALUE!</v>
      </c>
      <c r="HB23" t="e">
        <f>'Technical Skills Weighting'!2036:2036-"`FU!AN"</f>
        <v>#VALUE!</v>
      </c>
      <c r="HC23" t="e">
        <f>'Technical Skills Weighting'!2037:2037-"`FU!AO"</f>
        <v>#VALUE!</v>
      </c>
      <c r="HD23" t="e">
        <f>'Technical Skills Weighting'!2038:2038-"`FU!AP"</f>
        <v>#VALUE!</v>
      </c>
      <c r="HE23" t="e">
        <f>'Technical Skills Weighting'!2039:2039-"`FU!AQ"</f>
        <v>#VALUE!</v>
      </c>
      <c r="HF23" t="e">
        <f>'Technical Skills Weighting'!2040:2040-"`FU!AR"</f>
        <v>#VALUE!</v>
      </c>
      <c r="HG23" t="e">
        <f>'Technical Skills Weighting'!2041:2041-"`FU!AS"</f>
        <v>#VALUE!</v>
      </c>
      <c r="HH23" t="e">
        <f>'Technical Skills Weighting'!2042:2042-"`FU!AT"</f>
        <v>#VALUE!</v>
      </c>
      <c r="HI23" t="e">
        <f>'Technical Skills Weighting'!2043:2043-"`FU!AU"</f>
        <v>#VALUE!</v>
      </c>
      <c r="HJ23" t="e">
        <f>'Technical Skills Weighting'!2044:2044-"`FU!AV"</f>
        <v>#VALUE!</v>
      </c>
      <c r="HK23" t="e">
        <f>'Technical Skills Weighting'!2045:2045-"`FU!AW"</f>
        <v>#VALUE!</v>
      </c>
      <c r="HL23" t="e">
        <f>'Technical Skills Weighting'!2046:2046-"`FU!AX"</f>
        <v>#VALUE!</v>
      </c>
      <c r="HM23" t="e">
        <f>'Technical Skills Weighting'!2047:2047-"`FU!AY"</f>
        <v>#VALUE!</v>
      </c>
      <c r="HN23" t="e">
        <f>'Technical Skills Weighting'!2048:2048-"`FU!AZ"</f>
        <v>#VALUE!</v>
      </c>
      <c r="HO23" t="e">
        <f>'Technical Skills Weighting'!2049:2049-"`FU!A["</f>
        <v>#VALUE!</v>
      </c>
      <c r="HP23" t="e">
        <f>'Technical Skills Weighting'!2050:2050-"`FU!A\"</f>
        <v>#VALUE!</v>
      </c>
      <c r="HQ23" t="e">
        <f>'Technical Skills Weighting'!2051:2051-"`FU!A]"</f>
        <v>#VALUE!</v>
      </c>
      <c r="HR23" t="e">
        <f>'Technical Skills Weighting'!2052:2052-"`FU!A^"</f>
        <v>#VALUE!</v>
      </c>
      <c r="HS23" t="e">
        <f>'Technical Skills Weighting'!2053:2053-"`FU!A_"</f>
        <v>#VALUE!</v>
      </c>
      <c r="HT23" t="e">
        <f>'Technical Skills Weighting'!2054:2054-"`FU!A`"</f>
        <v>#VALUE!</v>
      </c>
      <c r="HU23" t="e">
        <f>'Technical Skills Weighting'!2055:2055-"`FU!Aa"</f>
        <v>#VALUE!</v>
      </c>
      <c r="HV23" t="e">
        <f>'Technical Skills Weighting'!2056:2056-"`FU!Ab"</f>
        <v>#VALUE!</v>
      </c>
      <c r="HW23" t="e">
        <f>'Technical Skills Weighting'!2057:2057-"`FU!Ac"</f>
        <v>#VALUE!</v>
      </c>
      <c r="HX23" t="e">
        <f>'Technical Skills Weighting'!2058:2058-"`FU!Ad"</f>
        <v>#VALUE!</v>
      </c>
      <c r="HY23" t="e">
        <f>'Technical Skills Weighting'!2059:2059-"`FU!Ae"</f>
        <v>#VALUE!</v>
      </c>
      <c r="HZ23" t="e">
        <f>'Technical Skills Weighting'!2060:2060-"`FU!Af"</f>
        <v>#VALUE!</v>
      </c>
      <c r="IA23" t="e">
        <f>'Technical Skills Weighting'!2061:2061-"`FU!Ag"</f>
        <v>#VALUE!</v>
      </c>
      <c r="IB23" t="e">
        <f>'Technical Skills Weighting'!2062:2062-"`FU!Ah"</f>
        <v>#VALUE!</v>
      </c>
      <c r="IC23" t="e">
        <f>'Technical Skills Weighting'!2063:2063-"`FU!Ai"</f>
        <v>#VALUE!</v>
      </c>
      <c r="ID23" t="e">
        <f>'Technical Skills Weighting'!2064:2064-"`FU!Aj"</f>
        <v>#VALUE!</v>
      </c>
      <c r="IE23" t="e">
        <f>'Technical Skills Weighting'!2065:2065-"`FU!Ak"</f>
        <v>#VALUE!</v>
      </c>
      <c r="IF23" t="e">
        <f>'Technical Skills Weighting'!2066:2066-"`FU!Al"</f>
        <v>#VALUE!</v>
      </c>
      <c r="IG23" t="e">
        <f>'Technical Skills Weighting'!2067:2067-"`FU!Am"</f>
        <v>#VALUE!</v>
      </c>
      <c r="IH23" t="e">
        <f>'Technical Skills Weighting'!2068:2068-"`FU!An"</f>
        <v>#VALUE!</v>
      </c>
      <c r="II23" t="e">
        <f>'Technical Skills Weighting'!2069:2069-"`FU!Ao"</f>
        <v>#VALUE!</v>
      </c>
      <c r="IJ23" t="e">
        <f>'Technical Skills Weighting'!2070:2070-"`FU!Ap"</f>
        <v>#VALUE!</v>
      </c>
      <c r="IK23" t="e">
        <f>'Technical Skills Weighting'!2071:2071-"`FU!Aq"</f>
        <v>#VALUE!</v>
      </c>
      <c r="IL23" t="e">
        <f>'Technical Skills Weighting'!2072:2072-"`FU!Ar"</f>
        <v>#VALUE!</v>
      </c>
      <c r="IM23" t="e">
        <f>'Technical Skills Weighting'!2073:2073-"`FU!As"</f>
        <v>#VALUE!</v>
      </c>
      <c r="IN23" t="e">
        <f>'Technical Skills Weighting'!2074:2074-"`FU!At"</f>
        <v>#VALUE!</v>
      </c>
      <c r="IO23" t="e">
        <f>'Technical Skills Weighting'!2075:2075-"`FU!Au"</f>
        <v>#VALUE!</v>
      </c>
      <c r="IP23" t="e">
        <f>'Technical Skills Weighting'!2076:2076-"`FU!Av"</f>
        <v>#VALUE!</v>
      </c>
      <c r="IQ23" t="e">
        <f>'Technical Skills Weighting'!2077:2077-"`FU!Aw"</f>
        <v>#VALUE!</v>
      </c>
      <c r="IR23" t="e">
        <f>'Technical Skills Weighting'!2078:2078-"`FU!Ax"</f>
        <v>#VALUE!</v>
      </c>
      <c r="IS23" t="e">
        <f>'Technical Skills Weighting'!2079:2079-"`FU!Ay"</f>
        <v>#VALUE!</v>
      </c>
      <c r="IT23" t="e">
        <f>'Technical Skills Weighting'!2080:2080-"`FU!Az"</f>
        <v>#VALUE!</v>
      </c>
      <c r="IU23" t="e">
        <f>'Technical Skills Weighting'!2081:2081-"`FU!A{"</f>
        <v>#VALUE!</v>
      </c>
      <c r="IV23" t="e">
        <f>'Technical Skills Weighting'!2082:2082-"`FU!A|"</f>
        <v>#VALUE!</v>
      </c>
    </row>
    <row r="24" spans="6:256" x14ac:dyDescent="0.25">
      <c r="F24" t="e">
        <f>'Technical Skills Weighting'!2083:2083-"`FU!A}"</f>
        <v>#VALUE!</v>
      </c>
      <c r="G24" t="e">
        <f>'Technical Skills Weighting'!2084:2084-"`FU!A~"</f>
        <v>#VALUE!</v>
      </c>
      <c r="H24" t="e">
        <f>'Technical Skills Weighting'!2085:2085-"`FU!B#"</f>
        <v>#VALUE!</v>
      </c>
      <c r="I24" t="e">
        <f>'Technical Skills Weighting'!2086:2086-"`FU!B$"</f>
        <v>#VALUE!</v>
      </c>
      <c r="J24" t="e">
        <f>'Technical Skills Weighting'!2087:2087-"`FU!B%"</f>
        <v>#VALUE!</v>
      </c>
      <c r="K24" t="e">
        <f>'Technical Skills Weighting'!2088:2088-"`FU!B&amp;"</f>
        <v>#VALUE!</v>
      </c>
      <c r="L24" t="e">
        <f>'Technical Skills Weighting'!2089:2089-"`FU!B'"</f>
        <v>#VALUE!</v>
      </c>
      <c r="M24" t="e">
        <f>'Technical Skills Weighting'!2090:2090-"`FU!B("</f>
        <v>#VALUE!</v>
      </c>
      <c r="N24" t="e">
        <f>'Technical Skills Weighting'!2091:2091-"`FU!B)"</f>
        <v>#VALUE!</v>
      </c>
      <c r="O24" t="e">
        <f>'Technical Skills Weighting'!2092:2092-"`FU!B."</f>
        <v>#VALUE!</v>
      </c>
      <c r="P24" t="e">
        <f>'Technical Skills Weighting'!2093:2093-"`FU!B/"</f>
        <v>#VALUE!</v>
      </c>
      <c r="Q24" t="e">
        <f>'Technical Skills Weighting'!2094:2094-"`FU!B0"</f>
        <v>#VALUE!</v>
      </c>
      <c r="R24" t="e">
        <f>'Technical Skills Weighting'!2095:2095-"`FU!B1"</f>
        <v>#VALUE!</v>
      </c>
      <c r="S24" t="e">
        <f>'Technical Skills Weighting'!2096:2096-"`FU!B2"</f>
        <v>#VALUE!</v>
      </c>
      <c r="T24" t="e">
        <f>'Technical Skills Weighting'!2097:2097-"`FU!B3"</f>
        <v>#VALUE!</v>
      </c>
      <c r="U24" t="e">
        <f>'Technical Skills Weighting'!2098:2098-"`FU!B4"</f>
        <v>#VALUE!</v>
      </c>
      <c r="V24" t="e">
        <f>'Technical Skills Weighting'!2099:2099-"`FU!B5"</f>
        <v>#VALUE!</v>
      </c>
      <c r="W24" t="e">
        <f>'Technical Skills Weighting'!2100:2100-"`FU!B6"</f>
        <v>#VALUE!</v>
      </c>
      <c r="X24" t="e">
        <f>'Technical Skills Weighting'!2101:2101-"`FU!B7"</f>
        <v>#VALUE!</v>
      </c>
      <c r="Y24" t="e">
        <f>'Technical Skills Weighting'!2102:2102-"`FU!B8"</f>
        <v>#VALUE!</v>
      </c>
      <c r="Z24" t="e">
        <f>'Technical Skills Weighting'!2103:2103-"`FU!B9"</f>
        <v>#VALUE!</v>
      </c>
      <c r="AA24" t="e">
        <f>'Technical Skills Weighting'!2104:2104-"`FU!B:"</f>
        <v>#VALUE!</v>
      </c>
      <c r="AB24" t="e">
        <f>'Technical Skills Weighting'!2105:2105-"`FU!B;"</f>
        <v>#VALUE!</v>
      </c>
      <c r="AC24" t="e">
        <f>'Technical Skills Weighting'!2106:2106-"`FU!B&lt;"</f>
        <v>#VALUE!</v>
      </c>
      <c r="AD24" t="e">
        <f>'Technical Skills Weighting'!2107:2107-"`FU!B="</f>
        <v>#VALUE!</v>
      </c>
      <c r="AE24" t="e">
        <f>'Technical Skills Weighting'!2108:2108-"`FU!B&gt;"</f>
        <v>#VALUE!</v>
      </c>
      <c r="AF24" t="e">
        <f>'Technical Skills Weighting'!2109:2109-"`FU!B?"</f>
        <v>#VALUE!</v>
      </c>
      <c r="AG24" t="e">
        <f>'Technical Skills Weighting'!2110:2110-"`FU!B@"</f>
        <v>#VALUE!</v>
      </c>
      <c r="AH24" t="e">
        <f>'Technical Skills Weighting'!2111:2111-"`FU!BA"</f>
        <v>#VALUE!</v>
      </c>
      <c r="AI24" t="e">
        <f>'Technical Skills Weighting'!2112:2112-"`FU!BB"</f>
        <v>#VALUE!</v>
      </c>
      <c r="AJ24" t="e">
        <f>'Technical Skills Weighting'!2113:2113-"`FU!BC"</f>
        <v>#VALUE!</v>
      </c>
      <c r="AK24" t="e">
        <f>'Technical Skills Weighting'!2114:2114-"`FU!BD"</f>
        <v>#VALUE!</v>
      </c>
      <c r="AL24" t="e">
        <f>'Technical Skills Weighting'!2115:2115-"`FU!BE"</f>
        <v>#VALUE!</v>
      </c>
      <c r="AM24" t="e">
        <f>'Technical Skills Weighting'!2116:2116-"`FU!BF"</f>
        <v>#VALUE!</v>
      </c>
      <c r="AN24" t="e">
        <f>'Technical Skills Weighting'!2117:2117-"`FU!BG"</f>
        <v>#VALUE!</v>
      </c>
      <c r="AO24" t="e">
        <f>'Technical Skills Weighting'!2118:2118-"`FU!BH"</f>
        <v>#VALUE!</v>
      </c>
      <c r="AP24" t="e">
        <f>'Technical Skills Weighting'!2119:2119-"`FU!BI"</f>
        <v>#VALUE!</v>
      </c>
      <c r="AQ24" t="e">
        <f>'Technical Skills Weighting'!2120:2120-"`FU!BJ"</f>
        <v>#VALUE!</v>
      </c>
      <c r="AR24" t="e">
        <f>'Technical Skills Weighting'!2121:2121-"`FU!BK"</f>
        <v>#VALUE!</v>
      </c>
      <c r="AS24" t="e">
        <f>'Technical Skills Weighting'!2122:2122-"`FU!BL"</f>
        <v>#VALUE!</v>
      </c>
      <c r="AT24" t="e">
        <f>'Technical Skills Weighting'!2123:2123-"`FU!BM"</f>
        <v>#VALUE!</v>
      </c>
      <c r="AU24" t="e">
        <f>'Technical Skills Weighting'!2124:2124-"`FU!BN"</f>
        <v>#VALUE!</v>
      </c>
      <c r="AV24" t="e">
        <f>'Technical Skills Weighting'!2125:2125-"`FU!BO"</f>
        <v>#VALUE!</v>
      </c>
      <c r="AW24" t="e">
        <f>'Technical Skills Weighting'!2126:2126-"`FU!BP"</f>
        <v>#VALUE!</v>
      </c>
      <c r="AX24" t="e">
        <f>'Technical Skills Weighting'!2127:2127-"`FU!BQ"</f>
        <v>#VALUE!</v>
      </c>
      <c r="AY24" t="e">
        <f>'Technical Skills Weighting'!2128:2128-"`FU!BR"</f>
        <v>#VALUE!</v>
      </c>
      <c r="AZ24" t="e">
        <f>'Technical Skills Weighting'!2129:2129-"`FU!BS"</f>
        <v>#VALUE!</v>
      </c>
      <c r="BA24" t="e">
        <f>'Technical Skills Weighting'!2130:2130-"`FU!BT"</f>
        <v>#VALUE!</v>
      </c>
      <c r="BB24" t="e">
        <f>'Technical Skills Weighting'!2131:2131-"`FU!BU"</f>
        <v>#VALUE!</v>
      </c>
      <c r="BC24" t="e">
        <f>'Technical Skills Weighting'!2132:2132-"`FU!BV"</f>
        <v>#VALUE!</v>
      </c>
      <c r="BD24" t="e">
        <f>'Technical Skills Weighting'!2133:2133-"`FU!BW"</f>
        <v>#VALUE!</v>
      </c>
      <c r="BE24" t="e">
        <f>'Technical Skills Weighting'!2134:2134-"`FU!BX"</f>
        <v>#VALUE!</v>
      </c>
      <c r="BF24" t="e">
        <f>'Technical Skills Weighting'!2135:2135-"`FU!BY"</f>
        <v>#VALUE!</v>
      </c>
      <c r="BG24" t="e">
        <f>'Technical Skills Weighting'!2136:2136-"`FU!BZ"</f>
        <v>#VALUE!</v>
      </c>
      <c r="BH24" t="e">
        <f>'Technical Skills Weighting'!2137:2137-"`FU!B["</f>
        <v>#VALUE!</v>
      </c>
      <c r="BI24" t="e">
        <f>'Technical Skills Weighting'!2138:2138-"`FU!B\"</f>
        <v>#VALUE!</v>
      </c>
      <c r="BJ24" t="e">
        <f>'Technical Skills Weighting'!2139:2139-"`FU!B]"</f>
        <v>#VALUE!</v>
      </c>
      <c r="BK24" t="e">
        <f>'Technical Skills Weighting'!2140:2140-"`FU!B^"</f>
        <v>#VALUE!</v>
      </c>
      <c r="BL24" t="e">
        <f>'Technical Skills Weighting'!2141:2141-"`FU!B_"</f>
        <v>#VALUE!</v>
      </c>
      <c r="BM24" t="e">
        <f>'Technical Skills Weighting'!2142:2142-"`FU!B`"</f>
        <v>#VALUE!</v>
      </c>
      <c r="BN24" t="e">
        <f>'Technical Skills Weighting'!2143:2143-"`FU!Ba"</f>
        <v>#VALUE!</v>
      </c>
      <c r="BO24" t="e">
        <f>'Technical Skills Weighting'!2144:2144-"`FU!Bb"</f>
        <v>#VALUE!</v>
      </c>
      <c r="BP24" t="e">
        <f>'Technical Skills Weighting'!2145:2145-"`FU!Bc"</f>
        <v>#VALUE!</v>
      </c>
      <c r="BQ24" t="e">
        <f>'Technical Skills Weighting'!2146:2146-"`FU!Bd"</f>
        <v>#VALUE!</v>
      </c>
      <c r="BR24" t="e">
        <f>'Technical Skills Weighting'!2147:2147-"`FU!Be"</f>
        <v>#VALUE!</v>
      </c>
      <c r="BS24" t="e">
        <f>'Technical Skills Weighting'!2148:2148-"`FU!Bf"</f>
        <v>#VALUE!</v>
      </c>
      <c r="BT24" t="e">
        <f>'Technical Skills Weighting'!2149:2149-"`FU!Bg"</f>
        <v>#VALUE!</v>
      </c>
      <c r="BU24" t="e">
        <f>'Technical Skills Weighting'!2150:2150-"`FU!Bh"</f>
        <v>#VALUE!</v>
      </c>
      <c r="BV24" t="e">
        <f>'Technical Skills Weighting'!2151:2151-"`FU!Bi"</f>
        <v>#VALUE!</v>
      </c>
      <c r="BW24" t="e">
        <f>'Technical Skills Weighting'!2152:2152-"`FU!Bj"</f>
        <v>#VALUE!</v>
      </c>
      <c r="BX24" t="e">
        <f>'Technical Skills Weighting'!2153:2153-"`FU!Bk"</f>
        <v>#VALUE!</v>
      </c>
      <c r="BY24" t="e">
        <f>'Technical Skills Weighting'!2154:2154-"`FU!Bl"</f>
        <v>#VALUE!</v>
      </c>
      <c r="BZ24" t="e">
        <f>'Technical Skills Weighting'!2155:2155-"`FU!Bm"</f>
        <v>#VALUE!</v>
      </c>
      <c r="CA24" t="e">
        <f>'Technical Skills Weighting'!2156:2156-"`FU!Bn"</f>
        <v>#VALUE!</v>
      </c>
      <c r="CB24" t="e">
        <f>'Technical Skills Weighting'!2157:2157-"`FU!Bo"</f>
        <v>#VALUE!</v>
      </c>
      <c r="CC24" t="e">
        <f>'Technical Skills Weighting'!2158:2158-"`FU!Bp"</f>
        <v>#VALUE!</v>
      </c>
      <c r="CD24" t="e">
        <f>'Technical Skills Weighting'!2159:2159-"`FU!Bq"</f>
        <v>#VALUE!</v>
      </c>
      <c r="CE24" t="e">
        <f>'Technical Skills Weighting'!2160:2160-"`FU!Br"</f>
        <v>#VALUE!</v>
      </c>
      <c r="CF24" t="e">
        <f>'Technical Skills Weighting'!2161:2161-"`FU!Bs"</f>
        <v>#VALUE!</v>
      </c>
      <c r="CG24" t="e">
        <f>'Technical Skills Weighting'!2162:2162-"`FU!Bt"</f>
        <v>#VALUE!</v>
      </c>
      <c r="CH24" t="e">
        <f>'Technical Skills Weighting'!2163:2163-"`FU!Bu"</f>
        <v>#VALUE!</v>
      </c>
      <c r="CI24" t="e">
        <f>'Technical Skills Weighting'!2164:2164-"`FU!Bv"</f>
        <v>#VALUE!</v>
      </c>
      <c r="CJ24" t="e">
        <f>'Technical Skills Weighting'!2165:2165-"`FU!Bw"</f>
        <v>#VALUE!</v>
      </c>
      <c r="CK24" t="e">
        <f>'Technical Skills Weighting'!2166:2166-"`FU!Bx"</f>
        <v>#VALUE!</v>
      </c>
      <c r="CL24" t="e">
        <f>'Technical Skills Weighting'!2167:2167-"`FU!By"</f>
        <v>#VALUE!</v>
      </c>
      <c r="CM24" t="e">
        <f>'Technical Skills Weighting'!2168:2168-"`FU!Bz"</f>
        <v>#VALUE!</v>
      </c>
      <c r="CN24" t="e">
        <f>'Technical Skills Weighting'!2169:2169-"`FU!B{"</f>
        <v>#VALUE!</v>
      </c>
      <c r="CO24" t="e">
        <f>'Technical Skills Weighting'!2170:2170-"`FU!B|"</f>
        <v>#VALUE!</v>
      </c>
      <c r="CP24" t="e">
        <f>'Technical Skills Weighting'!2171:2171-"`FU!B}"</f>
        <v>#VALUE!</v>
      </c>
      <c r="CQ24" t="e">
        <f>'Technical Skills Weighting'!2172:2172-"`FU!B~"</f>
        <v>#VALUE!</v>
      </c>
      <c r="CR24" t="e">
        <f>'Technical Skills Weighting'!2173:2173-"`FU!C#"</f>
        <v>#VALUE!</v>
      </c>
      <c r="CS24" t="e">
        <f>'Technical Skills Weighting'!2174:2174-"`FU!C$"</f>
        <v>#VALUE!</v>
      </c>
      <c r="CT24" t="e">
        <f>'Technical Skills Weighting'!2175:2175-"`FU!C%"</f>
        <v>#VALUE!</v>
      </c>
      <c r="CU24" t="e">
        <f>'Technical Skills Weighting'!2176:2176-"`FU!C&amp;"</f>
        <v>#VALUE!</v>
      </c>
      <c r="CV24" t="e">
        <f>'Technical Skills Weighting'!2177:2177-"`FU!C'"</f>
        <v>#VALUE!</v>
      </c>
      <c r="CW24" t="e">
        <f>'Technical Skills Weighting'!2178:2178-"`FU!C("</f>
        <v>#VALUE!</v>
      </c>
      <c r="CX24" t="e">
        <f>'Technical Skills Weighting'!2179:2179-"`FU!C)"</f>
        <v>#VALUE!</v>
      </c>
      <c r="CY24" t="e">
        <f>'Technical Skills Weighting'!2180:2180-"`FU!C."</f>
        <v>#VALUE!</v>
      </c>
      <c r="CZ24" t="e">
        <f>'Technical Skills Weighting'!2181:2181-"`FU!C/"</f>
        <v>#VALUE!</v>
      </c>
      <c r="DA24" t="e">
        <f>'Technical Skills Weighting'!2182:2182-"`FU!C0"</f>
        <v>#VALUE!</v>
      </c>
      <c r="DB24" t="e">
        <f>'Technical Skills Weighting'!2183:2183-"`FU!C1"</f>
        <v>#VALUE!</v>
      </c>
      <c r="DC24" t="e">
        <f>'Technical Skills Weighting'!2184:2184-"`FU!C2"</f>
        <v>#VALUE!</v>
      </c>
      <c r="DD24" t="e">
        <f>'Technical Skills Weighting'!2185:2185-"`FU!C3"</f>
        <v>#VALUE!</v>
      </c>
      <c r="DE24" t="e">
        <f>'Technical Skills Weighting'!2186:2186-"`FU!C4"</f>
        <v>#VALUE!</v>
      </c>
      <c r="DF24" t="e">
        <f>'Technical Skills Weighting'!2187:2187-"`FU!C5"</f>
        <v>#VALUE!</v>
      </c>
      <c r="DG24" t="e">
        <f>'Technical Skills Weighting'!2188:2188-"`FU!C6"</f>
        <v>#VALUE!</v>
      </c>
      <c r="DH24" t="e">
        <f>'Technical Skills Weighting'!2189:2189-"`FU!C7"</f>
        <v>#VALUE!</v>
      </c>
      <c r="DI24" t="e">
        <f>'Technical Skills Weighting'!2190:2190-"`FU!C8"</f>
        <v>#VALUE!</v>
      </c>
      <c r="DJ24" t="e">
        <f>'Technical Skills Weighting'!2191:2191-"`FU!C9"</f>
        <v>#VALUE!</v>
      </c>
      <c r="DK24" t="e">
        <f>'Technical Skills Weighting'!2192:2192-"`FU!C:"</f>
        <v>#VALUE!</v>
      </c>
      <c r="DL24" t="e">
        <f>'Technical Skills Weighting'!2193:2193-"`FU!C;"</f>
        <v>#VALUE!</v>
      </c>
      <c r="DM24" t="e">
        <f>'Technical Skills Weighting'!2194:2194-"`FU!C&lt;"</f>
        <v>#VALUE!</v>
      </c>
      <c r="DN24" t="e">
        <f>'Technical Skills Weighting'!2195:2195-"`FU!C="</f>
        <v>#VALUE!</v>
      </c>
      <c r="DO24" t="e">
        <f>'Technical Skills Weighting'!2196:2196-"`FU!C&gt;"</f>
        <v>#VALUE!</v>
      </c>
      <c r="DP24" t="e">
        <f>'Technical Skills Weighting'!2197:2197-"`FU!C?"</f>
        <v>#VALUE!</v>
      </c>
      <c r="DQ24" t="e">
        <f>'Technical Skills Weighting'!2198:2198-"`FU!C@"</f>
        <v>#VALUE!</v>
      </c>
      <c r="DR24" t="e">
        <f>'Technical Skills Weighting'!2199:2199-"`FU!CA"</f>
        <v>#VALUE!</v>
      </c>
      <c r="DS24" t="e">
        <f>'Technical Skills Weighting'!2200:2200-"`FU!CB"</f>
        <v>#VALUE!</v>
      </c>
      <c r="DT24" t="e">
        <f>'Technical Skills Weighting'!2201:2201-"`FU!CC"</f>
        <v>#VALUE!</v>
      </c>
      <c r="DU24" t="e">
        <f>'Technical Skills Weighting'!2202:2202-"`FU!CD"</f>
        <v>#VALUE!</v>
      </c>
      <c r="DV24" t="e">
        <f>'Technical Skills Weighting'!2203:2203-"`FU!CE"</f>
        <v>#VALUE!</v>
      </c>
      <c r="DW24" t="e">
        <f>'Technical Skills Weighting'!2204:2204-"`FU!CF"</f>
        <v>#VALUE!</v>
      </c>
      <c r="DX24" t="e">
        <f>'Technical Skills Weighting'!2205:2205-"`FU!CG"</f>
        <v>#VALUE!</v>
      </c>
      <c r="DY24" t="e">
        <f>'Technical Skills Weighting'!2206:2206-"`FU!CH"</f>
        <v>#VALUE!</v>
      </c>
      <c r="DZ24" t="e">
        <f>'Technical Skills Weighting'!2207:2207-"`FU!CI"</f>
        <v>#VALUE!</v>
      </c>
      <c r="EA24" t="e">
        <f>'Technical Skills Weighting'!2208:2208-"`FU!CJ"</f>
        <v>#VALUE!</v>
      </c>
      <c r="EB24" t="e">
        <f>'Technical Skills Weighting'!2209:2209-"`FU!CK"</f>
        <v>#VALUE!</v>
      </c>
      <c r="EC24" t="e">
        <f>'Technical Skills Weighting'!2210:2210-"`FU!CL"</f>
        <v>#VALUE!</v>
      </c>
      <c r="ED24" t="e">
        <f>'Technical Skills Weighting'!2211:2211-"`FU!CM"</f>
        <v>#VALUE!</v>
      </c>
      <c r="EE24" t="e">
        <f>'Technical Skills Weighting'!2212:2212-"`FU!CN"</f>
        <v>#VALUE!</v>
      </c>
      <c r="EF24" t="e">
        <f>'Technical Skills Weighting'!2213:2213-"`FU!CO"</f>
        <v>#VALUE!</v>
      </c>
      <c r="EG24" t="e">
        <f>'Technical Skills Weighting'!2214:2214-"`FU!CP"</f>
        <v>#VALUE!</v>
      </c>
      <c r="EH24" t="e">
        <f>'Technical Skills Weighting'!2215:2215-"`FU!CQ"</f>
        <v>#VALUE!</v>
      </c>
      <c r="EI24" t="e">
        <f>'Technical Skills Weighting'!2216:2216-"`FU!CR"</f>
        <v>#VALUE!</v>
      </c>
      <c r="EJ24" t="e">
        <f>'Technical Skills Weighting'!2217:2217-"`FU!CS"</f>
        <v>#VALUE!</v>
      </c>
      <c r="EK24" t="e">
        <f>'Technical Skills Weighting'!2218:2218-"`FU!CT"</f>
        <v>#VALUE!</v>
      </c>
      <c r="EL24" t="e">
        <f>'Technical Skills Weighting'!2219:2219-"`FU!CU"</f>
        <v>#VALUE!</v>
      </c>
      <c r="EM24" t="e">
        <f>'Technical Skills Weighting'!2220:2220-"`FU!CV"</f>
        <v>#VALUE!</v>
      </c>
      <c r="EN24" t="e">
        <f>'Technical Skills Weighting'!2221:2221-"`FU!CW"</f>
        <v>#VALUE!</v>
      </c>
      <c r="EO24" t="e">
        <f>'Technical Skills Weighting'!2222:2222-"`FU!CX"</f>
        <v>#VALUE!</v>
      </c>
      <c r="EP24" t="e">
        <f>'Technical Skills Weighting'!2223:2223-"`FU!CY"</f>
        <v>#VALUE!</v>
      </c>
      <c r="EQ24" t="e">
        <f>'Technical Skills Weighting'!2224:2224-"`FU!CZ"</f>
        <v>#VALUE!</v>
      </c>
      <c r="ER24" t="e">
        <f>'Technical Skills Weighting'!2225:2225-"`FU!C["</f>
        <v>#VALUE!</v>
      </c>
      <c r="ES24" t="e">
        <f>'Technical Skills Weighting'!2226:2226-"`FU!C\"</f>
        <v>#VALUE!</v>
      </c>
      <c r="ET24" t="e">
        <f>'Technical Skills Weighting'!2227:2227-"`FU!C]"</f>
        <v>#VALUE!</v>
      </c>
      <c r="EU24" t="e">
        <f>'Technical Skills Weighting'!2228:2228-"`FU!C^"</f>
        <v>#VALUE!</v>
      </c>
      <c r="EV24" t="e">
        <f>'Technical Skills Weighting'!2229:2229-"`FU!C_"</f>
        <v>#VALUE!</v>
      </c>
      <c r="EW24" t="e">
        <f>'Technical Skills Weighting'!2230:2230-"`FU!C`"</f>
        <v>#VALUE!</v>
      </c>
      <c r="EX24" t="e">
        <f>'Technical Skills Weighting'!2231:2231-"`FU!Ca"</f>
        <v>#VALUE!</v>
      </c>
      <c r="EY24" t="e">
        <f>'Technical Skills Weighting'!2232:2232-"`FU!Cb"</f>
        <v>#VALUE!</v>
      </c>
      <c r="EZ24" t="e">
        <f>'Technical Skills Weighting'!2233:2233-"`FU!Cc"</f>
        <v>#VALUE!</v>
      </c>
      <c r="FA24" t="e">
        <f>'Technical Skills Weighting'!2234:2234-"`FU!Cd"</f>
        <v>#VALUE!</v>
      </c>
      <c r="FB24" t="e">
        <f>'Technical Skills Weighting'!2235:2235-"`FU!Ce"</f>
        <v>#VALUE!</v>
      </c>
      <c r="FC24" t="e">
        <f>'Technical Skills Weighting'!2236:2236-"`FU!Cf"</f>
        <v>#VALUE!</v>
      </c>
      <c r="FD24" t="e">
        <f>'Technical Skills Weighting'!2237:2237-"`FU!Cg"</f>
        <v>#VALUE!</v>
      </c>
      <c r="FE24" t="e">
        <f>'Technical Skills Weighting'!2238:2238-"`FU!Ch"</f>
        <v>#VALUE!</v>
      </c>
      <c r="FF24" t="e">
        <f>'Technical Skills Weighting'!2239:2239-"`FU!Ci"</f>
        <v>#VALUE!</v>
      </c>
      <c r="FG24" t="e">
        <f>'Technical Skills Weighting'!2240:2240-"`FU!Cj"</f>
        <v>#VALUE!</v>
      </c>
      <c r="FH24" t="e">
        <f>'Technical Skills Weighting'!2241:2241-"`FU!Ck"</f>
        <v>#VALUE!</v>
      </c>
      <c r="FI24" t="e">
        <f>'Technical Skills Weighting'!2242:2242-"`FU!Cl"</f>
        <v>#VALUE!</v>
      </c>
      <c r="FJ24" t="e">
        <f>'Technical Skills Weighting'!2243:2243-"`FU!Cm"</f>
        <v>#VALUE!</v>
      </c>
      <c r="FK24" t="e">
        <f>'Technical Skills Weighting'!2244:2244-"`FU!Cn"</f>
        <v>#VALUE!</v>
      </c>
      <c r="FL24" t="e">
        <f>'Technical Skills Weighting'!2245:2245-"`FU!Co"</f>
        <v>#VALUE!</v>
      </c>
      <c r="FM24" t="e">
        <f>'Technical Skills Weighting'!2246:2246-"`FU!Cp"</f>
        <v>#VALUE!</v>
      </c>
      <c r="FN24" t="e">
        <f>'Technical Skills Weighting'!2247:2247-"`FU!Cq"</f>
        <v>#VALUE!</v>
      </c>
      <c r="FO24" t="e">
        <f>'Technical Skills Weighting'!2248:2248-"`FU!Cr"</f>
        <v>#VALUE!</v>
      </c>
      <c r="FP24" t="e">
        <f>'Technical Skills Weighting'!2249:2249-"`FU!Cs"</f>
        <v>#VALUE!</v>
      </c>
      <c r="FQ24" t="e">
        <f>'Technical Skills Weighting'!2250:2250-"`FU!Ct"</f>
        <v>#VALUE!</v>
      </c>
      <c r="FR24" t="e">
        <f>'Technical Skills Weighting'!2251:2251-"`FU!Cu"</f>
        <v>#VALUE!</v>
      </c>
      <c r="FS24" t="e">
        <f>'Technical Skills Weighting'!2252:2252-"`FU!Cv"</f>
        <v>#VALUE!</v>
      </c>
      <c r="FT24" t="e">
        <f>'Technical Skills Weighting'!2253:2253-"`FU!Cw"</f>
        <v>#VALUE!</v>
      </c>
      <c r="FU24" t="e">
        <f>'Technical Skills Weighting'!2254:2254-"`FU!Cx"</f>
        <v>#VALUE!</v>
      </c>
      <c r="FV24" t="e">
        <f>'Technical Skills Weighting'!2255:2255-"`FU!Cy"</f>
        <v>#VALUE!</v>
      </c>
      <c r="FW24" t="e">
        <f>'Technical Skills Weighting'!2256:2256-"`FU!Cz"</f>
        <v>#VALUE!</v>
      </c>
      <c r="FX24" t="e">
        <f>'Technical Skills Weighting'!2257:2257-"`FU!C{"</f>
        <v>#VALUE!</v>
      </c>
      <c r="FY24" t="e">
        <f>'Technical Skills Weighting'!2258:2258-"`FU!C|"</f>
        <v>#VALUE!</v>
      </c>
      <c r="FZ24" t="e">
        <f>'Technical Skills Weighting'!2259:2259-"`FU!C}"</f>
        <v>#VALUE!</v>
      </c>
      <c r="GA24" t="e">
        <f>'Technical Skills Weighting'!2260:2260-"`FU!C~"</f>
        <v>#VALUE!</v>
      </c>
      <c r="GB24" t="e">
        <f>'Technical Skills Weighting'!2261:2261-"`FU!D#"</f>
        <v>#VALUE!</v>
      </c>
      <c r="GC24" t="e">
        <f>'Technical Skills Weighting'!2262:2262-"`FU!D$"</f>
        <v>#VALUE!</v>
      </c>
      <c r="GD24" t="e">
        <f>'Technical Skills Weighting'!2263:2263-"`FU!D%"</f>
        <v>#VALUE!</v>
      </c>
      <c r="GE24" t="e">
        <f>'Technical Skills Weighting'!2264:2264-"`FU!D&amp;"</f>
        <v>#VALUE!</v>
      </c>
      <c r="GF24" t="e">
        <f>'Technical Skills Weighting'!2265:2265-"`FU!D'"</f>
        <v>#VALUE!</v>
      </c>
      <c r="GG24" t="e">
        <f>'Technical Skills Weighting'!2266:2266-"`FU!D("</f>
        <v>#VALUE!</v>
      </c>
      <c r="GH24" t="e">
        <f>'Technical Skills Weighting'!2267:2267-"`FU!D)"</f>
        <v>#VALUE!</v>
      </c>
      <c r="GI24" t="e">
        <f>'Technical Skills Weighting'!2268:2268-"`FU!D."</f>
        <v>#VALUE!</v>
      </c>
      <c r="GJ24" t="e">
        <f>'Technical Skills Weighting'!2269:2269-"`FU!D/"</f>
        <v>#VALUE!</v>
      </c>
      <c r="GK24" t="e">
        <f>'Technical Skills Weighting'!2270:2270-"`FU!D0"</f>
        <v>#VALUE!</v>
      </c>
      <c r="GL24" t="e">
        <f>'Technical Skills Weighting'!2271:2271-"`FU!D1"</f>
        <v>#VALUE!</v>
      </c>
      <c r="GM24" t="e">
        <f>'Technical Skills Weighting'!2272:2272-"`FU!D2"</f>
        <v>#VALUE!</v>
      </c>
      <c r="GN24" t="e">
        <f>'Technical Skills Weighting'!2273:2273-"`FU!D3"</f>
        <v>#VALUE!</v>
      </c>
      <c r="GO24" t="e">
        <f>'Technical Skills Weighting'!2274:2274-"`FU!D4"</f>
        <v>#VALUE!</v>
      </c>
      <c r="GP24" t="e">
        <f>'Technical Skills Weighting'!2275:2275-"`FU!D5"</f>
        <v>#VALUE!</v>
      </c>
      <c r="GQ24" t="e">
        <f>'Technical Skills Weighting'!2276:2276-"`FU!D6"</f>
        <v>#VALUE!</v>
      </c>
      <c r="GR24" t="e">
        <f>'Technical Skills Weighting'!2277:2277-"`FU!D7"</f>
        <v>#VALUE!</v>
      </c>
      <c r="GS24" t="e">
        <f>'Technical Skills Weighting'!2278:2278-"`FU!D8"</f>
        <v>#VALUE!</v>
      </c>
      <c r="GT24" t="e">
        <f>'Technical Skills Weighting'!2279:2279-"`FU!D9"</f>
        <v>#VALUE!</v>
      </c>
      <c r="GU24" t="e">
        <f>'Technical Skills Weighting'!2280:2280-"`FU!D:"</f>
        <v>#VALUE!</v>
      </c>
      <c r="GV24" t="e">
        <f>'Technical Skills Weighting'!2281:2281-"`FU!D;"</f>
        <v>#VALUE!</v>
      </c>
      <c r="GW24" t="e">
        <f>'Technical Skills Weighting'!2282:2282-"`FU!D&lt;"</f>
        <v>#VALUE!</v>
      </c>
      <c r="GX24" t="e">
        <f>'Technical Skills Weighting'!2283:2283-"`FU!D="</f>
        <v>#VALUE!</v>
      </c>
      <c r="GY24" t="e">
        <f>'Technical Skills Weighting'!2284:2284-"`FU!D&gt;"</f>
        <v>#VALUE!</v>
      </c>
      <c r="GZ24" t="e">
        <f>'Technical Skills Weighting'!2285:2285-"`FU!D?"</f>
        <v>#VALUE!</v>
      </c>
      <c r="HA24" t="e">
        <f>'Technical Skills Weighting'!2286:2286-"`FU!D@"</f>
        <v>#VALUE!</v>
      </c>
      <c r="HB24" t="e">
        <f>'Technical Skills Weighting'!2287:2287-"`FU!DA"</f>
        <v>#VALUE!</v>
      </c>
      <c r="HC24" t="e">
        <f>'Technical Skills Weighting'!2288:2288-"`FU!DB"</f>
        <v>#VALUE!</v>
      </c>
      <c r="HD24" t="e">
        <f>'Technical Skills Weighting'!2289:2289-"`FU!DC"</f>
        <v>#VALUE!</v>
      </c>
      <c r="HE24" t="e">
        <f>'Technical Skills Weighting'!2290:2290-"`FU!DD"</f>
        <v>#VALUE!</v>
      </c>
      <c r="HF24" t="e">
        <f>'Technical Skills Weighting'!2291:2291-"`FU!DE"</f>
        <v>#VALUE!</v>
      </c>
      <c r="HG24" t="e">
        <f>'Technical Skills Weighting'!2292:2292-"`FU!DF"</f>
        <v>#VALUE!</v>
      </c>
      <c r="HH24" t="e">
        <f>'Technical Skills Weighting'!2293:2293-"`FU!DG"</f>
        <v>#VALUE!</v>
      </c>
      <c r="HI24" t="e">
        <f>'Technical Skills Weighting'!2294:2294-"`FU!DH"</f>
        <v>#VALUE!</v>
      </c>
      <c r="HJ24" t="e">
        <f>'Technical Skills Weighting'!2295:2295-"`FU!DI"</f>
        <v>#VALUE!</v>
      </c>
      <c r="HK24" t="e">
        <f>'Technical Skills Weighting'!2296:2296-"`FU!DJ"</f>
        <v>#VALUE!</v>
      </c>
      <c r="HL24" t="e">
        <f>'Technical Skills Weighting'!2297:2297-"`FU!DK"</f>
        <v>#VALUE!</v>
      </c>
      <c r="HM24" t="e">
        <f>'Technical Skills Weighting'!2298:2298-"`FU!DL"</f>
        <v>#VALUE!</v>
      </c>
      <c r="HN24" t="e">
        <f>'Technical Skills Weighting'!2299:2299-"`FU!DM"</f>
        <v>#VALUE!</v>
      </c>
      <c r="HO24" t="e">
        <f>'Technical Skills Weighting'!2300:2300-"`FU!DN"</f>
        <v>#VALUE!</v>
      </c>
      <c r="HP24" t="e">
        <f>'Technical Skills Weighting'!2301:2301-"`FU!DO"</f>
        <v>#VALUE!</v>
      </c>
      <c r="HQ24" t="e">
        <f>'Technical Skills Weighting'!2302:2302-"`FU!DP"</f>
        <v>#VALUE!</v>
      </c>
      <c r="HR24" t="e">
        <f>'Technical Skills Weighting'!2303:2303-"`FU!DQ"</f>
        <v>#VALUE!</v>
      </c>
      <c r="HS24" t="e">
        <f>'Technical Skills Weighting'!2304:2304-"`FU!DR"</f>
        <v>#VALUE!</v>
      </c>
      <c r="HT24" t="e">
        <f>'Technical Skills Weighting'!2305:2305-"`FU!DS"</f>
        <v>#VALUE!</v>
      </c>
      <c r="HU24" t="e">
        <f>'Technical Skills Weighting'!2306:2306-"`FU!DT"</f>
        <v>#VALUE!</v>
      </c>
      <c r="HV24" t="e">
        <f>'Technical Skills Weighting'!2307:2307-"`FU!DU"</f>
        <v>#VALUE!</v>
      </c>
      <c r="HW24" t="e">
        <f>'Technical Skills Weighting'!2308:2308-"`FU!DV"</f>
        <v>#VALUE!</v>
      </c>
      <c r="HX24" t="e">
        <f>'Technical Skills Weighting'!2309:2309-"`FU!DW"</f>
        <v>#VALUE!</v>
      </c>
      <c r="HY24" t="e">
        <f>'Technical Skills Weighting'!2310:2310-"`FU!DX"</f>
        <v>#VALUE!</v>
      </c>
      <c r="HZ24" t="e">
        <f>'Technical Skills Weighting'!2311:2311-"`FU!DY"</f>
        <v>#VALUE!</v>
      </c>
      <c r="IA24" t="e">
        <f>'Technical Skills Weighting'!2312:2312-"`FU!DZ"</f>
        <v>#VALUE!</v>
      </c>
      <c r="IB24" t="e">
        <f>'Technical Skills Weighting'!2313:2313-"`FU!D["</f>
        <v>#VALUE!</v>
      </c>
      <c r="IC24" t="e">
        <f>'Technical Skills Weighting'!2314:2314-"`FU!D\"</f>
        <v>#VALUE!</v>
      </c>
      <c r="ID24" t="e">
        <f>'Technical Skills Weighting'!2315:2315-"`FU!D]"</f>
        <v>#VALUE!</v>
      </c>
      <c r="IE24" t="e">
        <f>'Technical Skills Weighting'!2316:2316-"`FU!D^"</f>
        <v>#VALUE!</v>
      </c>
      <c r="IF24" t="e">
        <f>'Technical Skills Weighting'!2317:2317-"`FU!D_"</f>
        <v>#VALUE!</v>
      </c>
      <c r="IG24" t="e">
        <f>'Technical Skills Weighting'!2318:2318-"`FU!D`"</f>
        <v>#VALUE!</v>
      </c>
      <c r="IH24" t="e">
        <f>'Technical Skills Weighting'!2319:2319-"`FU!Da"</f>
        <v>#VALUE!</v>
      </c>
      <c r="II24" t="e">
        <f>'Technical Skills Weighting'!2320:2320-"`FU!Db"</f>
        <v>#VALUE!</v>
      </c>
      <c r="IJ24" t="e">
        <f>'Technical Skills Weighting'!2321:2321-"`FU!Dc"</f>
        <v>#VALUE!</v>
      </c>
      <c r="IK24" t="e">
        <f>'Technical Skills Weighting'!2322:2322-"`FU!Dd"</f>
        <v>#VALUE!</v>
      </c>
      <c r="IL24" t="e">
        <f>'Technical Skills Weighting'!2323:2323-"`FU!De"</f>
        <v>#VALUE!</v>
      </c>
      <c r="IM24" t="e">
        <f>'Technical Skills Weighting'!2324:2324-"`FU!Df"</f>
        <v>#VALUE!</v>
      </c>
      <c r="IN24" t="e">
        <f>'Technical Skills Weighting'!2325:2325-"`FU!Dg"</f>
        <v>#VALUE!</v>
      </c>
      <c r="IO24" t="e">
        <f>'Technical Skills Weighting'!2326:2326-"`FU!Dh"</f>
        <v>#VALUE!</v>
      </c>
      <c r="IP24" t="e">
        <f>'Technical Skills Weighting'!2327:2327-"`FU!Di"</f>
        <v>#VALUE!</v>
      </c>
      <c r="IQ24" t="e">
        <f>'Technical Skills Weighting'!2328:2328-"`FU!Dj"</f>
        <v>#VALUE!</v>
      </c>
      <c r="IR24" t="e">
        <f>'Technical Skills Weighting'!2329:2329-"`FU!Dk"</f>
        <v>#VALUE!</v>
      </c>
      <c r="IS24" t="e">
        <f>'Technical Skills Weighting'!2330:2330-"`FU!Dl"</f>
        <v>#VALUE!</v>
      </c>
      <c r="IT24" t="e">
        <f>'Technical Skills Weighting'!2331:2331-"`FU!Dm"</f>
        <v>#VALUE!</v>
      </c>
      <c r="IU24" t="e">
        <f>'Technical Skills Weighting'!2332:2332-"`FU!Dn"</f>
        <v>#VALUE!</v>
      </c>
      <c r="IV24" t="e">
        <f>'Technical Skills Weighting'!2333:2333-"`FU!Do"</f>
        <v>#VALUE!</v>
      </c>
    </row>
    <row r="25" spans="6:256" x14ac:dyDescent="0.25">
      <c r="F25" t="e">
        <f>'Technical Skills Weighting'!2334:2334-"`FU!Dp"</f>
        <v>#VALUE!</v>
      </c>
      <c r="G25" t="e">
        <f>'Technical Skills Weighting'!2335:2335-"`FU!Dq"</f>
        <v>#VALUE!</v>
      </c>
      <c r="H25" t="e">
        <f>'Technical Skills Weighting'!2336:2336-"`FU!Dr"</f>
        <v>#VALUE!</v>
      </c>
      <c r="I25" t="e">
        <f>'Technical Skills Weighting'!2337:2337-"`FU!Ds"</f>
        <v>#VALUE!</v>
      </c>
      <c r="J25" t="e">
        <f>'Technical Skills Weighting'!2338:2338-"`FU!Dt"</f>
        <v>#VALUE!</v>
      </c>
      <c r="K25" t="e">
        <f>'Technical Skills Weighting'!2339:2339-"`FU!Du"</f>
        <v>#VALUE!</v>
      </c>
      <c r="L25" t="e">
        <f>'Technical Skills Weighting'!2340:2340-"`FU!Dv"</f>
        <v>#VALUE!</v>
      </c>
      <c r="M25" t="e">
        <f>'Technical Skills Weighting'!2341:2341-"`FU!Dw"</f>
        <v>#VALUE!</v>
      </c>
      <c r="N25" t="e">
        <f>'Technical Skills Weighting'!2342:2342-"`FU!Dx"</f>
        <v>#VALUE!</v>
      </c>
      <c r="O25" t="e">
        <f>'Technical Skills Weighting'!2343:2343-"`FU!Dy"</f>
        <v>#VALUE!</v>
      </c>
      <c r="P25" t="e">
        <f>'Technical Skills Weighting'!2344:2344-"`FU!Dz"</f>
        <v>#VALUE!</v>
      </c>
      <c r="Q25" t="e">
        <f>'Technical Skills Weighting'!2345:2345-"`FU!D{"</f>
        <v>#VALUE!</v>
      </c>
      <c r="R25" t="e">
        <f>'Technical Skills Weighting'!2346:2346-"`FU!D|"</f>
        <v>#VALUE!</v>
      </c>
      <c r="S25" t="e">
        <f>'Technical Skills Weighting'!2347:2347-"`FU!D}"</f>
        <v>#VALUE!</v>
      </c>
      <c r="T25" t="e">
        <f>'Technical Skills Weighting'!2348:2348-"`FU!D~"</f>
        <v>#VALUE!</v>
      </c>
      <c r="U25" t="e">
        <f>'Technical Skills Weighting'!2349:2349-"`FU!E#"</f>
        <v>#VALUE!</v>
      </c>
      <c r="V25" t="e">
        <f>'Technical Skills Weighting'!2350:2350-"`FU!E$"</f>
        <v>#VALUE!</v>
      </c>
      <c r="W25" t="e">
        <f>'Technical Skills Weighting'!2351:2351-"`FU!E%"</f>
        <v>#VALUE!</v>
      </c>
      <c r="X25" t="e">
        <f>'Technical Skills Weighting'!2352:2352-"`FU!E&amp;"</f>
        <v>#VALUE!</v>
      </c>
      <c r="Y25" t="e">
        <f>'Technical Skills Weighting'!2353:2353-"`FU!E'"</f>
        <v>#VALUE!</v>
      </c>
      <c r="Z25" t="e">
        <f>'Technical Skills Weighting'!2354:2354-"`FU!E("</f>
        <v>#VALUE!</v>
      </c>
      <c r="AA25" t="e">
        <f>'Technical Skills Weighting'!2355:2355-"`FU!E)"</f>
        <v>#VALUE!</v>
      </c>
      <c r="AB25" t="e">
        <f>'Technical Skills Weighting'!2356:2356-"`FU!E."</f>
        <v>#VALUE!</v>
      </c>
      <c r="AC25" t="e">
        <f>'Technical Skills Weighting'!2357:2357-"`FU!E/"</f>
        <v>#VALUE!</v>
      </c>
      <c r="AD25" t="e">
        <f>'Technical Skills Weighting'!2358:2358-"`FU!E0"</f>
        <v>#VALUE!</v>
      </c>
      <c r="AE25" t="e">
        <f>'Technical Skills Weighting'!2359:2359-"`FU!E1"</f>
        <v>#VALUE!</v>
      </c>
      <c r="AF25" t="e">
        <f>'Technical Skills Weighting'!2360:2360-"`FU!E2"</f>
        <v>#VALUE!</v>
      </c>
      <c r="AG25" t="e">
        <f>'Technical Skills Weighting'!2361:2361-"`FU!E3"</f>
        <v>#VALUE!</v>
      </c>
      <c r="AH25" t="e">
        <f>'Technical Skills Weighting'!2362:2362-"`FU!E4"</f>
        <v>#VALUE!</v>
      </c>
      <c r="AI25" t="e">
        <f>'Technical Skills Weighting'!2363:2363-"`FU!E5"</f>
        <v>#VALUE!</v>
      </c>
      <c r="AJ25" t="e">
        <f>'Technical Skills Weighting'!2364:2364-"`FU!E6"</f>
        <v>#VALUE!</v>
      </c>
      <c r="AK25" t="e">
        <f>'Technical Skills Weighting'!2365:2365-"`FU!E7"</f>
        <v>#VALUE!</v>
      </c>
      <c r="AL25" t="e">
        <f>'Technical Skills Weighting'!2366:2366-"`FU!E8"</f>
        <v>#VALUE!</v>
      </c>
      <c r="AM25" t="e">
        <f>'Technical Skills Weighting'!2367:2367-"`FU!E9"</f>
        <v>#VALUE!</v>
      </c>
      <c r="AN25" t="e">
        <f>'Technical Skills Weighting'!2368:2368-"`FU!E:"</f>
        <v>#VALUE!</v>
      </c>
      <c r="AO25" t="e">
        <f>'Technical Skills Weighting'!2369:2369-"`FU!E;"</f>
        <v>#VALUE!</v>
      </c>
      <c r="AP25" t="e">
        <f>'Technical Skills Weighting'!2370:2370-"`FU!E&lt;"</f>
        <v>#VALUE!</v>
      </c>
      <c r="AQ25" t="e">
        <f>'Technical Skills Weighting'!2371:2371-"`FU!E="</f>
        <v>#VALUE!</v>
      </c>
      <c r="AR25" t="e">
        <f>'Technical Skills Weighting'!2372:2372-"`FU!E&gt;"</f>
        <v>#VALUE!</v>
      </c>
      <c r="AS25" t="e">
        <f>'Technical Skills Weighting'!2373:2373-"`FU!E?"</f>
        <v>#VALUE!</v>
      </c>
      <c r="AT25" t="e">
        <f>'Technical Skills Weighting'!2374:2374-"`FU!E@"</f>
        <v>#VALUE!</v>
      </c>
      <c r="AU25" t="e">
        <f>'Technical Skills Weighting'!2375:2375-"`FU!EA"</f>
        <v>#VALUE!</v>
      </c>
      <c r="AV25" t="e">
        <f>'Technical Skills Weighting'!2376:2376-"`FU!EB"</f>
        <v>#VALUE!</v>
      </c>
      <c r="AW25" t="e">
        <f>'Technical Skills Weighting'!2377:2377-"`FU!EC"</f>
        <v>#VALUE!</v>
      </c>
      <c r="AX25" t="e">
        <f>'Technical Skills Weighting'!2378:2378-"`FU!ED"</f>
        <v>#VALUE!</v>
      </c>
      <c r="AY25" t="e">
        <f>'Technical Skills Weighting'!2379:2379-"`FU!EE"</f>
        <v>#VALUE!</v>
      </c>
      <c r="AZ25" t="e">
        <f>'Technical Skills Weighting'!2380:2380-"`FU!EF"</f>
        <v>#VALUE!</v>
      </c>
      <c r="BA25" t="e">
        <f>'Technical Skills Weighting'!2381:2381-"`FU!EG"</f>
        <v>#VALUE!</v>
      </c>
      <c r="BB25" t="e">
        <f>'Technical Skills Weighting'!2382:2382-"`FU!EH"</f>
        <v>#VALUE!</v>
      </c>
      <c r="BC25" t="e">
        <f>'Technical Skills Weighting'!2383:2383-"`FU!EI"</f>
        <v>#VALUE!</v>
      </c>
      <c r="BD25" t="e">
        <f>'Technical Skills Weighting'!2384:2384-"`FU!EJ"</f>
        <v>#VALUE!</v>
      </c>
      <c r="BE25" t="e">
        <f>'Technical Skills Weighting'!2385:2385-"`FU!EK"</f>
        <v>#VALUE!</v>
      </c>
      <c r="BF25" t="e">
        <f>'Technical Skills Weighting'!2386:2386-"`FU!EL"</f>
        <v>#VALUE!</v>
      </c>
      <c r="BG25" t="e">
        <f>'Technical Skills Weighting'!2387:2387-"`FU!EM"</f>
        <v>#VALUE!</v>
      </c>
      <c r="BH25" t="e">
        <f>'Technical Skills Weighting'!2388:2388-"`FU!EN"</f>
        <v>#VALUE!</v>
      </c>
      <c r="BI25" t="e">
        <f>'Technical Skills Weighting'!2389:2389-"`FU!EO"</f>
        <v>#VALUE!</v>
      </c>
      <c r="BJ25" t="e">
        <f>'Technical Skills Weighting'!2390:2390-"`FU!EP"</f>
        <v>#VALUE!</v>
      </c>
      <c r="BK25" t="e">
        <f>'Technical Skills Weighting'!2391:2391-"`FU!EQ"</f>
        <v>#VALUE!</v>
      </c>
      <c r="BL25" t="e">
        <f>'Technical Skills Weighting'!2392:2392-"`FU!ER"</f>
        <v>#VALUE!</v>
      </c>
      <c r="BM25" t="e">
        <f>'Technical Skills Weighting'!2393:2393-"`FU!ES"</f>
        <v>#VALUE!</v>
      </c>
      <c r="BN25" t="e">
        <f>'Technical Skills Weighting'!2394:2394-"`FU!ET"</f>
        <v>#VALUE!</v>
      </c>
      <c r="BO25" t="e">
        <f>'Technical Skills Weighting'!2395:2395-"`FU!EU"</f>
        <v>#VALUE!</v>
      </c>
      <c r="BP25" t="e">
        <f>'Technical Skills Weighting'!2396:2396-"`FU!EV"</f>
        <v>#VALUE!</v>
      </c>
      <c r="BQ25" t="e">
        <f>'Technical Skills Weighting'!2397:2397-"`FU!EW"</f>
        <v>#VALUE!</v>
      </c>
      <c r="BR25" t="e">
        <f>'Technical Skills Weighting'!2398:2398-"`FU!EX"</f>
        <v>#VALUE!</v>
      </c>
      <c r="BS25" t="e">
        <f>'Technical Skills Weighting'!2399:2399-"`FU!EY"</f>
        <v>#VALUE!</v>
      </c>
      <c r="BT25" t="e">
        <f>'Technical Skills Weighting'!2400:2400-"`FU!EZ"</f>
        <v>#VALUE!</v>
      </c>
      <c r="BU25" t="e">
        <f>'Technical Skills Weighting'!2401:2401-"`FU!E["</f>
        <v>#VALUE!</v>
      </c>
      <c r="BV25" t="e">
        <f>'Technical Skills Weighting'!2402:2402-"`FU!E\"</f>
        <v>#VALUE!</v>
      </c>
      <c r="BW25" t="e">
        <f>'Technical Skills Weighting'!2403:2403-"`FU!E]"</f>
        <v>#VALUE!</v>
      </c>
      <c r="BX25" t="e">
        <f>'Technical Skills Weighting'!2404:2404-"`FU!E^"</f>
        <v>#VALUE!</v>
      </c>
      <c r="BY25" t="e">
        <f>'Technical Skills Weighting'!2405:2405-"`FU!E_"</f>
        <v>#VALUE!</v>
      </c>
      <c r="BZ25" t="e">
        <f>'Technical Skills Weighting'!2406:2406-"`FU!E`"</f>
        <v>#VALUE!</v>
      </c>
      <c r="CA25" t="e">
        <f>'Technical Skills Weighting'!2407:2407-"`FU!Ea"</f>
        <v>#VALUE!</v>
      </c>
      <c r="CB25" t="e">
        <f>'Technical Skills Weighting'!2408:2408-"`FU!Eb"</f>
        <v>#VALUE!</v>
      </c>
      <c r="CC25" t="e">
        <f>'Technical Skills Weighting'!2409:2409-"`FU!Ec"</f>
        <v>#VALUE!</v>
      </c>
      <c r="CD25" t="e">
        <f>'Technical Skills Weighting'!2410:2410-"`FU!Ed"</f>
        <v>#VALUE!</v>
      </c>
      <c r="CE25" t="e">
        <f>'Technical Skills Weighting'!2411:2411-"`FU!Ee"</f>
        <v>#VALUE!</v>
      </c>
      <c r="CF25" t="e">
        <f>'Technical Skills Weighting'!2412:2412-"`FU!Ef"</f>
        <v>#VALUE!</v>
      </c>
      <c r="CG25" t="e">
        <f>'Technical Skills Weighting'!2413:2413-"`FU!Eg"</f>
        <v>#VALUE!</v>
      </c>
      <c r="CH25" t="e">
        <f>'Technical Skills Weighting'!2414:2414-"`FU!Eh"</f>
        <v>#VALUE!</v>
      </c>
      <c r="CI25" t="e">
        <f>'Technical Skills Weighting'!2415:2415-"`FU!Ei"</f>
        <v>#VALUE!</v>
      </c>
      <c r="CJ25" t="e">
        <f>'Technical Skills Weighting'!2416:2416-"`FU!Ej"</f>
        <v>#VALUE!</v>
      </c>
      <c r="CK25" t="e">
        <f>'Technical Skills Weighting'!2417:2417-"`FU!Ek"</f>
        <v>#VALUE!</v>
      </c>
      <c r="CL25" t="e">
        <f>'Technical Skills Weighting'!2418:2418-"`FU!El"</f>
        <v>#VALUE!</v>
      </c>
      <c r="CM25" t="e">
        <f>'Technical Skills Weighting'!2419:2419-"`FU!Em"</f>
        <v>#VALUE!</v>
      </c>
      <c r="CN25" t="e">
        <f>'Technical Skills Weighting'!2420:2420-"`FU!En"</f>
        <v>#VALUE!</v>
      </c>
      <c r="CO25" t="e">
        <f>'Technical Skills Weighting'!2421:2421-"`FU!Eo"</f>
        <v>#VALUE!</v>
      </c>
      <c r="CP25" t="e">
        <f>'Technical Skills Weighting'!2422:2422-"`FU!Ep"</f>
        <v>#VALUE!</v>
      </c>
      <c r="CQ25" t="e">
        <f>'Technical Skills Weighting'!2423:2423-"`FU!Eq"</f>
        <v>#VALUE!</v>
      </c>
      <c r="CR25" t="e">
        <f>'Technical Skills Weighting'!2424:2424-"`FU!Er"</f>
        <v>#VALUE!</v>
      </c>
      <c r="CS25" t="e">
        <f>'Technical Skills Weighting'!2425:2425-"`FU!Es"</f>
        <v>#VALUE!</v>
      </c>
      <c r="CT25" t="e">
        <f>'Technical Skills Weighting'!2426:2426-"`FU!Et"</f>
        <v>#VALUE!</v>
      </c>
      <c r="CU25" t="e">
        <f>'Technical Skills Weighting'!2427:2427-"`FU!Eu"</f>
        <v>#VALUE!</v>
      </c>
      <c r="CV25" t="e">
        <f>'Technical Skills Weighting'!2428:2428-"`FU!Ev"</f>
        <v>#VALUE!</v>
      </c>
      <c r="CW25" t="e">
        <f>'Technical Skills Weighting'!2429:2429-"`FU!Ew"</f>
        <v>#VALUE!</v>
      </c>
      <c r="CX25" t="e">
        <f>'Technical Skills Weighting'!2430:2430-"`FU!Ex"</f>
        <v>#VALUE!</v>
      </c>
      <c r="CY25" t="e">
        <f>'Technical Skills Weighting'!2431:2431-"`FU!Ey"</f>
        <v>#VALUE!</v>
      </c>
      <c r="CZ25" t="e">
        <f>'Technical Skills Weighting'!2432:2432-"`FU!Ez"</f>
        <v>#VALUE!</v>
      </c>
      <c r="DA25" t="e">
        <f>'Technical Skills Weighting'!2433:2433-"`FU!E{"</f>
        <v>#VALUE!</v>
      </c>
      <c r="DB25" t="e">
        <f>'Technical Skills Weighting'!2434:2434-"`FU!E|"</f>
        <v>#VALUE!</v>
      </c>
      <c r="DC25" t="e">
        <f>'Technical Skills Weighting'!2435:2435-"`FU!E}"</f>
        <v>#VALUE!</v>
      </c>
      <c r="DD25" t="e">
        <f>'Technical Skills Weighting'!2436:2436-"`FU!E~"</f>
        <v>#VALUE!</v>
      </c>
      <c r="DE25" t="e">
        <f>'Technical Skills Weighting'!2437:2437-"`FU!F#"</f>
        <v>#VALUE!</v>
      </c>
      <c r="DF25" t="e">
        <f>'Technical Skills Weighting'!2438:2438-"`FU!F$"</f>
        <v>#VALUE!</v>
      </c>
      <c r="DG25" t="e">
        <f>'Technical Skills Weighting'!2439:2439-"`FU!F%"</f>
        <v>#VALUE!</v>
      </c>
      <c r="DH25" t="e">
        <f>'Technical Skills Weighting'!2440:2440-"`FU!F&amp;"</f>
        <v>#VALUE!</v>
      </c>
      <c r="DI25" t="e">
        <f>'Technical Skills Weighting'!2441:2441-"`FU!F'"</f>
        <v>#VALUE!</v>
      </c>
      <c r="DJ25" t="e">
        <f>'Technical Skills Weighting'!2442:2442-"`FU!F("</f>
        <v>#VALUE!</v>
      </c>
      <c r="DK25" t="e">
        <f>'Technical Skills Weighting'!2443:2443-"`FU!F)"</f>
        <v>#VALUE!</v>
      </c>
      <c r="DL25" t="e">
        <f>'Technical Skills Weighting'!2444:2444-"`FU!F."</f>
        <v>#VALUE!</v>
      </c>
      <c r="DM25" t="e">
        <f>'Technical Skills Weighting'!2445:2445-"`FU!F/"</f>
        <v>#VALUE!</v>
      </c>
      <c r="DN25" t="e">
        <f>'Technical Skills Weighting'!2446:2446-"`FU!F0"</f>
        <v>#VALUE!</v>
      </c>
      <c r="DO25" t="e">
        <f>'Technical Skills Weighting'!2447:2447-"`FU!F1"</f>
        <v>#VALUE!</v>
      </c>
      <c r="DP25" t="e">
        <f>'Technical Skills Weighting'!2448:2448-"`FU!F2"</f>
        <v>#VALUE!</v>
      </c>
      <c r="DQ25" t="e">
        <f>'Technical Skills Weighting'!2449:2449-"`FU!F3"</f>
        <v>#VALUE!</v>
      </c>
      <c r="DR25" t="e">
        <f>'Technical Skills Weighting'!2450:2450-"`FU!F4"</f>
        <v>#VALUE!</v>
      </c>
      <c r="DS25" t="e">
        <f>'Technical Skills Weighting'!2451:2451-"`FU!F5"</f>
        <v>#VALUE!</v>
      </c>
      <c r="DT25" t="e">
        <f>'Technical Skills Weighting'!2452:2452-"`FU!F6"</f>
        <v>#VALUE!</v>
      </c>
      <c r="DU25" t="e">
        <f>'Technical Skills Weighting'!2453:2453-"`FU!F7"</f>
        <v>#VALUE!</v>
      </c>
      <c r="DV25" t="e">
        <f>'Technical Skills Weighting'!2454:2454-"`FU!F8"</f>
        <v>#VALUE!</v>
      </c>
      <c r="DW25" t="e">
        <f>'Technical Skills Weighting'!2455:2455-"`FU!F9"</f>
        <v>#VALUE!</v>
      </c>
      <c r="DX25" t="e">
        <f>'Technical Skills Weighting'!2456:2456-"`FU!F:"</f>
        <v>#VALUE!</v>
      </c>
      <c r="DY25" t="e">
        <f>'Technical Skills Weighting'!2457:2457-"`FU!F;"</f>
        <v>#VALUE!</v>
      </c>
      <c r="DZ25" t="e">
        <f>'Technical Skills Weighting'!2458:2458-"`FU!F&lt;"</f>
        <v>#VALUE!</v>
      </c>
      <c r="EA25" t="e">
        <f>'Technical Skills Weighting'!2459:2459-"`FU!F="</f>
        <v>#VALUE!</v>
      </c>
      <c r="EB25" t="e">
        <f>'Technical Skills Weighting'!2460:2460-"`FU!F&gt;"</f>
        <v>#VALUE!</v>
      </c>
      <c r="EC25" t="e">
        <f>'Technical Skills Weighting'!2461:2461-"`FU!F?"</f>
        <v>#VALUE!</v>
      </c>
      <c r="ED25" t="e">
        <f>'Technical Skills Weighting'!2462:2462-"`FU!F@"</f>
        <v>#VALUE!</v>
      </c>
      <c r="EE25" t="e">
        <f>'Technical Skills Weighting'!2463:2463-"`FU!FA"</f>
        <v>#VALUE!</v>
      </c>
      <c r="EF25" t="e">
        <f>'Technical Skills Weighting'!2464:2464-"`FU!FB"</f>
        <v>#VALUE!</v>
      </c>
      <c r="EG25" t="e">
        <f>'Technical Skills Weighting'!2465:2465-"`FU!FC"</f>
        <v>#VALUE!</v>
      </c>
      <c r="EH25" t="e">
        <f>'Technical Skills Weighting'!2466:2466-"`FU!FD"</f>
        <v>#VALUE!</v>
      </c>
      <c r="EI25" t="e">
        <f>'Technical Skills Weighting'!2467:2467-"`FU!FE"</f>
        <v>#VALUE!</v>
      </c>
      <c r="EJ25" t="e">
        <f>'Technical Skills Weighting'!2468:2468-"`FU!FF"</f>
        <v>#VALUE!</v>
      </c>
      <c r="EK25" t="e">
        <f>'Technical Skills Weighting'!2469:2469-"`FU!FG"</f>
        <v>#VALUE!</v>
      </c>
      <c r="EL25" t="e">
        <f>'Technical Skills Weighting'!2470:2470-"`FU!FH"</f>
        <v>#VALUE!</v>
      </c>
      <c r="EM25" t="e">
        <f>'Technical Skills Weighting'!2471:2471-"`FU!FI"</f>
        <v>#VALUE!</v>
      </c>
      <c r="EN25" t="e">
        <f>'Technical Skills Weighting'!2472:2472-"`FU!FJ"</f>
        <v>#VALUE!</v>
      </c>
      <c r="EO25" t="e">
        <f>'Technical Skills Weighting'!2473:2473-"`FU!FK"</f>
        <v>#VALUE!</v>
      </c>
      <c r="EP25" t="e">
        <f>'Technical Skills Weighting'!2474:2474-"`FU!FL"</f>
        <v>#VALUE!</v>
      </c>
      <c r="EQ25" t="e">
        <f>'Technical Skills Weighting'!2475:2475-"`FU!FM"</f>
        <v>#VALUE!</v>
      </c>
      <c r="ER25" t="e">
        <f>'Technical Skills Weighting'!2476:2476-"`FU!FN"</f>
        <v>#VALUE!</v>
      </c>
      <c r="ES25" t="e">
        <f>'Technical Skills Weighting'!2477:2477-"`FU!FO"</f>
        <v>#VALUE!</v>
      </c>
      <c r="ET25" t="e">
        <f>'Technical Skills Weighting'!2478:2478-"`FU!FP"</f>
        <v>#VALUE!</v>
      </c>
      <c r="EU25" t="e">
        <f>'Technical Skills Weighting'!2479:2479-"`FU!FQ"</f>
        <v>#VALUE!</v>
      </c>
      <c r="EV25" t="e">
        <f>'Technical Skills Weighting'!2480:2480-"`FU!FR"</f>
        <v>#VALUE!</v>
      </c>
      <c r="EW25" t="e">
        <f>'Technical Skills Weighting'!2481:2481-"`FU!FS"</f>
        <v>#VALUE!</v>
      </c>
      <c r="EX25" t="e">
        <f>'Technical Skills Weighting'!2482:2482-"`FU!FT"</f>
        <v>#VALUE!</v>
      </c>
      <c r="EY25" t="e">
        <f>'Technical Skills Weighting'!2483:2483-"`FU!FU"</f>
        <v>#VALUE!</v>
      </c>
      <c r="EZ25" t="e">
        <f>'Technical Skills Weighting'!2484:2484-"`FU!FV"</f>
        <v>#VALUE!</v>
      </c>
      <c r="FA25" t="e">
        <f>'Technical Skills Weighting'!2485:2485-"`FU!FW"</f>
        <v>#VALUE!</v>
      </c>
      <c r="FB25" t="e">
        <f>'Technical Skills Weighting'!2486:2486-"`FU!FX"</f>
        <v>#VALUE!</v>
      </c>
      <c r="FC25" t="e">
        <f>'Technical Skills Weighting'!2487:2487-"`FU!FY"</f>
        <v>#VALUE!</v>
      </c>
      <c r="FD25" t="e">
        <f>'Technical Skills Weighting'!2488:2488-"`FU!FZ"</f>
        <v>#VALUE!</v>
      </c>
      <c r="FE25" t="e">
        <f>'Technical Skills Weighting'!2489:2489-"`FU!F["</f>
        <v>#VALUE!</v>
      </c>
      <c r="FF25" t="e">
        <f>'Technical Skills Weighting'!2490:2490-"`FU!F\"</f>
        <v>#VALUE!</v>
      </c>
      <c r="FG25" t="e">
        <f>'Technical Skills Weighting'!2491:2491-"`FU!F]"</f>
        <v>#VALUE!</v>
      </c>
      <c r="FH25" t="e">
        <f>'Technical Skills Weighting'!2492:2492-"`FU!F^"</f>
        <v>#VALUE!</v>
      </c>
      <c r="FI25" t="e">
        <f>'Technical Skills Weighting'!2493:2493-"`FU!F_"</f>
        <v>#VALUE!</v>
      </c>
      <c r="FJ25" t="e">
        <f>'Technical Skills Weighting'!2494:2494-"`FU!F`"</f>
        <v>#VALUE!</v>
      </c>
      <c r="FK25" t="e">
        <f>'Technical Skills Weighting'!2495:2495-"`FU!Fa"</f>
        <v>#VALUE!</v>
      </c>
      <c r="FL25" t="e">
        <f>'Technical Skills Weighting'!2496:2496-"`FU!Fb"</f>
        <v>#VALUE!</v>
      </c>
      <c r="FM25" t="e">
        <f>'Technical Skills Weighting'!2497:2497-"`FU!Fc"</f>
        <v>#VALUE!</v>
      </c>
      <c r="FN25" t="e">
        <f>'Technical Skills Weighting'!2498:2498-"`FU!Fd"</f>
        <v>#VALUE!</v>
      </c>
      <c r="FO25" t="e">
        <f>'Technical Skills Weighting'!2499:2499-"`FU!Fe"</f>
        <v>#VALUE!</v>
      </c>
      <c r="FP25" t="e">
        <f>'Technical Skills Weighting'!2500:2500-"`FU!Ff"</f>
        <v>#VALUE!</v>
      </c>
      <c r="FQ25" t="e">
        <f>'Technical Skills Weighting'!2501:2501-"`FU!Fg"</f>
        <v>#VALUE!</v>
      </c>
      <c r="FR25" t="e">
        <f>'Technical Skills Weighting'!2502:2502-"`FU!Fh"</f>
        <v>#VALUE!</v>
      </c>
      <c r="FS25" t="e">
        <f>'Technical Skills Weighting'!2503:2503-"`FU!Fi"</f>
        <v>#VALUE!</v>
      </c>
      <c r="FT25" t="e">
        <f>'Technical Skills Weighting'!2504:2504-"`FU!Fj"</f>
        <v>#VALUE!</v>
      </c>
      <c r="FU25" t="e">
        <f>'Technical Skills Weighting'!2505:2505-"`FU!Fk"</f>
        <v>#VALUE!</v>
      </c>
      <c r="FV25" t="e">
        <f>'Technical Skills Weighting'!2506:2506-"`FU!Fl"</f>
        <v>#VALUE!</v>
      </c>
      <c r="FW25" t="e">
        <f>'Technical Skills Weighting'!2507:2507-"`FU!Fm"</f>
        <v>#VALUE!</v>
      </c>
      <c r="FX25" t="e">
        <f>'Technical Skills Weighting'!2508:2508-"`FU!Fn"</f>
        <v>#VALUE!</v>
      </c>
      <c r="FY25" t="e">
        <f>'Technical Skills Weighting'!2509:2509-"`FU!Fo"</f>
        <v>#VALUE!</v>
      </c>
      <c r="FZ25" t="e">
        <f>'Technical Skills Weighting'!2510:2510-"`FU!Fp"</f>
        <v>#VALUE!</v>
      </c>
      <c r="GA25" t="e">
        <f>'Technical Skills Weighting'!2511:2511-"`FU!Fq"</f>
        <v>#VALUE!</v>
      </c>
      <c r="GB25" t="e">
        <f>'Technical Skills Weighting'!2512:2512-"`FU!Fr"</f>
        <v>#VALUE!</v>
      </c>
      <c r="GC25" t="e">
        <f>'Technical Skills Weighting'!2513:2513-"`FU!Fs"</f>
        <v>#VALUE!</v>
      </c>
      <c r="GD25" t="e">
        <f>'Technical Skills Weighting'!2514:2514-"`FU!Ft"</f>
        <v>#VALUE!</v>
      </c>
      <c r="GE25" t="e">
        <f>'Technical Skills Weighting'!2515:2515-"`FU!Fu"</f>
        <v>#VALUE!</v>
      </c>
      <c r="GF25" t="e">
        <f>'Technical Skills Weighting'!2516:2516-"`FU!Fv"</f>
        <v>#VALUE!</v>
      </c>
      <c r="GG25" t="e">
        <f>'Technical Skills Weighting'!2517:2517-"`FU!Fw"</f>
        <v>#VALUE!</v>
      </c>
      <c r="GH25" t="e">
        <f>'Technical Skills Weighting'!2518:2518-"`FU!Fx"</f>
        <v>#VALUE!</v>
      </c>
      <c r="GI25" t="e">
        <f>'Technical Skills Weighting'!2519:2519-"`FU!Fy"</f>
        <v>#VALUE!</v>
      </c>
      <c r="GJ25" t="e">
        <f>'Technical Skills Weighting'!2520:2520-"`FU!Fz"</f>
        <v>#VALUE!</v>
      </c>
      <c r="GK25" t="e">
        <f>'Technical Skills Weighting'!2521:2521-"`FU!F{"</f>
        <v>#VALUE!</v>
      </c>
      <c r="GL25" t="e">
        <f>'Technical Skills Weighting'!2522:2522-"`FU!F|"</f>
        <v>#VALUE!</v>
      </c>
      <c r="GM25" t="e">
        <f>'Technical Skills Weighting'!2523:2523-"`FU!F}"</f>
        <v>#VALUE!</v>
      </c>
      <c r="GN25" t="e">
        <f>'Technical Skills Weighting'!2524:2524-"`FU!F~"</f>
        <v>#VALUE!</v>
      </c>
      <c r="GO25" t="e">
        <f>'Technical Skills Weighting'!2525:2525-"`FU!G#"</f>
        <v>#VALUE!</v>
      </c>
      <c r="GP25" t="e">
        <f>'Technical Skills Weighting'!2526:2526-"`FU!G$"</f>
        <v>#VALUE!</v>
      </c>
      <c r="GQ25" t="e">
        <f>'Technical Skills Weighting'!2527:2527-"`FU!G%"</f>
        <v>#VALUE!</v>
      </c>
      <c r="GR25" t="e">
        <f>'Technical Skills Weighting'!2528:2528-"`FU!G&amp;"</f>
        <v>#VALUE!</v>
      </c>
      <c r="GS25" t="e">
        <f>'Technical Skills Weighting'!2529:2529-"`FU!G'"</f>
        <v>#VALUE!</v>
      </c>
      <c r="GT25" t="e">
        <f>'Technical Skills Weighting'!2530:2530-"`FU!G("</f>
        <v>#VALUE!</v>
      </c>
      <c r="GU25" t="e">
        <f>'Technical Skills Weighting'!2531:2531-"`FU!G)"</f>
        <v>#VALUE!</v>
      </c>
      <c r="GV25" t="e">
        <f>'Technical Skills Weighting'!2532:2532-"`FU!G."</f>
        <v>#VALUE!</v>
      </c>
      <c r="GW25" t="e">
        <f>'Technical Skills Weighting'!2533:2533-"`FU!G/"</f>
        <v>#VALUE!</v>
      </c>
      <c r="GX25" t="e">
        <f>'Technical Skills Weighting'!2534:2534-"`FU!G0"</f>
        <v>#VALUE!</v>
      </c>
      <c r="GY25" t="e">
        <f>'Technical Skills Weighting'!2535:2535-"`FU!G1"</f>
        <v>#VALUE!</v>
      </c>
      <c r="GZ25" t="e">
        <f>'Technical Skills Weighting'!2536:2536-"`FU!G2"</f>
        <v>#VALUE!</v>
      </c>
      <c r="HA25" t="e">
        <f>'Technical Skills Weighting'!2537:2537-"`FU!G3"</f>
        <v>#VALUE!</v>
      </c>
      <c r="HB25" t="e">
        <f>'Technical Skills Weighting'!2538:2538-"`FU!G4"</f>
        <v>#VALUE!</v>
      </c>
      <c r="HC25" t="e">
        <f>'Technical Skills Weighting'!2539:2539-"`FU!G5"</f>
        <v>#VALUE!</v>
      </c>
      <c r="HD25" t="e">
        <f>'Technical Skills Weighting'!2540:2540-"`FU!G6"</f>
        <v>#VALUE!</v>
      </c>
      <c r="HE25" t="e">
        <f>'Technical Skills Weighting'!2541:2541-"`FU!G7"</f>
        <v>#VALUE!</v>
      </c>
      <c r="HF25" t="e">
        <f>'Technical Skills Weighting'!2542:2542-"`FU!G8"</f>
        <v>#VALUE!</v>
      </c>
      <c r="HG25" t="e">
        <f>'Technical Skills Weighting'!2543:2543-"`FU!G9"</f>
        <v>#VALUE!</v>
      </c>
      <c r="HH25" t="e">
        <f>'Technical Skills Weighting'!2544:2544-"`FU!G:"</f>
        <v>#VALUE!</v>
      </c>
      <c r="HI25" t="e">
        <f>'Technical Skills Weighting'!2545:2545-"`FU!G;"</f>
        <v>#VALUE!</v>
      </c>
      <c r="HJ25" t="e">
        <f>'Technical Skills Weighting'!2546:2546-"`FU!G&lt;"</f>
        <v>#VALUE!</v>
      </c>
      <c r="HK25" t="e">
        <f>'Technical Skills Weighting'!2547:2547-"`FU!G="</f>
        <v>#VALUE!</v>
      </c>
      <c r="HL25" t="e">
        <f>'Technical Skills Weighting'!2548:2548-"`FU!G&gt;"</f>
        <v>#VALUE!</v>
      </c>
      <c r="HM25" t="e">
        <f>'Technical Skills Weighting'!2549:2549-"`FU!G?"</f>
        <v>#VALUE!</v>
      </c>
      <c r="HN25" t="e">
        <f>'Technical Skills Weighting'!2550:2550-"`FU!G@"</f>
        <v>#VALUE!</v>
      </c>
      <c r="HO25" t="e">
        <f>'Technical Skills Weighting'!2551:2551-"`FU!GA"</f>
        <v>#VALUE!</v>
      </c>
      <c r="HP25" t="e">
        <f>'Technical Skills Weighting'!2552:2552-"`FU!GB"</f>
        <v>#VALUE!</v>
      </c>
      <c r="HQ25" t="e">
        <f>'Technical Skills Weighting'!2553:2553-"`FU!GC"</f>
        <v>#VALUE!</v>
      </c>
      <c r="HR25" t="e">
        <f>'Technical Skills Weighting'!2554:2554-"`FU!GD"</f>
        <v>#VALUE!</v>
      </c>
      <c r="HS25" t="e">
        <f>'Technical Skills Weighting'!2555:2555-"`FU!GE"</f>
        <v>#VALUE!</v>
      </c>
      <c r="HT25" t="e">
        <f>'Technical Skills Weighting'!2556:2556-"`FU!GF"</f>
        <v>#VALUE!</v>
      </c>
      <c r="HU25" t="e">
        <f>'Technical Skills Weighting'!2557:2557-"`FU!GG"</f>
        <v>#VALUE!</v>
      </c>
      <c r="HV25" t="e">
        <f>'Technical Skills Weighting'!2558:2558-"`FU!GH"</f>
        <v>#VALUE!</v>
      </c>
      <c r="HW25" t="e">
        <f>'Technical Skills Weighting'!2559:2559-"`FU!GI"</f>
        <v>#VALUE!</v>
      </c>
      <c r="HX25" t="e">
        <f>'Technical Skills Weighting'!2560:2560-"`FU!GJ"</f>
        <v>#VALUE!</v>
      </c>
      <c r="HY25" t="e">
        <f>'Technical Skills Weighting'!2561:2561-"`FU!GK"</f>
        <v>#VALUE!</v>
      </c>
      <c r="HZ25" t="e">
        <f>'Technical Skills Weighting'!2562:2562-"`FU!GL"</f>
        <v>#VALUE!</v>
      </c>
      <c r="IA25" t="e">
        <f>'Technical Skills Weighting'!2563:2563-"`FU!GM"</f>
        <v>#VALUE!</v>
      </c>
      <c r="IB25" t="e">
        <f>'Technical Skills Weighting'!2564:2564-"`FU!GN"</f>
        <v>#VALUE!</v>
      </c>
      <c r="IC25" t="e">
        <f>'Technical Skills Weighting'!2565:2565-"`FU!GO"</f>
        <v>#VALUE!</v>
      </c>
      <c r="ID25" t="e">
        <f>'Technical Skills Weighting'!2566:2566-"`FU!GP"</f>
        <v>#VALUE!</v>
      </c>
      <c r="IE25" t="e">
        <f>'Technical Skills Weighting'!2567:2567-"`FU!GQ"</f>
        <v>#VALUE!</v>
      </c>
      <c r="IF25" t="e">
        <f>'Technical Skills Weighting'!2568:2568-"`FU!GR"</f>
        <v>#VALUE!</v>
      </c>
      <c r="IG25" t="e">
        <f>'Technical Skills Weighting'!2569:2569-"`FU!GS"</f>
        <v>#VALUE!</v>
      </c>
      <c r="IH25" t="e">
        <f>'Technical Skills Weighting'!2570:2570-"`FU!GT"</f>
        <v>#VALUE!</v>
      </c>
      <c r="II25" t="e">
        <f>'Technical Skills Weighting'!2571:2571-"`FU!GU"</f>
        <v>#VALUE!</v>
      </c>
      <c r="IJ25" t="e">
        <f>'Technical Skills Weighting'!2572:2572-"`FU!GV"</f>
        <v>#VALUE!</v>
      </c>
      <c r="IK25" t="e">
        <f>'Technical Skills Weighting'!2573:2573-"`FU!GW"</f>
        <v>#VALUE!</v>
      </c>
      <c r="IL25" t="e">
        <f>'Technical Skills Weighting'!2574:2574-"`FU!GX"</f>
        <v>#VALUE!</v>
      </c>
      <c r="IM25" t="e">
        <f>'Technical Skills Weighting'!2575:2575-"`FU!GY"</f>
        <v>#VALUE!</v>
      </c>
      <c r="IN25" t="e">
        <f>'Technical Skills Weighting'!2576:2576-"`FU!GZ"</f>
        <v>#VALUE!</v>
      </c>
      <c r="IO25" t="e">
        <f>'Technical Skills Weighting'!2577:2577-"`FU!G["</f>
        <v>#VALUE!</v>
      </c>
      <c r="IP25" t="e">
        <f>'Technical Skills Weighting'!2578:2578-"`FU!G\"</f>
        <v>#VALUE!</v>
      </c>
      <c r="IQ25" t="e">
        <f>'Technical Skills Weighting'!2579:2579-"`FU!G]"</f>
        <v>#VALUE!</v>
      </c>
      <c r="IR25" t="e">
        <f>'Technical Skills Weighting'!2580:2580-"`FU!G^"</f>
        <v>#VALUE!</v>
      </c>
      <c r="IS25" t="e">
        <f>'Technical Skills Weighting'!2581:2581-"`FU!G_"</f>
        <v>#VALUE!</v>
      </c>
      <c r="IT25" t="e">
        <f>'Technical Skills Weighting'!2582:2582-"`FU!G`"</f>
        <v>#VALUE!</v>
      </c>
      <c r="IU25" t="e">
        <f>'Technical Skills Weighting'!2583:2583-"`FU!Ga"</f>
        <v>#VALUE!</v>
      </c>
      <c r="IV25" t="e">
        <f>'Technical Skills Weighting'!2584:2584-"`FU!Gb"</f>
        <v>#VALUE!</v>
      </c>
    </row>
    <row r="26" spans="6:256" x14ac:dyDescent="0.25">
      <c r="F26" t="e">
        <f>'Technical Skills Weighting'!2585:2585-"`FU!Gc"</f>
        <v>#VALUE!</v>
      </c>
      <c r="G26" t="e">
        <f>'Technical Skills Weighting'!2586:2586-"`FU!Gd"</f>
        <v>#VALUE!</v>
      </c>
      <c r="H26" t="e">
        <f>'Technical Skills Weighting'!2587:2587-"`FU!Ge"</f>
        <v>#VALUE!</v>
      </c>
      <c r="I26" t="e">
        <f>'Technical Skills Weighting'!2588:2588-"`FU!Gf"</f>
        <v>#VALUE!</v>
      </c>
      <c r="J26" t="e">
        <f>'Technical Skills Weighting'!2589:2589-"`FU!Gg"</f>
        <v>#VALUE!</v>
      </c>
      <c r="K26" t="e">
        <f>'Technical Skills Weighting'!2590:2590-"`FU!Gh"</f>
        <v>#VALUE!</v>
      </c>
      <c r="L26" t="e">
        <f>'Technical Skills Weighting'!2591:2591-"`FU!Gi"</f>
        <v>#VALUE!</v>
      </c>
      <c r="M26" t="e">
        <f>'Technical Skills Weighting'!2592:2592-"`FU!Gj"</f>
        <v>#VALUE!</v>
      </c>
      <c r="N26" t="e">
        <f>'Technical Skills Weighting'!2593:2593-"`FU!Gk"</f>
        <v>#VALUE!</v>
      </c>
      <c r="O26" t="e">
        <f>'Technical Skills Weighting'!2594:2594-"`FU!Gl"</f>
        <v>#VALUE!</v>
      </c>
      <c r="P26" t="e">
        <f>'Technical Skills Weighting'!2595:2595-"`FU!Gm"</f>
        <v>#VALUE!</v>
      </c>
      <c r="Q26" t="e">
        <f>'Technical Skills Weighting'!2596:2596-"`FU!Gn"</f>
        <v>#VALUE!</v>
      </c>
      <c r="R26" t="e">
        <f>'Technical Skills Weighting'!2597:2597-"`FU!Go"</f>
        <v>#VALUE!</v>
      </c>
      <c r="S26" t="e">
        <f>'Technical Skills Weighting'!2598:2598-"`FU!Gp"</f>
        <v>#VALUE!</v>
      </c>
      <c r="T26" t="e">
        <f>'Technical Skills Weighting'!2599:2599-"`FU!Gq"</f>
        <v>#VALUE!</v>
      </c>
      <c r="U26" t="e">
        <f>'Technical Skills Weighting'!2600:2600-"`FU!Gr"</f>
        <v>#VALUE!</v>
      </c>
      <c r="V26" t="e">
        <f>'Technical Skills Weighting'!2601:2601-"`FU!Gs"</f>
        <v>#VALUE!</v>
      </c>
      <c r="W26" t="e">
        <f>'Technical Skills Weighting'!2602:2602-"`FU!Gt"</f>
        <v>#VALUE!</v>
      </c>
      <c r="X26" t="e">
        <f>'Technical Skills Weighting'!2603:2603-"`FU!Gu"</f>
        <v>#VALUE!</v>
      </c>
      <c r="Y26" t="e">
        <f>'Technical Skills Weighting'!2604:2604-"`FU!Gv"</f>
        <v>#VALUE!</v>
      </c>
      <c r="Z26" t="e">
        <f>'Technical Skills Weighting'!2605:2605-"`FU!Gw"</f>
        <v>#VALUE!</v>
      </c>
      <c r="AA26" t="e">
        <f>'Technical Skills Weighting'!2606:2606-"`FU!Gx"</f>
        <v>#VALUE!</v>
      </c>
      <c r="AB26" t="e">
        <f>'Technical Skills Weighting'!2607:2607-"`FU!Gy"</f>
        <v>#VALUE!</v>
      </c>
      <c r="AC26" t="e">
        <f>'Technical Skills Weighting'!2608:2608-"`FU!Gz"</f>
        <v>#VALUE!</v>
      </c>
      <c r="AD26" t="e">
        <f>'Technical Skills Weighting'!2609:2609-"`FU!G{"</f>
        <v>#VALUE!</v>
      </c>
      <c r="AE26" t="e">
        <f>'Technical Skills Weighting'!2610:2610-"`FU!G|"</f>
        <v>#VALUE!</v>
      </c>
      <c r="AF26" t="e">
        <f>'Technical Skills Weighting'!2611:2611-"`FU!G}"</f>
        <v>#VALUE!</v>
      </c>
      <c r="AG26" t="e">
        <f>'Technical Skills Weighting'!2612:2612-"`FU!G~"</f>
        <v>#VALUE!</v>
      </c>
      <c r="AH26" t="e">
        <f>'Technical Skills Weighting'!2613:2613-"`FU!H#"</f>
        <v>#VALUE!</v>
      </c>
      <c r="AI26" t="e">
        <f>'Technical Skills Weighting'!2614:2614-"`FU!H$"</f>
        <v>#VALUE!</v>
      </c>
      <c r="AJ26" t="e">
        <f>'Technical Skills Weighting'!2615:2615-"`FU!H%"</f>
        <v>#VALUE!</v>
      </c>
      <c r="AK26" t="e">
        <f>'Technical Skills Weighting'!2616:2616-"`FU!H&amp;"</f>
        <v>#VALUE!</v>
      </c>
      <c r="AL26" t="e">
        <f>'Technical Skills Weighting'!2617:2617-"`FU!H'"</f>
        <v>#VALUE!</v>
      </c>
      <c r="AM26" t="e">
        <f>'Technical Skills Weighting'!2618:2618-"`FU!H("</f>
        <v>#VALUE!</v>
      </c>
      <c r="AN26" t="e">
        <f>'Technical Skills Weighting'!2619:2619-"`FU!H)"</f>
        <v>#VALUE!</v>
      </c>
      <c r="AO26" t="e">
        <f>'Technical Skills Weighting'!2620:2620-"`FU!H."</f>
        <v>#VALUE!</v>
      </c>
      <c r="AP26" t="e">
        <f>'Technical Skills Weighting'!2621:2621-"`FU!H/"</f>
        <v>#VALUE!</v>
      </c>
      <c r="AQ26" t="e">
        <f>'Technical Skills Weighting'!2622:2622-"`FU!H0"</f>
        <v>#VALUE!</v>
      </c>
      <c r="AR26" t="e">
        <f>'Technical Skills Weighting'!2623:2623-"`FU!H1"</f>
        <v>#VALUE!</v>
      </c>
      <c r="AS26" t="e">
        <f>'Technical Skills Weighting'!2624:2624-"`FU!H2"</f>
        <v>#VALUE!</v>
      </c>
      <c r="AT26" t="e">
        <f>'Technical Skills Weighting'!2625:2625-"`FU!H3"</f>
        <v>#VALUE!</v>
      </c>
      <c r="AU26" t="e">
        <f>'Technical Skills Weighting'!2626:2626-"`FU!H4"</f>
        <v>#VALUE!</v>
      </c>
      <c r="AV26" t="e">
        <f>'Technical Skills Weighting'!2627:2627-"`FU!H5"</f>
        <v>#VALUE!</v>
      </c>
      <c r="AW26" t="e">
        <f>'Technical Skills Weighting'!2628:2628-"`FU!H6"</f>
        <v>#VALUE!</v>
      </c>
      <c r="AX26" t="e">
        <f>'Technical Skills Weighting'!2629:2629-"`FU!H7"</f>
        <v>#VALUE!</v>
      </c>
      <c r="AY26" t="e">
        <f>'Technical Skills Weighting'!2630:2630-"`FU!H8"</f>
        <v>#VALUE!</v>
      </c>
      <c r="AZ26" t="e">
        <f>'Technical Skills Weighting'!2631:2631-"`FU!H9"</f>
        <v>#VALUE!</v>
      </c>
      <c r="BA26" t="e">
        <f>'Technical Skills Weighting'!2632:2632-"`FU!H:"</f>
        <v>#VALUE!</v>
      </c>
      <c r="BB26" t="e">
        <f>'Technical Skills Weighting'!2633:2633-"`FU!H;"</f>
        <v>#VALUE!</v>
      </c>
      <c r="BC26" t="e">
        <f>'Technical Skills Weighting'!2634:2634-"`FU!H&lt;"</f>
        <v>#VALUE!</v>
      </c>
      <c r="BD26" t="e">
        <f>'Technical Skills Weighting'!2635:2635-"`FU!H="</f>
        <v>#VALUE!</v>
      </c>
      <c r="BE26" t="e">
        <f>'Technical Skills Weighting'!2636:2636-"`FU!H&gt;"</f>
        <v>#VALUE!</v>
      </c>
      <c r="BF26" t="e">
        <f>'Technical Skills Weighting'!2637:2637-"`FU!H?"</f>
        <v>#VALUE!</v>
      </c>
      <c r="BG26" t="e">
        <f>'Technical Skills Weighting'!2638:2638-"`FU!H@"</f>
        <v>#VALUE!</v>
      </c>
      <c r="BH26" t="e">
        <f>'Technical Skills Weighting'!2639:2639-"`FU!HA"</f>
        <v>#VALUE!</v>
      </c>
      <c r="BI26" t="e">
        <f>'Technical Skills Weighting'!2640:2640-"`FU!HB"</f>
        <v>#VALUE!</v>
      </c>
      <c r="BJ26" t="e">
        <f>'Technical Skills Weighting'!2641:2641-"`FU!HC"</f>
        <v>#VALUE!</v>
      </c>
      <c r="BK26" t="e">
        <f>'Technical Skills Weighting'!2642:2642-"`FU!HD"</f>
        <v>#VALUE!</v>
      </c>
      <c r="BL26" t="e">
        <f>'Technical Skills Weighting'!2643:2643-"`FU!HE"</f>
        <v>#VALUE!</v>
      </c>
      <c r="BM26" t="e">
        <f>'Technical Skills Weighting'!2644:2644-"`FU!HF"</f>
        <v>#VALUE!</v>
      </c>
      <c r="BN26" t="e">
        <f>'Technical Skills Weighting'!2645:2645-"`FU!HG"</f>
        <v>#VALUE!</v>
      </c>
      <c r="BO26" t="e">
        <f>'Technical Skills Weighting'!2646:2646-"`FU!HH"</f>
        <v>#VALUE!</v>
      </c>
      <c r="BP26" t="e">
        <f>'Technical Skills Weighting'!2647:2647-"`FU!HI"</f>
        <v>#VALUE!</v>
      </c>
      <c r="BQ26" t="e">
        <f>'Technical Skills Weighting'!2648:2648-"`FU!HJ"</f>
        <v>#VALUE!</v>
      </c>
      <c r="BR26" t="e">
        <f>'Technical Skills Weighting'!2649:2649-"`FU!HK"</f>
        <v>#VALUE!</v>
      </c>
      <c r="BS26" t="e">
        <f>'Technical Skills Weighting'!2650:2650-"`FU!HL"</f>
        <v>#VALUE!</v>
      </c>
      <c r="BT26" t="e">
        <f>'Technical Skills Weighting'!2651:2651-"`FU!HM"</f>
        <v>#VALUE!</v>
      </c>
      <c r="BU26" t="e">
        <f>'Technical Skills Weighting'!2652:2652-"`FU!HN"</f>
        <v>#VALUE!</v>
      </c>
      <c r="BV26" t="e">
        <f>'Technical Skills Weighting'!2653:2653-"`FU!HO"</f>
        <v>#VALUE!</v>
      </c>
      <c r="BW26" t="e">
        <f>'Technical Skills Weighting'!2654:2654-"`FU!HP"</f>
        <v>#VALUE!</v>
      </c>
      <c r="BX26" t="e">
        <f>'Technical Skills Weighting'!2655:2655-"`FU!HQ"</f>
        <v>#VALUE!</v>
      </c>
      <c r="BY26" t="e">
        <f>'Technical Skills Weighting'!2656:2656-"`FU!HR"</f>
        <v>#VALUE!</v>
      </c>
      <c r="BZ26" t="e">
        <f>'Technical Skills Weighting'!2657:2657-"`FU!HS"</f>
        <v>#VALUE!</v>
      </c>
      <c r="CA26" t="e">
        <f>'Technical Skills Weighting'!2658:2658-"`FU!HT"</f>
        <v>#VALUE!</v>
      </c>
      <c r="CB26" t="e">
        <f>'Technical Skills Weighting'!2659:2659-"`FU!HU"</f>
        <v>#VALUE!</v>
      </c>
      <c r="CC26" t="e">
        <f>'Technical Skills Weighting'!2660:2660-"`FU!HV"</f>
        <v>#VALUE!</v>
      </c>
      <c r="CD26" t="e">
        <f>'Technical Skills Weighting'!2661:2661-"`FU!HW"</f>
        <v>#VALUE!</v>
      </c>
      <c r="CE26" t="e">
        <f>'Technical Skills Weighting'!2662:2662-"`FU!HX"</f>
        <v>#VALUE!</v>
      </c>
      <c r="CF26" t="e">
        <f>'Technical Skills Weighting'!2663:2663-"`FU!HY"</f>
        <v>#VALUE!</v>
      </c>
      <c r="CG26" t="e">
        <f>'Technical Skills Weighting'!2664:2664-"`FU!HZ"</f>
        <v>#VALUE!</v>
      </c>
      <c r="CH26" t="e">
        <f>'Technical Skills Weighting'!2665:2665-"`FU!H["</f>
        <v>#VALUE!</v>
      </c>
      <c r="CI26" t="e">
        <f>'Technical Skills Weighting'!2666:2666-"`FU!H\"</f>
        <v>#VALUE!</v>
      </c>
      <c r="CJ26" t="e">
        <f>'Technical Skills Weighting'!2667:2667-"`FU!H]"</f>
        <v>#VALUE!</v>
      </c>
      <c r="CK26" t="e">
        <f>'Technical Skills Weighting'!2668:2668-"`FU!H^"</f>
        <v>#VALUE!</v>
      </c>
      <c r="CL26" t="e">
        <f>'Technical Skills Weighting'!2669:2669-"`FU!H_"</f>
        <v>#VALUE!</v>
      </c>
      <c r="CM26" t="e">
        <f>'Technical Skills Weighting'!2670:2670-"`FU!H`"</f>
        <v>#VALUE!</v>
      </c>
      <c r="CN26" t="e">
        <f>'Technical Skills Weighting'!2671:2671-"`FU!Ha"</f>
        <v>#VALUE!</v>
      </c>
      <c r="CO26" t="e">
        <f>'Technical Skills Weighting'!2672:2672-"`FU!Hb"</f>
        <v>#VALUE!</v>
      </c>
      <c r="CP26" t="e">
        <f>'Technical Skills Weighting'!2673:2673-"`FU!Hc"</f>
        <v>#VALUE!</v>
      </c>
      <c r="CQ26" t="e">
        <f>'Technical Skills Weighting'!2674:2674-"`FU!Hd"</f>
        <v>#VALUE!</v>
      </c>
      <c r="CR26" t="e">
        <f>'Technical Skills Weighting'!2675:2675-"`FU!He"</f>
        <v>#VALUE!</v>
      </c>
      <c r="CS26" t="e">
        <f>'Technical Skills Weighting'!2676:2676-"`FU!Hf"</f>
        <v>#VALUE!</v>
      </c>
      <c r="CT26" t="e">
        <f>'Technical Skills Weighting'!2677:2677-"`FU!Hg"</f>
        <v>#VALUE!</v>
      </c>
      <c r="CU26" t="e">
        <f>'Technical Skills Weighting'!2678:2678-"`FU!Hh"</f>
        <v>#VALUE!</v>
      </c>
      <c r="CV26" t="e">
        <f>'Technical Skills Weighting'!2679:2679-"`FU!Hi"</f>
        <v>#VALUE!</v>
      </c>
      <c r="CW26" t="e">
        <f>'Technical Skills Weighting'!2680:2680-"`FU!Hj"</f>
        <v>#VALUE!</v>
      </c>
      <c r="CX26" t="e">
        <f>'Technical Skills Weighting'!2681:2681-"`FU!Hk"</f>
        <v>#VALUE!</v>
      </c>
      <c r="CY26" t="e">
        <f>'Technical Skills Weighting'!2682:2682-"`FU!Hl"</f>
        <v>#VALUE!</v>
      </c>
      <c r="CZ26" t="e">
        <f>'Technical Skills Weighting'!2683:2683-"`FU!Hm"</f>
        <v>#VALUE!</v>
      </c>
      <c r="DA26" t="e">
        <f>'Technical Skills Weighting'!2684:2684-"`FU!Hn"</f>
        <v>#VALUE!</v>
      </c>
      <c r="DB26" t="e">
        <f>'Technical Skills Weighting'!2685:2685-"`FU!Ho"</f>
        <v>#VALUE!</v>
      </c>
      <c r="DC26" t="e">
        <f>'Technical Skills Weighting'!2686:2686-"`FU!Hp"</f>
        <v>#VALUE!</v>
      </c>
      <c r="DD26" t="e">
        <f>'Technical Skills Weighting'!2687:2687-"`FU!Hq"</f>
        <v>#VALUE!</v>
      </c>
      <c r="DE26" t="e">
        <f>'Technical Skills Weighting'!2688:2688-"`FU!Hr"</f>
        <v>#VALUE!</v>
      </c>
      <c r="DF26" t="e">
        <f>'Technical Skills Weighting'!2689:2689-"`FU!Hs"</f>
        <v>#VALUE!</v>
      </c>
      <c r="DG26" t="e">
        <f>'Technical Skills Weighting'!2690:2690-"`FU!Ht"</f>
        <v>#VALUE!</v>
      </c>
      <c r="DH26" t="e">
        <f>'Technical Skills Weighting'!2691:2691-"`FU!Hu"</f>
        <v>#VALUE!</v>
      </c>
      <c r="DI26" t="e">
        <f>'Technical Skills Weighting'!2692:2692-"`FU!Hv"</f>
        <v>#VALUE!</v>
      </c>
      <c r="DJ26" t="e">
        <f>'Technical Skills Weighting'!2693:2693-"`FU!Hw"</f>
        <v>#VALUE!</v>
      </c>
      <c r="DK26" t="e">
        <f>'Technical Skills Weighting'!2694:2694-"`FU!Hx"</f>
        <v>#VALUE!</v>
      </c>
      <c r="DL26" t="e">
        <f>'Technical Skills Weighting'!2695:2695-"`FU!Hy"</f>
        <v>#VALUE!</v>
      </c>
      <c r="DM26" t="e">
        <f>'Technical Skills Weighting'!2696:2696-"`FU!Hz"</f>
        <v>#VALUE!</v>
      </c>
      <c r="DN26" t="e">
        <f>'Technical Skills Weighting'!2697:2697-"`FU!H{"</f>
        <v>#VALUE!</v>
      </c>
      <c r="DO26" t="e">
        <f>'Technical Skills Weighting'!2698:2698-"`FU!H|"</f>
        <v>#VALUE!</v>
      </c>
      <c r="DP26" t="e">
        <f>'Technical Skills Weighting'!2699:2699-"`FU!H}"</f>
        <v>#VALUE!</v>
      </c>
      <c r="DQ26" t="e">
        <f>'Technical Skills Weighting'!2700:2700-"`FU!H~"</f>
        <v>#VALUE!</v>
      </c>
      <c r="DR26" t="e">
        <f>'Technical Skills Weighting'!2701:2701-"`FU!I#"</f>
        <v>#VALUE!</v>
      </c>
      <c r="DS26" t="e">
        <f>'Technical Skills Weighting'!2702:2702-"`FU!I$"</f>
        <v>#VALUE!</v>
      </c>
      <c r="DT26" t="e">
        <f>'Technical Skills Weighting'!2703:2703-"`FU!I%"</f>
        <v>#VALUE!</v>
      </c>
      <c r="DU26" t="e">
        <f>'Technical Skills Weighting'!2704:2704-"`FU!I&amp;"</f>
        <v>#VALUE!</v>
      </c>
      <c r="DV26" t="e">
        <f>'Technical Skills Weighting'!2705:2705-"`FU!I'"</f>
        <v>#VALUE!</v>
      </c>
      <c r="DW26" t="e">
        <f>'Technical Skills Weighting'!2706:2706-"`FU!I("</f>
        <v>#VALUE!</v>
      </c>
      <c r="DX26" t="e">
        <f>'Technical Skills Weighting'!2707:2707-"`FU!I)"</f>
        <v>#VALUE!</v>
      </c>
      <c r="DY26" t="e">
        <f>'Technical Skills Weighting'!2708:2708-"`FU!I."</f>
        <v>#VALUE!</v>
      </c>
      <c r="DZ26" t="e">
        <f>'Technical Skills Weighting'!2709:2709-"`FU!I/"</f>
        <v>#VALUE!</v>
      </c>
      <c r="EA26" t="e">
        <f>'Technical Skills Weighting'!2710:2710-"`FU!I0"</f>
        <v>#VALUE!</v>
      </c>
      <c r="EB26" t="e">
        <f>'Technical Skills Weighting'!2711:2711-"`FU!I1"</f>
        <v>#VALUE!</v>
      </c>
      <c r="EC26" t="e">
        <f>'Technical Skills Weighting'!2712:2712-"`FU!I2"</f>
        <v>#VALUE!</v>
      </c>
      <c r="ED26" t="e">
        <f>'Technical Skills Weighting'!2713:2713-"`FU!I3"</f>
        <v>#VALUE!</v>
      </c>
      <c r="EE26" t="e">
        <f>'Technical Skills Weighting'!2714:2714-"`FU!I4"</f>
        <v>#VALUE!</v>
      </c>
      <c r="EF26" t="e">
        <f>'Technical Skills Weighting'!2715:2715-"`FU!I5"</f>
        <v>#VALUE!</v>
      </c>
      <c r="EG26" t="e">
        <f>'Technical Skills Weighting'!2716:2716-"`FU!I6"</f>
        <v>#VALUE!</v>
      </c>
      <c r="EH26" t="e">
        <f>'Technical Skills Weighting'!2717:2717-"`FU!I7"</f>
        <v>#VALUE!</v>
      </c>
      <c r="EI26" t="e">
        <f>'Technical Skills Weighting'!2718:2718-"`FU!I8"</f>
        <v>#VALUE!</v>
      </c>
      <c r="EJ26" t="e">
        <f>'Technical Skills Weighting'!2719:2719-"`FU!I9"</f>
        <v>#VALUE!</v>
      </c>
      <c r="EK26" t="e">
        <f>'Technical Skills Weighting'!2720:2720-"`FU!I:"</f>
        <v>#VALUE!</v>
      </c>
      <c r="EL26" t="e">
        <f>'Technical Skills Weighting'!2721:2721-"`FU!I;"</f>
        <v>#VALUE!</v>
      </c>
      <c r="EM26" t="e">
        <f>'Technical Skills Weighting'!2722:2722-"`FU!I&lt;"</f>
        <v>#VALUE!</v>
      </c>
      <c r="EN26" t="e">
        <f>'Technical Skills Weighting'!2723:2723-"`FU!I="</f>
        <v>#VALUE!</v>
      </c>
      <c r="EO26" t="e">
        <f>'Technical Skills Weighting'!2724:2724-"`FU!I&gt;"</f>
        <v>#VALUE!</v>
      </c>
      <c r="EP26" t="e">
        <f>'Technical Skills Weighting'!2725:2725-"`FU!I?"</f>
        <v>#VALUE!</v>
      </c>
      <c r="EQ26" t="e">
        <f>'Technical Skills Weighting'!2726:2726-"`FU!I@"</f>
        <v>#VALUE!</v>
      </c>
      <c r="ER26" t="e">
        <f>'Technical Skills Weighting'!2727:2727-"`FU!IA"</f>
        <v>#VALUE!</v>
      </c>
      <c r="ES26" t="e">
        <f>'Technical Skills Weighting'!2728:2728-"`FU!IB"</f>
        <v>#VALUE!</v>
      </c>
      <c r="ET26" t="e">
        <f>'Technical Skills Weighting'!2729:2729-"`FU!IC"</f>
        <v>#VALUE!</v>
      </c>
      <c r="EU26" t="e">
        <f>'Technical Skills Weighting'!2730:2730-"`FU!ID"</f>
        <v>#VALUE!</v>
      </c>
      <c r="EV26" t="e">
        <f>'Technical Skills Weighting'!2731:2731-"`FU!IE"</f>
        <v>#VALUE!</v>
      </c>
      <c r="EW26" t="e">
        <f>'Technical Skills Weighting'!2732:2732-"`FU!IF"</f>
        <v>#VALUE!</v>
      </c>
      <c r="EX26" t="e">
        <f>'Technical Skills Weighting'!2733:2733-"`FU!IG"</f>
        <v>#VALUE!</v>
      </c>
      <c r="EY26" t="e">
        <f>'Technical Skills Weighting'!2734:2734-"`FU!IH"</f>
        <v>#VALUE!</v>
      </c>
      <c r="EZ26" t="e">
        <f>'Technical Skills Weighting'!2735:2735-"`FU!II"</f>
        <v>#VALUE!</v>
      </c>
      <c r="FA26" t="e">
        <f>'Technical Skills Weighting'!2736:2736-"`FU!IJ"</f>
        <v>#VALUE!</v>
      </c>
      <c r="FB26" t="e">
        <f>'Technical Skills Weighting'!2737:2737-"`FU!IK"</f>
        <v>#VALUE!</v>
      </c>
      <c r="FC26" t="e">
        <f>'Technical Skills Weighting'!2738:2738-"`FU!IL"</f>
        <v>#VALUE!</v>
      </c>
      <c r="FD26" t="e">
        <f>'Technical Skills Weighting'!2739:2739-"`FU!IM"</f>
        <v>#VALUE!</v>
      </c>
      <c r="FE26" t="e">
        <f>'Technical Skills Weighting'!2740:2740-"`FU!IN"</f>
        <v>#VALUE!</v>
      </c>
      <c r="FF26" t="e">
        <f>'Technical Skills Weighting'!2741:2741-"`FU!IO"</f>
        <v>#VALUE!</v>
      </c>
      <c r="FG26" t="e">
        <f>'Technical Skills Weighting'!2742:2742-"`FU!IP"</f>
        <v>#VALUE!</v>
      </c>
      <c r="FH26" t="e">
        <f>'Technical Skills Weighting'!2743:2743-"`FU!IQ"</f>
        <v>#VALUE!</v>
      </c>
      <c r="FI26" t="e">
        <f>'Technical Skills Weighting'!2744:2744-"`FU!IR"</f>
        <v>#VALUE!</v>
      </c>
      <c r="FJ26" t="e">
        <f>'Technical Skills Weighting'!2745:2745-"`FU!IS"</f>
        <v>#VALUE!</v>
      </c>
      <c r="FK26" t="e">
        <f>'Technical Skills Weighting'!2746:2746-"`FU!IT"</f>
        <v>#VALUE!</v>
      </c>
      <c r="FL26" t="e">
        <f>'Technical Skills Weighting'!2747:2747-"`FU!IU"</f>
        <v>#VALUE!</v>
      </c>
      <c r="FM26" t="e">
        <f>'Technical Skills Weighting'!2748:2748-"`FU!IV"</f>
        <v>#VALUE!</v>
      </c>
      <c r="FN26" t="e">
        <f>'Technical Skills Weighting'!2749:2749-"`FU!IW"</f>
        <v>#VALUE!</v>
      </c>
      <c r="FO26" t="e">
        <f>'Technical Skills Weighting'!2750:2750-"`FU!IX"</f>
        <v>#VALUE!</v>
      </c>
      <c r="FP26" t="e">
        <f>'Technical Skills Weighting'!2751:2751-"`FU!IY"</f>
        <v>#VALUE!</v>
      </c>
      <c r="FQ26" t="e">
        <f>'Technical Skills Weighting'!2752:2752-"`FU!IZ"</f>
        <v>#VALUE!</v>
      </c>
      <c r="FR26" t="e">
        <f>'Technical Skills Weighting'!2753:2753-"`FU!I["</f>
        <v>#VALUE!</v>
      </c>
      <c r="FS26" t="e">
        <f>'Technical Skills Weighting'!2754:2754-"`FU!I\"</f>
        <v>#VALUE!</v>
      </c>
      <c r="FT26" t="e">
        <f>'Technical Skills Weighting'!2755:2755-"`FU!I]"</f>
        <v>#VALUE!</v>
      </c>
      <c r="FU26" t="e">
        <f>'Technical Skills Weighting'!2756:2756-"`FU!I^"</f>
        <v>#VALUE!</v>
      </c>
      <c r="FV26" t="e">
        <f>'Technical Skills Weighting'!2757:2757-"`FU!I_"</f>
        <v>#VALUE!</v>
      </c>
      <c r="FW26" t="e">
        <f>'Technical Skills Weighting'!2758:2758-"`FU!I`"</f>
        <v>#VALUE!</v>
      </c>
      <c r="FX26" t="e">
        <f>'Technical Skills Weighting'!2759:2759-"`FU!Ia"</f>
        <v>#VALUE!</v>
      </c>
      <c r="FY26" t="e">
        <f>'Technical Skills Weighting'!2760:2760-"`FU!Ib"</f>
        <v>#VALUE!</v>
      </c>
      <c r="FZ26" t="e">
        <f>'Technical Skills Weighting'!2761:2761-"`FU!Ic"</f>
        <v>#VALUE!</v>
      </c>
      <c r="GA26" t="e">
        <f>'Technical Skills Weighting'!2762:2762-"`FU!Id"</f>
        <v>#VALUE!</v>
      </c>
      <c r="GB26" t="e">
        <f>'Technical Skills Weighting'!2763:2763-"`FU!Ie"</f>
        <v>#VALUE!</v>
      </c>
      <c r="GC26" t="e">
        <f>'Technical Skills Weighting'!2764:2764-"`FU!If"</f>
        <v>#VALUE!</v>
      </c>
      <c r="GD26" t="e">
        <f>'Technical Skills Weighting'!2765:2765-"`FU!Ig"</f>
        <v>#VALUE!</v>
      </c>
      <c r="GE26" t="e">
        <f>'Technical Skills Weighting'!2766:2766-"`FU!Ih"</f>
        <v>#VALUE!</v>
      </c>
      <c r="GF26" t="e">
        <f>'Technical Skills Weighting'!2767:2767-"`FU!Ii"</f>
        <v>#VALUE!</v>
      </c>
      <c r="GG26" t="e">
        <f>'Technical Skills Weighting'!2768:2768-"`FU!Ij"</f>
        <v>#VALUE!</v>
      </c>
      <c r="GH26" t="e">
        <f>'Technical Skills Weighting'!2769:2769-"`FU!Ik"</f>
        <v>#VALUE!</v>
      </c>
      <c r="GI26" t="e">
        <f>'Technical Skills Weighting'!2770:2770-"`FU!Il"</f>
        <v>#VALUE!</v>
      </c>
      <c r="GJ26" t="e">
        <f>'Technical Skills Weighting'!2771:2771-"`FU!Im"</f>
        <v>#VALUE!</v>
      </c>
      <c r="GK26" t="e">
        <f>'Technical Skills Weighting'!2772:2772-"`FU!In"</f>
        <v>#VALUE!</v>
      </c>
      <c r="GL26" t="e">
        <f>'Technical Skills Weighting'!2773:2773-"`FU!Io"</f>
        <v>#VALUE!</v>
      </c>
      <c r="GM26" t="e">
        <f>'Technical Skills Weighting'!2774:2774-"`FU!Ip"</f>
        <v>#VALUE!</v>
      </c>
      <c r="GN26" t="e">
        <f>'Technical Skills Weighting'!2775:2775-"`FU!Iq"</f>
        <v>#VALUE!</v>
      </c>
      <c r="GO26" t="e">
        <f>'Technical Skills Weighting'!2776:2776-"`FU!Ir"</f>
        <v>#VALUE!</v>
      </c>
      <c r="GP26" t="e">
        <f>'Technical Skills Weighting'!2777:2777-"`FU!Is"</f>
        <v>#VALUE!</v>
      </c>
      <c r="GQ26" t="e">
        <f>'Technical Skills Weighting'!2778:2778-"`FU!It"</f>
        <v>#VALUE!</v>
      </c>
      <c r="GR26" t="e">
        <f>'Technical Skills Weighting'!2779:2779-"`FU!Iu"</f>
        <v>#VALUE!</v>
      </c>
      <c r="GS26" t="e">
        <f>'Technical Skills Weighting'!2780:2780-"`FU!Iv"</f>
        <v>#VALUE!</v>
      </c>
      <c r="GT26" t="e">
        <f>'Technical Skills Weighting'!2781:2781-"`FU!Iw"</f>
        <v>#VALUE!</v>
      </c>
      <c r="GU26" t="e">
        <f>'Technical Skills Weighting'!2782:2782-"`FU!Ix"</f>
        <v>#VALUE!</v>
      </c>
      <c r="GV26" t="e">
        <f>'Technical Skills Weighting'!2783:2783-"`FU!Iy"</f>
        <v>#VALUE!</v>
      </c>
      <c r="GW26" t="e">
        <f>'Technical Skills Weighting'!2784:2784-"`FU!Iz"</f>
        <v>#VALUE!</v>
      </c>
      <c r="GX26" t="e">
        <f>'Technical Skills Weighting'!2785:2785-"`FU!I{"</f>
        <v>#VALUE!</v>
      </c>
      <c r="GY26" t="e">
        <f>'Technical Skills Weighting'!2786:2786-"`FU!I|"</f>
        <v>#VALUE!</v>
      </c>
      <c r="GZ26" t="e">
        <f>'Technical Skills Weighting'!2787:2787-"`FU!I}"</f>
        <v>#VALUE!</v>
      </c>
      <c r="HA26" t="e">
        <f>'Technical Skills Weighting'!2788:2788-"`FU!I~"</f>
        <v>#VALUE!</v>
      </c>
      <c r="HB26" t="e">
        <f>'Technical Skills Weighting'!2789:2789-"`FU!J#"</f>
        <v>#VALUE!</v>
      </c>
      <c r="HC26" t="e">
        <f>'Technical Skills Weighting'!2790:2790-"`FU!J$"</f>
        <v>#VALUE!</v>
      </c>
      <c r="HD26" t="e">
        <f>'Technical Skills Weighting'!2791:2791-"`FU!J%"</f>
        <v>#VALUE!</v>
      </c>
      <c r="HE26" t="e">
        <f>'Technical Skills Weighting'!2792:2792-"`FU!J&amp;"</f>
        <v>#VALUE!</v>
      </c>
      <c r="HF26" t="e">
        <f>'Technical Skills Weighting'!2793:2793-"`FU!J'"</f>
        <v>#VALUE!</v>
      </c>
      <c r="HG26" t="e">
        <f>'Technical Skills Weighting'!2794:2794-"`FU!J("</f>
        <v>#VALUE!</v>
      </c>
      <c r="HH26" t="e">
        <f>'Technical Skills Weighting'!2795:2795-"`FU!J)"</f>
        <v>#VALUE!</v>
      </c>
      <c r="HI26" t="e">
        <f>'Technical Skills Weighting'!2796:2796-"`FU!J."</f>
        <v>#VALUE!</v>
      </c>
      <c r="HJ26" t="e">
        <f>'Technical Skills Weighting'!2797:2797-"`FU!J/"</f>
        <v>#VALUE!</v>
      </c>
      <c r="HK26" t="e">
        <f>'Technical Skills Weighting'!2798:2798-"`FU!J0"</f>
        <v>#VALUE!</v>
      </c>
      <c r="HL26" t="e">
        <f>'Technical Skills Weighting'!2799:2799-"`FU!J1"</f>
        <v>#VALUE!</v>
      </c>
      <c r="HM26" t="e">
        <f>'Technical Skills Weighting'!2800:2800-"`FU!J2"</f>
        <v>#VALUE!</v>
      </c>
      <c r="HN26" t="e">
        <f>'Technical Skills Weighting'!2801:2801-"`FU!J3"</f>
        <v>#VALUE!</v>
      </c>
      <c r="HO26" t="e">
        <f>'Technical Skills Weighting'!2802:2802-"`FU!J4"</f>
        <v>#VALUE!</v>
      </c>
      <c r="HP26" t="e">
        <f>'Technical Skills Weighting'!2803:2803-"`FU!J5"</f>
        <v>#VALUE!</v>
      </c>
      <c r="HQ26" t="e">
        <f>'Technical Skills Weighting'!2804:2804-"`FU!J6"</f>
        <v>#VALUE!</v>
      </c>
      <c r="HR26" t="e">
        <f>'Technical Skills Weighting'!2805:2805-"`FU!J7"</f>
        <v>#VALUE!</v>
      </c>
      <c r="HS26" t="e">
        <f>'Technical Skills Weighting'!2806:2806-"`FU!J8"</f>
        <v>#VALUE!</v>
      </c>
      <c r="HT26" t="e">
        <f>'Technical Skills Weighting'!2807:2807-"`FU!J9"</f>
        <v>#VALUE!</v>
      </c>
      <c r="HU26" t="e">
        <f>'Technical Skills Weighting'!2808:2808-"`FU!J:"</f>
        <v>#VALUE!</v>
      </c>
      <c r="HV26" t="e">
        <f>'Technical Skills Weighting'!2809:2809-"`FU!J;"</f>
        <v>#VALUE!</v>
      </c>
      <c r="HW26" t="e">
        <f>'Technical Skills Weighting'!2810:2810-"`FU!J&lt;"</f>
        <v>#VALUE!</v>
      </c>
      <c r="HX26" t="e">
        <f>'Technical Skills Weighting'!2811:2811-"`FU!J="</f>
        <v>#VALUE!</v>
      </c>
      <c r="HY26" t="e">
        <f>'Technical Skills Weighting'!2812:2812-"`FU!J&gt;"</f>
        <v>#VALUE!</v>
      </c>
      <c r="HZ26" t="e">
        <f>'Technical Skills Weighting'!2813:2813-"`FU!J?"</f>
        <v>#VALUE!</v>
      </c>
      <c r="IA26" t="e">
        <f>'Technical Skills Weighting'!2814:2814-"`FU!J@"</f>
        <v>#VALUE!</v>
      </c>
      <c r="IB26" t="e">
        <f>'Technical Skills Weighting'!2815:2815-"`FU!JA"</f>
        <v>#VALUE!</v>
      </c>
      <c r="IC26" t="e">
        <f>'Technical Skills Weighting'!2816:2816-"`FU!JB"</f>
        <v>#VALUE!</v>
      </c>
      <c r="ID26" t="e">
        <f>'Technical Skills Weighting'!2817:2817-"`FU!JC"</f>
        <v>#VALUE!</v>
      </c>
      <c r="IE26" t="e">
        <f>'Technical Skills Weighting'!2818:2818-"`FU!JD"</f>
        <v>#VALUE!</v>
      </c>
      <c r="IF26" t="e">
        <f>'Technical Skills Weighting'!2819:2819-"`FU!JE"</f>
        <v>#VALUE!</v>
      </c>
      <c r="IG26" t="e">
        <f>'Technical Skills Weighting'!2820:2820-"`FU!JF"</f>
        <v>#VALUE!</v>
      </c>
      <c r="IH26" t="e">
        <f>'Technical Skills Weighting'!2821:2821-"`FU!JG"</f>
        <v>#VALUE!</v>
      </c>
      <c r="II26" t="e">
        <f>'Technical Skills Weighting'!2822:2822-"`FU!JH"</f>
        <v>#VALUE!</v>
      </c>
      <c r="IJ26" t="e">
        <f>'Technical Skills Weighting'!2823:2823-"`FU!JI"</f>
        <v>#VALUE!</v>
      </c>
      <c r="IK26" t="e">
        <f>'Technical Skills Weighting'!2824:2824-"`FU!JJ"</f>
        <v>#VALUE!</v>
      </c>
      <c r="IL26" t="e">
        <f>'Technical Skills Weighting'!2825:2825-"`FU!JK"</f>
        <v>#VALUE!</v>
      </c>
      <c r="IM26" t="e">
        <f>'Technical Skills Weighting'!2826:2826-"`FU!JL"</f>
        <v>#VALUE!</v>
      </c>
      <c r="IN26" t="e">
        <f>'Technical Skills Weighting'!2827:2827-"`FU!JM"</f>
        <v>#VALUE!</v>
      </c>
      <c r="IO26" t="e">
        <f>'Technical Skills Weighting'!2828:2828-"`FU!JN"</f>
        <v>#VALUE!</v>
      </c>
      <c r="IP26" t="e">
        <f>'Technical Skills Weighting'!2829:2829-"`FU!JO"</f>
        <v>#VALUE!</v>
      </c>
      <c r="IQ26" t="e">
        <f>'Technical Skills Weighting'!2830:2830-"`FU!JP"</f>
        <v>#VALUE!</v>
      </c>
      <c r="IR26" t="e">
        <f>'Technical Skills Weighting'!2831:2831-"`FU!JQ"</f>
        <v>#VALUE!</v>
      </c>
      <c r="IS26" t="e">
        <f>'Technical Skills Weighting'!2832:2832-"`FU!JR"</f>
        <v>#VALUE!</v>
      </c>
      <c r="IT26" t="e">
        <f>'Technical Skills Weighting'!2833:2833-"`FU!JS"</f>
        <v>#VALUE!</v>
      </c>
      <c r="IU26" t="e">
        <f>'Technical Skills Weighting'!2834:2834-"`FU!JT"</f>
        <v>#VALUE!</v>
      </c>
      <c r="IV26" t="e">
        <f>'Technical Skills Weighting'!2835:2835-"`FU!JU"</f>
        <v>#VALUE!</v>
      </c>
    </row>
    <row r="27" spans="6:256" x14ac:dyDescent="0.25">
      <c r="F27" t="e">
        <f>'Technical Skills Weighting'!2836:2836-"`FU!JV"</f>
        <v>#VALUE!</v>
      </c>
      <c r="G27" t="e">
        <f>'Technical Skills Weighting'!2837:2837-"`FU!JW"</f>
        <v>#VALUE!</v>
      </c>
      <c r="H27" t="e">
        <f>'Technical Skills Weighting'!2838:2838-"`FU!JX"</f>
        <v>#VALUE!</v>
      </c>
      <c r="I27" t="e">
        <f>'Technical Skills Weighting'!2839:2839-"`FU!JY"</f>
        <v>#VALUE!</v>
      </c>
      <c r="J27" t="e">
        <f>'Technical Skills Weighting'!2840:2840-"`FU!JZ"</f>
        <v>#VALUE!</v>
      </c>
      <c r="K27" t="e">
        <f>'Technical Skills Weighting'!2841:2841-"`FU!J["</f>
        <v>#VALUE!</v>
      </c>
      <c r="L27" t="e">
        <f>'Technical Skills Weighting'!2842:2842-"`FU!J\"</f>
        <v>#VALUE!</v>
      </c>
      <c r="M27" t="e">
        <f>'Technical Skills Weighting'!2843:2843-"`FU!J]"</f>
        <v>#VALUE!</v>
      </c>
      <c r="N27" t="e">
        <f>'Technical Skills Weighting'!2844:2844-"`FU!J^"</f>
        <v>#VALUE!</v>
      </c>
      <c r="O27" t="e">
        <f>'Technical Skills Weighting'!2845:2845-"`FU!J_"</f>
        <v>#VALUE!</v>
      </c>
      <c r="P27" t="e">
        <f>'Technical Skills Weighting'!2846:2846-"`FU!J`"</f>
        <v>#VALUE!</v>
      </c>
      <c r="Q27" t="e">
        <f>'Technical Skills Weighting'!2847:2847-"`FU!Ja"</f>
        <v>#VALUE!</v>
      </c>
      <c r="R27" t="e">
        <f>'Technical Skills Weighting'!2848:2848-"`FU!Jb"</f>
        <v>#VALUE!</v>
      </c>
      <c r="S27" t="e">
        <f>'Technical Skills Weighting'!2849:2849-"`FU!Jc"</f>
        <v>#VALUE!</v>
      </c>
      <c r="T27" t="e">
        <f>'Technical Skills Weighting'!2850:2850-"`FU!Jd"</f>
        <v>#VALUE!</v>
      </c>
      <c r="U27" t="e">
        <f>'Technical Skills Weighting'!2851:2851-"`FU!Je"</f>
        <v>#VALUE!</v>
      </c>
      <c r="V27" t="e">
        <f>'Technical Skills Weighting'!2852:2852-"`FU!Jf"</f>
        <v>#VALUE!</v>
      </c>
      <c r="W27" t="e">
        <f>'Technical Skills Weighting'!2853:2853-"`FU!Jg"</f>
        <v>#VALUE!</v>
      </c>
      <c r="X27" t="e">
        <f>'Technical Skills Weighting'!2854:2854-"`FU!Jh"</f>
        <v>#VALUE!</v>
      </c>
      <c r="Y27" t="e">
        <f>'Technical Skills Weighting'!2855:2855-"`FU!Ji"</f>
        <v>#VALUE!</v>
      </c>
      <c r="Z27" t="e">
        <f>'Technical Skills Weighting'!2856:2856-"`FU!Jj"</f>
        <v>#VALUE!</v>
      </c>
      <c r="AA27" t="e">
        <f>'Technical Skills Weighting'!2857:2857-"`FU!Jk"</f>
        <v>#VALUE!</v>
      </c>
      <c r="AB27" t="e">
        <f>'Technical Skills Weighting'!2858:2858-"`FU!Jl"</f>
        <v>#VALUE!</v>
      </c>
      <c r="AC27" t="e">
        <f>'Technical Skills Weighting'!2859:2859-"`FU!Jm"</f>
        <v>#VALUE!</v>
      </c>
      <c r="AD27" t="e">
        <f>'Technical Skills Weighting'!2860:2860-"`FU!Jn"</f>
        <v>#VALUE!</v>
      </c>
      <c r="AE27" t="e">
        <f>'Technical Skills Weighting'!2861:2861-"`FU!Jo"</f>
        <v>#VALUE!</v>
      </c>
      <c r="AF27" t="e">
        <f>'Technical Skills Weighting'!2862:2862-"`FU!Jp"</f>
        <v>#VALUE!</v>
      </c>
      <c r="AG27" t="e">
        <f>'Technical Skills Weighting'!2863:2863-"`FU!Jq"</f>
        <v>#VALUE!</v>
      </c>
      <c r="AH27" t="e">
        <f>'Technical Skills Weighting'!2864:2864-"`FU!Jr"</f>
        <v>#VALUE!</v>
      </c>
      <c r="AI27" t="e">
        <f>'Technical Skills Weighting'!2865:2865-"`FU!Js"</f>
        <v>#VALUE!</v>
      </c>
      <c r="AJ27" t="e">
        <f>'Technical Skills Weighting'!2866:2866-"`FU!Jt"</f>
        <v>#VALUE!</v>
      </c>
      <c r="AK27" t="e">
        <f>'Technical Skills Weighting'!2867:2867-"`FU!Ju"</f>
        <v>#VALUE!</v>
      </c>
      <c r="AL27" t="e">
        <f>'Technical Skills Weighting'!2868:2868-"`FU!Jv"</f>
        <v>#VALUE!</v>
      </c>
      <c r="AM27" t="e">
        <f>'Technical Skills Weighting'!2869:2869-"`FU!Jw"</f>
        <v>#VALUE!</v>
      </c>
      <c r="AN27" t="e">
        <f>'Technical Skills Weighting'!2870:2870-"`FU!Jx"</f>
        <v>#VALUE!</v>
      </c>
      <c r="AO27" t="e">
        <f>'Technical Skills Weighting'!2871:2871-"`FU!Jy"</f>
        <v>#VALUE!</v>
      </c>
      <c r="AP27" t="e">
        <f>'Technical Skills Weighting'!2872:2872-"`FU!Jz"</f>
        <v>#VALUE!</v>
      </c>
      <c r="AQ27" t="e">
        <f>'Technical Skills Weighting'!2873:2873-"`FU!J{"</f>
        <v>#VALUE!</v>
      </c>
      <c r="AR27" t="e">
        <f>'Technical Skills Weighting'!2874:2874-"`FU!J|"</f>
        <v>#VALUE!</v>
      </c>
      <c r="AS27" t="e">
        <f>'Technical Skills Weighting'!2875:2875-"`FU!J}"</f>
        <v>#VALUE!</v>
      </c>
      <c r="AT27" t="e">
        <f>'Technical Skills Weighting'!2876:2876-"`FU!J~"</f>
        <v>#VALUE!</v>
      </c>
      <c r="AU27" t="e">
        <f>'Technical Skills Weighting'!2877:2877-"`FU!K#"</f>
        <v>#VALUE!</v>
      </c>
      <c r="AV27" t="e">
        <f>'Technical Skills Weighting'!2878:2878-"`FU!K$"</f>
        <v>#VALUE!</v>
      </c>
      <c r="AW27" t="e">
        <f>'Technical Skills Weighting'!2879:2879-"`FU!K%"</f>
        <v>#VALUE!</v>
      </c>
      <c r="AX27" t="e">
        <f>'Technical Skills Weighting'!2880:2880-"`FU!K&amp;"</f>
        <v>#VALUE!</v>
      </c>
      <c r="AY27" t="e">
        <f>'Technical Skills Weighting'!2881:2881-"`FU!K'"</f>
        <v>#VALUE!</v>
      </c>
      <c r="AZ27" t="e">
        <f>'Technical Skills Weighting'!2882:2882-"`FU!K("</f>
        <v>#VALUE!</v>
      </c>
      <c r="BA27" t="e">
        <f>'Technical Skills Weighting'!2883:2883-"`FU!K)"</f>
        <v>#VALUE!</v>
      </c>
      <c r="BB27" t="e">
        <f>'Technical Skills Weighting'!2884:2884-"`FU!K."</f>
        <v>#VALUE!</v>
      </c>
      <c r="BC27" t="e">
        <f>'Technical Skills Weighting'!2885:2885-"`FU!K/"</f>
        <v>#VALUE!</v>
      </c>
      <c r="BD27" t="e">
        <f>'Technical Skills Weighting'!2886:2886-"`FU!K0"</f>
        <v>#VALUE!</v>
      </c>
      <c r="BE27" t="e">
        <f>'Technical Skills Weighting'!2887:2887-"`FU!K1"</f>
        <v>#VALUE!</v>
      </c>
      <c r="BF27" t="e">
        <f>'Technical Skills Weighting'!2888:2888-"`FU!K2"</f>
        <v>#VALUE!</v>
      </c>
      <c r="BG27" t="e">
        <f>'Technical Skills Weighting'!2889:2889-"`FU!K3"</f>
        <v>#VALUE!</v>
      </c>
      <c r="BH27" t="e">
        <f>'Technical Skills Weighting'!2890:2890-"`FU!K4"</f>
        <v>#VALUE!</v>
      </c>
      <c r="BI27" t="e">
        <f>'Technical Skills Weighting'!2891:2891-"`FU!K5"</f>
        <v>#VALUE!</v>
      </c>
      <c r="BJ27" t="e">
        <f>'Technical Skills Weighting'!2892:2892-"`FU!K6"</f>
        <v>#VALUE!</v>
      </c>
      <c r="BK27" t="e">
        <f>'Technical Skills Weighting'!2893:2893-"`FU!K7"</f>
        <v>#VALUE!</v>
      </c>
      <c r="BL27" t="e">
        <f>'Technical Skills Weighting'!2894:2894-"`FU!K8"</f>
        <v>#VALUE!</v>
      </c>
      <c r="BM27" t="e">
        <f>'Technical Skills Weighting'!2895:2895-"`FU!K9"</f>
        <v>#VALUE!</v>
      </c>
      <c r="BN27" t="e">
        <f>'Technical Skills Weighting'!2896:2896-"`FU!K:"</f>
        <v>#VALUE!</v>
      </c>
      <c r="BO27" t="e">
        <f>'Technical Skills Weighting'!2897:2897-"`FU!K;"</f>
        <v>#VALUE!</v>
      </c>
      <c r="BP27" t="e">
        <f>'Technical Skills Weighting'!2898:2898-"`FU!K&lt;"</f>
        <v>#VALUE!</v>
      </c>
      <c r="BQ27" t="e">
        <f>'Technical Skills Weighting'!2899:2899-"`FU!K="</f>
        <v>#VALUE!</v>
      </c>
      <c r="BR27" t="e">
        <f>'Technical Skills Weighting'!2900:2900-"`FU!K&gt;"</f>
        <v>#VALUE!</v>
      </c>
      <c r="BS27" t="e">
        <f>'Technical Skills Weighting'!2901:2901-"`FU!K?"</f>
        <v>#VALUE!</v>
      </c>
      <c r="BT27" t="e">
        <f>'Technical Skills Weighting'!2902:2902-"`FU!K@"</f>
        <v>#VALUE!</v>
      </c>
      <c r="BU27" t="e">
        <f>'Technical Skills Weighting'!2903:2903-"`FU!KA"</f>
        <v>#VALUE!</v>
      </c>
      <c r="BV27" t="e">
        <f>'Technical Skills Weighting'!2904:2904-"`FU!KB"</f>
        <v>#VALUE!</v>
      </c>
      <c r="BW27" t="e">
        <f>'Technical Skills Weighting'!2905:2905-"`FU!KC"</f>
        <v>#VALUE!</v>
      </c>
      <c r="BX27" t="e">
        <f>'Technical Skills Weighting'!2906:2906-"`FU!KD"</f>
        <v>#VALUE!</v>
      </c>
      <c r="BY27" t="e">
        <f>'Technical Skills Weighting'!2907:2907-"`FU!KE"</f>
        <v>#VALUE!</v>
      </c>
      <c r="BZ27" t="e">
        <f>'Technical Skills Weighting'!2908:2908-"`FU!KF"</f>
        <v>#VALUE!</v>
      </c>
      <c r="CA27" t="e">
        <f>'Technical Skills Weighting'!2909:2909-"`FU!KG"</f>
        <v>#VALUE!</v>
      </c>
      <c r="CB27" t="e">
        <f>'Technical Skills Weighting'!2910:2910-"`FU!KH"</f>
        <v>#VALUE!</v>
      </c>
      <c r="CC27" t="e">
        <f>'Technical Skills Weighting'!2911:2911-"`FU!KI"</f>
        <v>#VALUE!</v>
      </c>
      <c r="CD27" t="e">
        <f>'Technical Skills Weighting'!2912:2912-"`FU!KJ"</f>
        <v>#VALUE!</v>
      </c>
      <c r="CE27" t="e">
        <f>'Technical Skills Weighting'!2913:2913-"`FU!KK"</f>
        <v>#VALUE!</v>
      </c>
      <c r="CF27" t="e">
        <f>'Technical Skills Weighting'!2914:2914-"`FU!KL"</f>
        <v>#VALUE!</v>
      </c>
      <c r="CG27" t="e">
        <f>'Technical Skills Weighting'!2915:2915-"`FU!KM"</f>
        <v>#VALUE!</v>
      </c>
      <c r="CH27" t="e">
        <f>'Technical Skills Weighting'!2916:2916-"`FU!KN"</f>
        <v>#VALUE!</v>
      </c>
      <c r="CI27" t="e">
        <f>'Technical Skills Weighting'!2917:2917-"`FU!KO"</f>
        <v>#VALUE!</v>
      </c>
      <c r="CJ27" t="e">
        <f>'Technical Skills Weighting'!2918:2918-"`FU!KP"</f>
        <v>#VALUE!</v>
      </c>
      <c r="CK27" t="e">
        <f>'Technical Skills Weighting'!2919:2919-"`FU!KQ"</f>
        <v>#VALUE!</v>
      </c>
      <c r="CL27" t="e">
        <f>'Technical Skills Weighting'!2920:2920-"`FU!KR"</f>
        <v>#VALUE!</v>
      </c>
      <c r="CM27" t="e">
        <f>'Technical Skills Weighting'!2921:2921-"`FU!KS"</f>
        <v>#VALUE!</v>
      </c>
      <c r="CN27" t="e">
        <f>'Technical Skills Weighting'!2922:2922-"`FU!KT"</f>
        <v>#VALUE!</v>
      </c>
      <c r="CO27" t="e">
        <f>'Technical Skills Weighting'!2923:2923-"`FU!KU"</f>
        <v>#VALUE!</v>
      </c>
      <c r="CP27" t="e">
        <f>'Technical Skills Weighting'!2924:2924-"`FU!KV"</f>
        <v>#VALUE!</v>
      </c>
      <c r="CQ27" t="e">
        <f>'Technical Skills Weighting'!2925:2925-"`FU!KW"</f>
        <v>#VALUE!</v>
      </c>
      <c r="CR27" t="e">
        <f>'Technical Skills Weighting'!2926:2926-"`FU!KX"</f>
        <v>#VALUE!</v>
      </c>
      <c r="CS27" t="e">
        <f>'Technical Skills Weighting'!2927:2927-"`FU!KY"</f>
        <v>#VALUE!</v>
      </c>
      <c r="CT27" t="e">
        <f>'Technical Skills Weighting'!2928:2928-"`FU!KZ"</f>
        <v>#VALUE!</v>
      </c>
      <c r="CU27" t="e">
        <f>'Technical Skills Weighting'!2929:2929-"`FU!K["</f>
        <v>#VALUE!</v>
      </c>
      <c r="CV27" t="e">
        <f>'Technical Skills Weighting'!2930:2930-"`FU!K\"</f>
        <v>#VALUE!</v>
      </c>
      <c r="CW27" t="e">
        <f>'Technical Skills Weighting'!2931:2931-"`FU!K]"</f>
        <v>#VALUE!</v>
      </c>
      <c r="CX27" t="e">
        <f>'Technical Skills Weighting'!2932:2932-"`FU!K^"</f>
        <v>#VALUE!</v>
      </c>
      <c r="CY27" t="e">
        <f>'Technical Skills Weighting'!2933:2933-"`FU!K_"</f>
        <v>#VALUE!</v>
      </c>
      <c r="CZ27" t="e">
        <f>'Technical Skills Weighting'!2934:2934-"`FU!K`"</f>
        <v>#VALUE!</v>
      </c>
      <c r="DA27" t="e">
        <f>'Technical Skills Weighting'!2935:2935-"`FU!Ka"</f>
        <v>#VALUE!</v>
      </c>
      <c r="DB27" t="e">
        <f>'Technical Skills Weighting'!2936:2936-"`FU!Kb"</f>
        <v>#VALUE!</v>
      </c>
      <c r="DC27" t="e">
        <f>'Technical Skills Weighting'!2937:2937-"`FU!Kc"</f>
        <v>#VALUE!</v>
      </c>
      <c r="DD27" t="e">
        <f>'Technical Skills Weighting'!2938:2938-"`FU!Kd"</f>
        <v>#VALUE!</v>
      </c>
      <c r="DE27" t="e">
        <f>'Technical Skills Weighting'!2939:2939-"`FU!Ke"</f>
        <v>#VALUE!</v>
      </c>
      <c r="DF27" t="e">
        <f>'Technical Skills Weighting'!2940:2940-"`FU!Kf"</f>
        <v>#VALUE!</v>
      </c>
      <c r="DG27" t="e">
        <f>'Technical Skills Weighting'!2941:2941-"`FU!Kg"</f>
        <v>#VALUE!</v>
      </c>
      <c r="DH27" t="e">
        <f>'Technical Skills Weighting'!2942:2942-"`FU!Kh"</f>
        <v>#VALUE!</v>
      </c>
      <c r="DI27" t="e">
        <f>'Technical Skills Weighting'!2943:2943-"`FU!Ki"</f>
        <v>#VALUE!</v>
      </c>
      <c r="DJ27" t="e">
        <f>'Technical Skills Weighting'!2944:2944-"`FU!Kj"</f>
        <v>#VALUE!</v>
      </c>
      <c r="DK27" t="e">
        <f>'Technical Skills Weighting'!2945:2945-"`FU!Kk"</f>
        <v>#VALUE!</v>
      </c>
      <c r="DL27" t="e">
        <f>'Technical Skills Weighting'!2946:2946-"`FU!Kl"</f>
        <v>#VALUE!</v>
      </c>
      <c r="DM27" t="e">
        <f>'Technical Skills Weighting'!2947:2947-"`FU!Km"</f>
        <v>#VALUE!</v>
      </c>
      <c r="DN27" t="e">
        <f>'Technical Skills Weighting'!2948:2948-"`FU!Kn"</f>
        <v>#VALUE!</v>
      </c>
      <c r="DO27" t="e">
        <f>'Technical Skills Weighting'!2949:2949-"`FU!Ko"</f>
        <v>#VALUE!</v>
      </c>
      <c r="DP27" t="e">
        <f>'Technical Skills Weighting'!2950:2950-"`FU!Kp"</f>
        <v>#VALUE!</v>
      </c>
      <c r="DQ27" t="e">
        <f>'Technical Skills Weighting'!2951:2951-"`FU!Kq"</f>
        <v>#VALUE!</v>
      </c>
      <c r="DR27" t="e">
        <f>'Technical Skills Weighting'!2952:2952-"`FU!Kr"</f>
        <v>#VALUE!</v>
      </c>
      <c r="DS27" t="e">
        <f>'Technical Skills Weighting'!2953:2953-"`FU!Ks"</f>
        <v>#VALUE!</v>
      </c>
      <c r="DT27" t="e">
        <f>'Technical Skills Weighting'!2954:2954-"`FU!Kt"</f>
        <v>#VALUE!</v>
      </c>
      <c r="DU27" t="e">
        <f>'Technical Skills Weighting'!2955:2955-"`FU!Ku"</f>
        <v>#VALUE!</v>
      </c>
      <c r="DV27" t="e">
        <f>'Technical Skills Weighting'!2956:2956-"`FU!Kv"</f>
        <v>#VALUE!</v>
      </c>
      <c r="DW27" t="e">
        <f>'Technical Skills Weighting'!2957:2957-"`FU!Kw"</f>
        <v>#VALUE!</v>
      </c>
      <c r="DX27" t="e">
        <f>'Technical Skills Weighting'!2958:2958-"`FU!Kx"</f>
        <v>#VALUE!</v>
      </c>
      <c r="DY27" t="e">
        <f>'Technical Skills Weighting'!2959:2959-"`FU!Ky"</f>
        <v>#VALUE!</v>
      </c>
      <c r="DZ27" t="e">
        <f>'Technical Skills Weighting'!2960:2960-"`FU!Kz"</f>
        <v>#VALUE!</v>
      </c>
      <c r="EA27" t="e">
        <f>'Technical Skills Weighting'!2961:2961-"`FU!K{"</f>
        <v>#VALUE!</v>
      </c>
      <c r="EB27" t="e">
        <f>'Technical Skills Weighting'!2962:2962-"`FU!K|"</f>
        <v>#VALUE!</v>
      </c>
      <c r="EC27" t="e">
        <f>'Technical Skills Weighting'!2963:2963-"`FU!K}"</f>
        <v>#VALUE!</v>
      </c>
      <c r="ED27" t="e">
        <f>'Technical Skills Weighting'!2964:2964-"`FU!K~"</f>
        <v>#VALUE!</v>
      </c>
      <c r="EE27" t="e">
        <f>'Technical Skills Weighting'!2965:2965-"`FU!L#"</f>
        <v>#VALUE!</v>
      </c>
      <c r="EF27" t="e">
        <f>'Technical Skills Weighting'!2966:2966-"`FU!L$"</f>
        <v>#VALUE!</v>
      </c>
      <c r="EG27" t="e">
        <f>'Technical Skills Weighting'!2967:2967-"`FU!L%"</f>
        <v>#VALUE!</v>
      </c>
      <c r="EH27" t="e">
        <f>'Technical Skills Weighting'!2968:2968-"`FU!L&amp;"</f>
        <v>#VALUE!</v>
      </c>
      <c r="EI27" t="e">
        <f>'Technical Skills Weighting'!2969:2969-"`FU!L'"</f>
        <v>#VALUE!</v>
      </c>
      <c r="EJ27" t="e">
        <f>'Technical Skills Weighting'!2970:2970-"`FU!L("</f>
        <v>#VALUE!</v>
      </c>
      <c r="EK27" t="e">
        <f>'Technical Skills Weighting'!2971:2971-"`FU!L)"</f>
        <v>#VALUE!</v>
      </c>
      <c r="EL27" t="e">
        <f>'Technical Skills Weighting'!2972:2972-"`FU!L."</f>
        <v>#VALUE!</v>
      </c>
      <c r="EM27" t="e">
        <f>'Technical Skills Weighting'!2973:2973-"`FU!L/"</f>
        <v>#VALUE!</v>
      </c>
      <c r="EN27" t="e">
        <f>'Technical Skills Weighting'!2974:2974-"`FU!L0"</f>
        <v>#VALUE!</v>
      </c>
      <c r="EO27" t="e">
        <f>'Technical Skills Weighting'!2975:2975-"`FU!L1"</f>
        <v>#VALUE!</v>
      </c>
      <c r="EP27" t="e">
        <f>'Technical Skills Weighting'!2976:2976-"`FU!L2"</f>
        <v>#VALUE!</v>
      </c>
      <c r="EQ27" t="e">
        <f>'Technical Skills Weighting'!2977:2977-"`FU!L3"</f>
        <v>#VALUE!</v>
      </c>
      <c r="ER27" t="e">
        <f>'Technical Skills Weighting'!2978:2978-"`FU!L4"</f>
        <v>#VALUE!</v>
      </c>
      <c r="ES27" t="e">
        <f>'Technical Skills Weighting'!2979:2979-"`FU!L5"</f>
        <v>#VALUE!</v>
      </c>
      <c r="ET27" t="e">
        <f>'Technical Skills Weighting'!2980:2980-"`FU!L6"</f>
        <v>#VALUE!</v>
      </c>
      <c r="EU27" t="e">
        <f>'Technical Skills Weighting'!2981:2981-"`FU!L7"</f>
        <v>#VALUE!</v>
      </c>
      <c r="EV27" t="e">
        <f>'Technical Skills Weighting'!2982:2982-"`FU!L8"</f>
        <v>#VALUE!</v>
      </c>
      <c r="EW27" t="e">
        <f>'Technical Skills Weighting'!2983:2983-"`FU!L9"</f>
        <v>#VALUE!</v>
      </c>
      <c r="EX27" t="e">
        <f>'Technical Skills Weighting'!2984:2984-"`FU!L:"</f>
        <v>#VALUE!</v>
      </c>
      <c r="EY27" t="e">
        <f>'Technical Skills Weighting'!2985:2985-"`FU!L;"</f>
        <v>#VALUE!</v>
      </c>
      <c r="EZ27" t="e">
        <f>'Technical Skills Weighting'!2986:2986-"`FU!L&lt;"</f>
        <v>#VALUE!</v>
      </c>
      <c r="FA27" t="e">
        <f>'Technical Skills Weighting'!2987:2987-"`FU!L="</f>
        <v>#VALUE!</v>
      </c>
      <c r="FB27" t="e">
        <f>'Technical Skills Weighting'!2988:2988-"`FU!L&gt;"</f>
        <v>#VALUE!</v>
      </c>
      <c r="FC27" t="e">
        <f>'Technical Skills Weighting'!2989:2989-"`FU!L?"</f>
        <v>#VALUE!</v>
      </c>
      <c r="FD27" t="e">
        <f>'Technical Skills Weighting'!2990:2990-"`FU!L@"</f>
        <v>#VALUE!</v>
      </c>
      <c r="FE27" t="e">
        <f>'Technical Skills Weighting'!2991:2991-"`FU!LA"</f>
        <v>#VALUE!</v>
      </c>
      <c r="FF27" t="e">
        <f>'Technical Skills Weighting'!2992:2992-"`FU!LB"</f>
        <v>#VALUE!</v>
      </c>
      <c r="FG27" t="e">
        <f>'Technical Skills Weighting'!2993:2993-"`FU!LC"</f>
        <v>#VALUE!</v>
      </c>
      <c r="FH27" t="e">
        <f>'Technical Skills Weighting'!2994:2994-"`FU!LD"</f>
        <v>#VALUE!</v>
      </c>
      <c r="FI27" t="e">
        <f>'Technical Skills Weighting'!2995:2995-"`FU!LE"</f>
        <v>#VALUE!</v>
      </c>
      <c r="FJ27" t="e">
        <f>'Technical Skills Weighting'!2996:2996-"`FU!LF"</f>
        <v>#VALUE!</v>
      </c>
      <c r="FK27" t="e">
        <f>'Technical Skills Weighting'!2997:2997-"`FU!LG"</f>
        <v>#VALUE!</v>
      </c>
      <c r="FL27" t="e">
        <f>'Technical Skills Weighting'!2998:2998-"`FU!LH"</f>
        <v>#VALUE!</v>
      </c>
      <c r="FM27" t="e">
        <f>'Technical Skills Weighting'!2999:2999-"`FU!LI"</f>
        <v>#VALUE!</v>
      </c>
      <c r="FN27" t="e">
        <f>'Technical Skills Weighting'!3000:3000-"`FU!LJ"</f>
        <v>#VALUE!</v>
      </c>
      <c r="FO27" t="e">
        <f>'Technical Skills Weighting'!3001:3001-"`FU!LK"</f>
        <v>#VALUE!</v>
      </c>
      <c r="FP27" t="e">
        <f>'Technical Skills Weighting'!3002:3002-"`FU!LL"</f>
        <v>#VALUE!</v>
      </c>
      <c r="FQ27" t="e">
        <f>'Technical Skills Weighting'!3003:3003-"`FU!LM"</f>
        <v>#VALUE!</v>
      </c>
      <c r="FR27" t="e">
        <f>'Technical Skills Weighting'!3004:3004-"`FU!LN"</f>
        <v>#VALUE!</v>
      </c>
      <c r="FS27" t="e">
        <f>'Technical Skills Weighting'!3005:3005-"`FU!LO"</f>
        <v>#VALUE!</v>
      </c>
      <c r="FT27" t="e">
        <f>'Technical Skills Weighting'!3006:3006-"`FU!LP"</f>
        <v>#VALUE!</v>
      </c>
      <c r="FU27" t="e">
        <f>'Technical Skills Weighting'!3007:3007-"`FU!LQ"</f>
        <v>#VALUE!</v>
      </c>
      <c r="FV27" t="e">
        <f>'Technical Skills Weighting'!3008:3008-"`FU!LR"</f>
        <v>#VALUE!</v>
      </c>
      <c r="FW27" t="e">
        <f>'Technical Skills Weighting'!3009:3009-"`FU!LS"</f>
        <v>#VALUE!</v>
      </c>
      <c r="FX27" t="e">
        <f>'Technical Skills Weighting'!3010:3010-"`FU!LT"</f>
        <v>#VALUE!</v>
      </c>
      <c r="FY27" t="e">
        <f>'Technical Skills Weighting'!3011:3011-"`FU!LU"</f>
        <v>#VALUE!</v>
      </c>
      <c r="FZ27" t="e">
        <f>'Technical Skills Weighting'!3012:3012-"`FU!LV"</f>
        <v>#VALUE!</v>
      </c>
      <c r="GA27" t="e">
        <f>'Technical Skills Weighting'!3013:3013-"`FU!LW"</f>
        <v>#VALUE!</v>
      </c>
      <c r="GB27" t="e">
        <f>'Technical Skills Weighting'!3014:3014-"`FU!LX"</f>
        <v>#VALUE!</v>
      </c>
      <c r="GC27" t="e">
        <f>'Technical Skills Weighting'!3015:3015-"`FU!LY"</f>
        <v>#VALUE!</v>
      </c>
      <c r="GD27" t="e">
        <f>'Technical Skills Weighting'!3016:3016-"`FU!LZ"</f>
        <v>#VALUE!</v>
      </c>
      <c r="GE27" t="e">
        <f>'Technical Skills Weighting'!3017:3017-"`FU!L["</f>
        <v>#VALUE!</v>
      </c>
      <c r="GF27" t="e">
        <f>'Technical Skills Weighting'!3018:3018-"`FU!L\"</f>
        <v>#VALUE!</v>
      </c>
      <c r="GG27" t="e">
        <f>'Technical Skills Weighting'!3019:3019-"`FU!L]"</f>
        <v>#VALUE!</v>
      </c>
      <c r="GH27" t="e">
        <f>'Technical Skills Weighting'!3020:3020-"`FU!L^"</f>
        <v>#VALUE!</v>
      </c>
      <c r="GI27" t="e">
        <f>'Technical Skills Weighting'!3021:3021-"`FU!L_"</f>
        <v>#VALUE!</v>
      </c>
      <c r="GJ27" t="e">
        <f>'Technical Skills Weighting'!3022:3022-"`FU!L`"</f>
        <v>#VALUE!</v>
      </c>
      <c r="GK27" t="e">
        <f>'Technical Skills Weighting'!3023:3023-"`FU!La"</f>
        <v>#VALUE!</v>
      </c>
      <c r="GL27" t="e">
        <f>'Technical Skills Weighting'!3024:3024-"`FU!Lb"</f>
        <v>#VALUE!</v>
      </c>
      <c r="GM27" t="e">
        <f>'Technical Skills Weighting'!3025:3025-"`FU!Lc"</f>
        <v>#VALUE!</v>
      </c>
      <c r="GN27" t="e">
        <f>'Technical Skills Weighting'!3026:3026-"`FU!Ld"</f>
        <v>#VALUE!</v>
      </c>
      <c r="GO27" t="e">
        <f>'Technical Skills Weighting'!3027:3027-"`FU!Le"</f>
        <v>#VALUE!</v>
      </c>
      <c r="GP27" t="e">
        <f>'Technical Skills Weighting'!3028:3028-"`FU!Lf"</f>
        <v>#VALUE!</v>
      </c>
      <c r="GQ27" t="e">
        <f>'Technical Skills Weighting'!3029:3029-"`FU!Lg"</f>
        <v>#VALUE!</v>
      </c>
      <c r="GR27" t="e">
        <f>'Technical Skills Weighting'!3030:3030-"`FU!Lh"</f>
        <v>#VALUE!</v>
      </c>
      <c r="GS27" t="e">
        <f>'Technical Skills Weighting'!3031:3031-"`FU!Li"</f>
        <v>#VALUE!</v>
      </c>
      <c r="GT27" t="e">
        <f>'Technical Skills Weighting'!3032:3032-"`FU!Lj"</f>
        <v>#VALUE!</v>
      </c>
      <c r="GU27" t="e">
        <f>'Technical Skills Weighting'!3033:3033-"`FU!Lk"</f>
        <v>#VALUE!</v>
      </c>
      <c r="GV27" t="e">
        <f>'Technical Skills Weighting'!3034:3034-"`FU!Ll"</f>
        <v>#VALUE!</v>
      </c>
      <c r="GW27" t="e">
        <f>'Technical Skills Weighting'!3035:3035-"`FU!Lm"</f>
        <v>#VALUE!</v>
      </c>
      <c r="GX27" t="e">
        <f>'Technical Skills Weighting'!3036:3036-"`FU!Ln"</f>
        <v>#VALUE!</v>
      </c>
      <c r="GY27" t="e">
        <f>'Technical Skills Weighting'!3037:3037-"`FU!Lo"</f>
        <v>#VALUE!</v>
      </c>
      <c r="GZ27" t="e">
        <f>'Technical Skills Weighting'!3038:3038-"`FU!Lp"</f>
        <v>#VALUE!</v>
      </c>
      <c r="HA27" t="e">
        <f>'Technical Skills Weighting'!3039:3039-"`FU!Lq"</f>
        <v>#VALUE!</v>
      </c>
      <c r="HB27" t="e">
        <f>'Technical Skills Weighting'!3040:3040-"`FU!Lr"</f>
        <v>#VALUE!</v>
      </c>
      <c r="HC27" t="e">
        <f>'Technical Skills Weighting'!3041:3041-"`FU!Ls"</f>
        <v>#VALUE!</v>
      </c>
      <c r="HD27" t="e">
        <f>'Technical Skills Weighting'!3042:3042-"`FU!Lt"</f>
        <v>#VALUE!</v>
      </c>
      <c r="HE27" t="e">
        <f>'Technical Skills Weighting'!3043:3043-"`FU!Lu"</f>
        <v>#VALUE!</v>
      </c>
      <c r="HF27" t="e">
        <f>'Technical Skills Weighting'!3044:3044-"`FU!Lv"</f>
        <v>#VALUE!</v>
      </c>
      <c r="HG27" t="e">
        <f>'Technical Skills Weighting'!3045:3045-"`FU!Lw"</f>
        <v>#VALUE!</v>
      </c>
      <c r="HH27" t="e">
        <f>'Technical Skills Weighting'!3046:3046-"`FU!Lx"</f>
        <v>#VALUE!</v>
      </c>
      <c r="HI27" t="e">
        <f>'Technical Skills Weighting'!3047:3047-"`FU!Ly"</f>
        <v>#VALUE!</v>
      </c>
      <c r="HJ27" t="e">
        <f>'Technical Skills Weighting'!3048:3048-"`FU!Lz"</f>
        <v>#VALUE!</v>
      </c>
      <c r="HK27" t="e">
        <f>'Technical Skills Weighting'!3049:3049-"`FU!L{"</f>
        <v>#VALUE!</v>
      </c>
      <c r="HL27" t="e">
        <f>'Technical Skills Weighting'!3050:3050-"`FU!L|"</f>
        <v>#VALUE!</v>
      </c>
      <c r="HM27" t="e">
        <f>'Technical Skills Weighting'!3051:3051-"`FU!L}"</f>
        <v>#VALUE!</v>
      </c>
      <c r="HN27" t="e">
        <f>'Technical Skills Weighting'!3052:3052-"`FU!L~"</f>
        <v>#VALUE!</v>
      </c>
      <c r="HO27" t="e">
        <f>'Technical Skills Weighting'!3053:3053-"`FU!M#"</f>
        <v>#VALUE!</v>
      </c>
      <c r="HP27" t="e">
        <f>'Technical Skills Weighting'!3054:3054-"`FU!M$"</f>
        <v>#VALUE!</v>
      </c>
      <c r="HQ27" t="e">
        <f>'Technical Skills Weighting'!3055:3055-"`FU!M%"</f>
        <v>#VALUE!</v>
      </c>
      <c r="HR27" t="e">
        <f>'Technical Skills Weighting'!3056:3056-"`FU!M&amp;"</f>
        <v>#VALUE!</v>
      </c>
      <c r="HS27" t="e">
        <f>'Technical Skills Weighting'!3057:3057-"`FU!M'"</f>
        <v>#VALUE!</v>
      </c>
      <c r="HT27" t="e">
        <f>'Technical Skills Weighting'!3058:3058-"`FU!M("</f>
        <v>#VALUE!</v>
      </c>
      <c r="HU27" t="e">
        <f>'Technical Skills Weighting'!3059:3059-"`FU!M)"</f>
        <v>#VALUE!</v>
      </c>
      <c r="HV27" t="e">
        <f>'Technical Skills Weighting'!3060:3060-"`FU!M."</f>
        <v>#VALUE!</v>
      </c>
      <c r="HW27" t="e">
        <f>'Technical Skills Weighting'!3061:3061-"`FU!M/"</f>
        <v>#VALUE!</v>
      </c>
      <c r="HX27" t="e">
        <f>'Technical Skills Weighting'!3062:3062-"`FU!M0"</f>
        <v>#VALUE!</v>
      </c>
      <c r="HY27" t="e">
        <f>'Technical Skills Weighting'!3063:3063-"`FU!M1"</f>
        <v>#VALUE!</v>
      </c>
      <c r="HZ27" t="e">
        <f>'Technical Skills Weighting'!3064:3064-"`FU!M2"</f>
        <v>#VALUE!</v>
      </c>
      <c r="IA27" t="e">
        <f>'Technical Skills Weighting'!3065:3065-"`FU!M3"</f>
        <v>#VALUE!</v>
      </c>
      <c r="IB27" t="e">
        <f>'Technical Skills Weighting'!3066:3066-"`FU!M4"</f>
        <v>#VALUE!</v>
      </c>
      <c r="IC27" t="e">
        <f>'Technical Skills Weighting'!3067:3067-"`FU!M5"</f>
        <v>#VALUE!</v>
      </c>
      <c r="ID27" t="e">
        <f>'Technical Skills Weighting'!3068:3068-"`FU!M6"</f>
        <v>#VALUE!</v>
      </c>
      <c r="IE27" t="e">
        <f>'Technical Skills Weighting'!3069:3069-"`FU!M7"</f>
        <v>#VALUE!</v>
      </c>
      <c r="IF27" t="e">
        <f>'Technical Skills Weighting'!3070:3070-"`FU!M8"</f>
        <v>#VALUE!</v>
      </c>
      <c r="IG27" t="e">
        <f>'Technical Skills Weighting'!3071:3071-"`FU!M9"</f>
        <v>#VALUE!</v>
      </c>
      <c r="IH27" t="e">
        <f>'Technical Skills Weighting'!3072:3072-"`FU!M:"</f>
        <v>#VALUE!</v>
      </c>
      <c r="II27" t="e">
        <f>'Technical Skills Weighting'!3073:3073-"`FU!M;"</f>
        <v>#VALUE!</v>
      </c>
      <c r="IJ27" t="e">
        <f>'Technical Skills Weighting'!3074:3074-"`FU!M&lt;"</f>
        <v>#VALUE!</v>
      </c>
      <c r="IK27" t="e">
        <f>'Technical Skills Weighting'!3075:3075-"`FU!M="</f>
        <v>#VALUE!</v>
      </c>
      <c r="IL27" t="e">
        <f>'Technical Skills Weighting'!3076:3076-"`FU!M&gt;"</f>
        <v>#VALUE!</v>
      </c>
      <c r="IM27" t="e">
        <f>'Technical Skills Weighting'!3077:3077-"`FU!M?"</f>
        <v>#VALUE!</v>
      </c>
      <c r="IN27" t="e">
        <f>'Technical Skills Weighting'!3078:3078-"`FU!M@"</f>
        <v>#VALUE!</v>
      </c>
      <c r="IO27" t="e">
        <f>'Technical Skills Weighting'!3079:3079-"`FU!MA"</f>
        <v>#VALUE!</v>
      </c>
      <c r="IP27" t="e">
        <f>'Technical Skills Weighting'!3080:3080-"`FU!MB"</f>
        <v>#VALUE!</v>
      </c>
      <c r="IQ27" t="e">
        <f>'Technical Skills Weighting'!3081:3081-"`FU!MC"</f>
        <v>#VALUE!</v>
      </c>
      <c r="IR27" t="e">
        <f>'Technical Skills Weighting'!3082:3082-"`FU!MD"</f>
        <v>#VALUE!</v>
      </c>
      <c r="IS27" t="e">
        <f>'Technical Skills Weighting'!3083:3083-"`FU!ME"</f>
        <v>#VALUE!</v>
      </c>
      <c r="IT27" t="e">
        <f>'Technical Skills Weighting'!3084:3084-"`FU!MF"</f>
        <v>#VALUE!</v>
      </c>
      <c r="IU27" t="e">
        <f>'Technical Skills Weighting'!3085:3085-"`FU!MG"</f>
        <v>#VALUE!</v>
      </c>
      <c r="IV27" t="e">
        <f>'Technical Skills Weighting'!3086:3086-"`FU!MH"</f>
        <v>#VALUE!</v>
      </c>
    </row>
    <row r="28" spans="6:256" x14ac:dyDescent="0.25">
      <c r="F28" t="e">
        <f>'Technical Skills Weighting'!3087:3087-"`FU!MI"</f>
        <v>#VALUE!</v>
      </c>
      <c r="G28" t="e">
        <f>'Technical Skills Weighting'!3088:3088-"`FU!MJ"</f>
        <v>#VALUE!</v>
      </c>
      <c r="H28" t="e">
        <f>'Technical Skills Weighting'!3089:3089-"`FU!MK"</f>
        <v>#VALUE!</v>
      </c>
      <c r="I28" t="e">
        <f>'Technical Skills Weighting'!3090:3090-"`FU!ML"</f>
        <v>#VALUE!</v>
      </c>
      <c r="J28" t="e">
        <f>'Technical Skills Weighting'!3091:3091-"`FU!MM"</f>
        <v>#VALUE!</v>
      </c>
      <c r="K28" t="e">
        <f>'Technical Skills Weighting'!3092:3092-"`FU!MN"</f>
        <v>#VALUE!</v>
      </c>
      <c r="L28" t="e">
        <f>'Technical Skills Weighting'!3093:3093-"`FU!MO"</f>
        <v>#VALUE!</v>
      </c>
      <c r="M28" t="e">
        <f>'Technical Skills Weighting'!3094:3094-"`FU!MP"</f>
        <v>#VALUE!</v>
      </c>
      <c r="N28" t="e">
        <f>'Technical Skills Weighting'!3095:3095-"`FU!MQ"</f>
        <v>#VALUE!</v>
      </c>
      <c r="O28" t="e">
        <f>'Technical Skills Weighting'!3096:3096-"`FU!MR"</f>
        <v>#VALUE!</v>
      </c>
      <c r="P28" t="e">
        <f>'Technical Skills Weighting'!3097:3097-"`FU!MS"</f>
        <v>#VALUE!</v>
      </c>
      <c r="Q28" t="e">
        <f>'Technical Skills Weighting'!3098:3098-"`FU!MT"</f>
        <v>#VALUE!</v>
      </c>
      <c r="R28" t="e">
        <f>'Technical Skills Weighting'!3099:3099-"`FU!MU"</f>
        <v>#VALUE!</v>
      </c>
      <c r="S28" t="e">
        <f>'Technical Skills Weighting'!3100:3100-"`FU!MV"</f>
        <v>#VALUE!</v>
      </c>
      <c r="T28" t="e">
        <f>'Technical Skills Weighting'!3101:3101-"`FU!MW"</f>
        <v>#VALUE!</v>
      </c>
      <c r="U28" t="e">
        <f>'Technical Skills Weighting'!3102:3102-"`FU!MX"</f>
        <v>#VALUE!</v>
      </c>
      <c r="V28" t="e">
        <f>'Technical Skills Weighting'!3103:3103-"`FU!MY"</f>
        <v>#VALUE!</v>
      </c>
      <c r="W28" t="e">
        <f>'Technical Skills Weighting'!3104:3104-"`FU!MZ"</f>
        <v>#VALUE!</v>
      </c>
      <c r="X28" t="e">
        <f>'Technical Skills Weighting'!3105:3105-"`FU!M["</f>
        <v>#VALUE!</v>
      </c>
      <c r="Y28" t="e">
        <f>'Technical Skills Weighting'!3106:3106-"`FU!M\"</f>
        <v>#VALUE!</v>
      </c>
      <c r="Z28" t="e">
        <f>'Technical Skills Weighting'!3107:3107-"`FU!M]"</f>
        <v>#VALUE!</v>
      </c>
      <c r="AA28" t="e">
        <f>'Technical Skills Weighting'!3108:3108-"`FU!M^"</f>
        <v>#VALUE!</v>
      </c>
      <c r="AB28" t="e">
        <f>'Technical Skills Weighting'!3109:3109-"`FU!M_"</f>
        <v>#VALUE!</v>
      </c>
      <c r="AC28" t="e">
        <f>'Technical Skills Weighting'!3110:3110-"`FU!M`"</f>
        <v>#VALUE!</v>
      </c>
      <c r="AD28" t="e">
        <f>'Technical Skills Weighting'!3111:3111-"`FU!Ma"</f>
        <v>#VALUE!</v>
      </c>
      <c r="AE28" t="e">
        <f>'Technical Skills Weighting'!3112:3112-"`FU!Mb"</f>
        <v>#VALUE!</v>
      </c>
      <c r="AF28" t="e">
        <f>'Technical Skills Weighting'!3113:3113-"`FU!Mc"</f>
        <v>#VALUE!</v>
      </c>
      <c r="AG28" t="e">
        <f>'Technical Skills Weighting'!3114:3114-"`FU!Md"</f>
        <v>#VALUE!</v>
      </c>
      <c r="AH28" t="e">
        <f>'Technical Skills Weighting'!3115:3115-"`FU!Me"</f>
        <v>#VALUE!</v>
      </c>
      <c r="AI28" t="e">
        <f>'Technical Skills Weighting'!3116:3116-"`FU!Mf"</f>
        <v>#VALUE!</v>
      </c>
      <c r="AJ28" t="e">
        <f>'Technical Skills Weighting'!3117:3117-"`FU!Mg"</f>
        <v>#VALUE!</v>
      </c>
      <c r="AK28" t="e">
        <f>'Technical Skills Weighting'!3118:3118-"`FU!Mh"</f>
        <v>#VALUE!</v>
      </c>
      <c r="AL28" t="e">
        <f>'Technical Skills Weighting'!3119:3119-"`FU!Mi"</f>
        <v>#VALUE!</v>
      </c>
      <c r="AM28" t="e">
        <f>'Technical Skills Weighting'!3120:3120-"`FU!Mj"</f>
        <v>#VALUE!</v>
      </c>
      <c r="AN28" t="e">
        <f>'Technical Skills Weighting'!3121:3121-"`FU!Mk"</f>
        <v>#VALUE!</v>
      </c>
      <c r="AO28" t="e">
        <f>'Technical Skills Weighting'!3122:3122-"`FU!Ml"</f>
        <v>#VALUE!</v>
      </c>
      <c r="AP28" t="e">
        <f>'Technical Skills Weighting'!3123:3123-"`FU!Mm"</f>
        <v>#VALUE!</v>
      </c>
      <c r="AQ28" t="e">
        <f>'Technical Skills Weighting'!3124:3124-"`FU!Mn"</f>
        <v>#VALUE!</v>
      </c>
      <c r="AR28" t="e">
        <f>'Technical Skills Weighting'!3125:3125-"`FU!Mo"</f>
        <v>#VALUE!</v>
      </c>
      <c r="AS28" t="e">
        <f>'Technical Skills Weighting'!3126:3126-"`FU!Mp"</f>
        <v>#VALUE!</v>
      </c>
      <c r="AT28" t="e">
        <f>'Technical Skills Weighting'!3127:3127-"`FU!Mq"</f>
        <v>#VALUE!</v>
      </c>
      <c r="AU28" t="e">
        <f>'Technical Skills Weighting'!3128:3128-"`FU!Mr"</f>
        <v>#VALUE!</v>
      </c>
      <c r="AV28" t="e">
        <f>'Technical Skills Weighting'!3129:3129-"`FU!Ms"</f>
        <v>#VALUE!</v>
      </c>
      <c r="AW28" t="e">
        <f>'Technical Skills Weighting'!3130:3130-"`FU!Mt"</f>
        <v>#VALUE!</v>
      </c>
      <c r="AX28" t="e">
        <f>'Technical Skills Weighting'!3131:3131-"`FU!Mu"</f>
        <v>#VALUE!</v>
      </c>
      <c r="AY28" t="e">
        <f>'Technical Skills Weighting'!3132:3132-"`FU!Mv"</f>
        <v>#VALUE!</v>
      </c>
      <c r="AZ28" t="e">
        <f>'Technical Skills Weighting'!3133:3133-"`FU!Mw"</f>
        <v>#VALUE!</v>
      </c>
      <c r="BA28" t="e">
        <f>'Technical Skills Weighting'!3134:3134-"`FU!Mx"</f>
        <v>#VALUE!</v>
      </c>
      <c r="BB28" t="e">
        <f>'Technical Skills Weighting'!3135:3135-"`FU!My"</f>
        <v>#VALUE!</v>
      </c>
      <c r="BC28" t="e">
        <f>'Technical Skills Weighting'!3136:3136-"`FU!Mz"</f>
        <v>#VALUE!</v>
      </c>
      <c r="BD28" t="e">
        <f>'Technical Skills Weighting'!3137:3137-"`FU!M{"</f>
        <v>#VALUE!</v>
      </c>
      <c r="BE28" t="e">
        <f>'Technical Skills Weighting'!3138:3138-"`FU!M|"</f>
        <v>#VALUE!</v>
      </c>
      <c r="BF28" t="e">
        <f>'Technical Skills Weighting'!3139:3139-"`FU!M}"</f>
        <v>#VALUE!</v>
      </c>
      <c r="BG28" t="e">
        <f>'Technical Skills Weighting'!3140:3140-"`FU!M~"</f>
        <v>#VALUE!</v>
      </c>
      <c r="BH28" t="e">
        <f>'Technical Skills Weighting'!3141:3141-"`FU!N#"</f>
        <v>#VALUE!</v>
      </c>
      <c r="BI28" t="e">
        <f>'Technical Skills Weighting'!3142:3142-"`FU!N$"</f>
        <v>#VALUE!</v>
      </c>
      <c r="BJ28" t="e">
        <f>'Technical Skills Weighting'!3143:3143-"`FU!N%"</f>
        <v>#VALUE!</v>
      </c>
      <c r="BK28" t="e">
        <f>'Technical Skills Weighting'!3144:3144-"`FU!N&amp;"</f>
        <v>#VALUE!</v>
      </c>
      <c r="BL28" t="e">
        <f>'Technical Skills Weighting'!3145:3145-"`FU!N'"</f>
        <v>#VALUE!</v>
      </c>
      <c r="BM28" t="e">
        <f>'Technical Skills Weighting'!3146:3146-"`FU!N("</f>
        <v>#VALUE!</v>
      </c>
      <c r="BN28" t="e">
        <f>'Technical Skills Weighting'!3147:3147-"`FU!N)"</f>
        <v>#VALUE!</v>
      </c>
      <c r="BO28" t="e">
        <f>'Technical Skills Weighting'!3148:3148-"`FU!N."</f>
        <v>#VALUE!</v>
      </c>
      <c r="BP28" t="e">
        <f>'Technical Skills Weighting'!3149:3149-"`FU!N/"</f>
        <v>#VALUE!</v>
      </c>
      <c r="BQ28" t="e">
        <f>'Technical Skills Weighting'!3150:3150-"`FU!N0"</f>
        <v>#VALUE!</v>
      </c>
      <c r="BR28" t="e">
        <f>'Technical Skills Weighting'!3151:3151-"`FU!N1"</f>
        <v>#VALUE!</v>
      </c>
      <c r="BS28" t="e">
        <f>'Technical Skills Weighting'!3152:3152-"`FU!N2"</f>
        <v>#VALUE!</v>
      </c>
      <c r="BT28" t="e">
        <f>'Technical Skills Weighting'!3153:3153-"`FU!N3"</f>
        <v>#VALUE!</v>
      </c>
      <c r="BU28" t="e">
        <f>'Technical Skills Weighting'!3154:3154-"`FU!N4"</f>
        <v>#VALUE!</v>
      </c>
      <c r="BV28" t="e">
        <f>'Technical Skills Weighting'!3155:3155-"`FU!N5"</f>
        <v>#VALUE!</v>
      </c>
      <c r="BW28" t="e">
        <f>'Technical Skills Weighting'!3156:3156-"`FU!N6"</f>
        <v>#VALUE!</v>
      </c>
      <c r="BX28" t="e">
        <f>'Technical Skills Weighting'!3157:3157-"`FU!N7"</f>
        <v>#VALUE!</v>
      </c>
      <c r="BY28" t="e">
        <f>'Technical Skills Weighting'!3158:3158-"`FU!N8"</f>
        <v>#VALUE!</v>
      </c>
      <c r="BZ28" t="e">
        <f>'Technical Skills Weighting'!3159:3159-"`FU!N9"</f>
        <v>#VALUE!</v>
      </c>
      <c r="CA28" t="e">
        <f>'Technical Skills Weighting'!3160:3160-"`FU!N:"</f>
        <v>#VALUE!</v>
      </c>
      <c r="CB28" t="e">
        <f>'Technical Skills Weighting'!3161:3161-"`FU!N;"</f>
        <v>#VALUE!</v>
      </c>
      <c r="CC28" t="e">
        <f>'Technical Skills Weighting'!3162:3162-"`FU!N&lt;"</f>
        <v>#VALUE!</v>
      </c>
      <c r="CD28" t="e">
        <f>'Technical Skills Weighting'!3163:3163-"`FU!N="</f>
        <v>#VALUE!</v>
      </c>
      <c r="CE28" t="e">
        <f>'Technical Skills Weighting'!3164:3164-"`FU!N&gt;"</f>
        <v>#VALUE!</v>
      </c>
      <c r="CF28" t="e">
        <f>'Technical Skills Weighting'!3165:3165-"`FU!N?"</f>
        <v>#VALUE!</v>
      </c>
      <c r="CG28" t="e">
        <f>'Technical Skills Weighting'!3166:3166-"`FU!N@"</f>
        <v>#VALUE!</v>
      </c>
      <c r="CH28" t="e">
        <f>'Technical Skills Weighting'!3167:3167-"`FU!NA"</f>
        <v>#VALUE!</v>
      </c>
      <c r="CI28" t="e">
        <f>'Technical Skills Weighting'!3168:3168-"`FU!NB"</f>
        <v>#VALUE!</v>
      </c>
      <c r="CJ28" t="e">
        <f>'Technical Skills Weighting'!3169:3169-"`FU!NC"</f>
        <v>#VALUE!</v>
      </c>
      <c r="CK28" t="e">
        <f>'Technical Skills Weighting'!3170:3170-"`FU!ND"</f>
        <v>#VALUE!</v>
      </c>
      <c r="CL28" t="e">
        <f>'Technical Skills Weighting'!3171:3171-"`FU!NE"</f>
        <v>#VALUE!</v>
      </c>
      <c r="CM28" t="e">
        <f>'Technical Skills Weighting'!3172:3172-"`FU!NF"</f>
        <v>#VALUE!</v>
      </c>
      <c r="CN28" t="e">
        <f>'Technical Skills Weighting'!3173:3173-"`FU!NG"</f>
        <v>#VALUE!</v>
      </c>
      <c r="CO28" t="e">
        <f>'Technical Skills Weighting'!3174:3174-"`FU!NH"</f>
        <v>#VALUE!</v>
      </c>
      <c r="CP28" t="e">
        <f>'Technical Skills Weighting'!3175:3175-"`FU!NI"</f>
        <v>#VALUE!</v>
      </c>
      <c r="CQ28" t="e">
        <f>'Technical Skills Weighting'!3176:3176-"`FU!NJ"</f>
        <v>#VALUE!</v>
      </c>
      <c r="CR28" t="e">
        <f>'Technical Skills Weighting'!3177:3177-"`FU!NK"</f>
        <v>#VALUE!</v>
      </c>
      <c r="CS28" t="e">
        <f>'Technical Skills Weighting'!3178:3178-"`FU!NL"</f>
        <v>#VALUE!</v>
      </c>
      <c r="CT28" t="e">
        <f>'Technical Skills Weighting'!3179:3179-"`FU!NM"</f>
        <v>#VALUE!</v>
      </c>
      <c r="CU28" t="e">
        <f>'Technical Skills Weighting'!3180:3180-"`FU!NN"</f>
        <v>#VALUE!</v>
      </c>
      <c r="CV28" t="e">
        <f>'Technical Skills Weighting'!3181:3181-"`FU!NO"</f>
        <v>#VALUE!</v>
      </c>
      <c r="CW28" t="e">
        <f>'Technical Skills Weighting'!3182:3182-"`FU!NP"</f>
        <v>#VALUE!</v>
      </c>
      <c r="CX28" t="e">
        <f>'Technical Skills Weighting'!3183:3183-"`FU!NQ"</f>
        <v>#VALUE!</v>
      </c>
      <c r="CY28" t="e">
        <f>'Technical Skills Weighting'!3184:3184-"`FU!NR"</f>
        <v>#VALUE!</v>
      </c>
      <c r="CZ28" t="e">
        <f>'Technical Skills Weighting'!3185:3185-"`FU!NS"</f>
        <v>#VALUE!</v>
      </c>
      <c r="DA28" t="e">
        <f>'Technical Skills Weighting'!3186:3186-"`FU!NT"</f>
        <v>#VALUE!</v>
      </c>
      <c r="DB28" t="e">
        <f>'Technical Skills Weighting'!3187:3187-"`FU!NU"</f>
        <v>#VALUE!</v>
      </c>
      <c r="DC28" t="e">
        <f>'Technical Skills Weighting'!3188:3188-"`FU!NV"</f>
        <v>#VALUE!</v>
      </c>
      <c r="DD28" t="e">
        <f>'Technical Skills Weighting'!3189:3189-"`FU!NW"</f>
        <v>#VALUE!</v>
      </c>
      <c r="DE28" t="e">
        <f>'Technical Skills Weighting'!3190:3190-"`FU!NX"</f>
        <v>#VALUE!</v>
      </c>
      <c r="DF28" t="e">
        <f>'Technical Skills Weighting'!3191:3191-"`FU!NY"</f>
        <v>#VALUE!</v>
      </c>
      <c r="DG28" t="e">
        <f>'Technical Skills Weighting'!3192:3192-"`FU!NZ"</f>
        <v>#VALUE!</v>
      </c>
      <c r="DH28" t="e">
        <f>'Technical Skills Weighting'!3193:3193-"`FU!N["</f>
        <v>#VALUE!</v>
      </c>
      <c r="DI28" t="e">
        <f>'Technical Skills Weighting'!3194:3194-"`FU!N\"</f>
        <v>#VALUE!</v>
      </c>
      <c r="DJ28" t="e">
        <f>'Technical Skills Weighting'!3195:3195-"`FU!N]"</f>
        <v>#VALUE!</v>
      </c>
      <c r="DK28" t="e">
        <f>'Technical Skills Weighting'!3196:3196-"`FU!N^"</f>
        <v>#VALUE!</v>
      </c>
      <c r="DL28" t="e">
        <f>'Technical Skills Weighting'!3197:3197-"`FU!N_"</f>
        <v>#VALUE!</v>
      </c>
      <c r="DM28" t="e">
        <f>'Technical Skills Weighting'!3198:3198-"`FU!N`"</f>
        <v>#VALUE!</v>
      </c>
      <c r="DN28" t="e">
        <f>'Technical Skills Weighting'!3199:3199-"`FU!Na"</f>
        <v>#VALUE!</v>
      </c>
      <c r="DO28" t="e">
        <f>'Technical Skills Weighting'!3200:3200-"`FU!Nb"</f>
        <v>#VALUE!</v>
      </c>
      <c r="DP28" t="e">
        <f>'Technical Skills Weighting'!3201:3201-"`FU!Nc"</f>
        <v>#VALUE!</v>
      </c>
      <c r="DQ28" t="e">
        <f>'Technical Skills Weighting'!3202:3202-"`FU!Nd"</f>
        <v>#VALUE!</v>
      </c>
      <c r="DR28" t="e">
        <f>'Technical Skills Weighting'!3203:3203-"`FU!Ne"</f>
        <v>#VALUE!</v>
      </c>
      <c r="DS28" t="e">
        <f>'Technical Skills Weighting'!3204:3204-"`FU!Nf"</f>
        <v>#VALUE!</v>
      </c>
      <c r="DT28" t="e">
        <f>'Technical Skills Weighting'!3205:3205-"`FU!Ng"</f>
        <v>#VALUE!</v>
      </c>
      <c r="DU28" t="e">
        <f>'Technical Skills Weighting'!3206:3206-"`FU!Nh"</f>
        <v>#VALUE!</v>
      </c>
      <c r="DV28" t="e">
        <f>'Technical Skills Weighting'!3207:3207-"`FU!Ni"</f>
        <v>#VALUE!</v>
      </c>
      <c r="DW28" t="e">
        <f>'Technical Skills Weighting'!3208:3208-"`FU!Nj"</f>
        <v>#VALUE!</v>
      </c>
      <c r="DX28" t="e">
        <f>'Technical Skills Weighting'!3209:3209-"`FU!Nk"</f>
        <v>#VALUE!</v>
      </c>
      <c r="DY28" t="e">
        <f>'Technical Skills Weighting'!3210:3210-"`FU!Nl"</f>
        <v>#VALUE!</v>
      </c>
      <c r="DZ28" t="e">
        <f>'Technical Skills Weighting'!3211:3211-"`FU!Nm"</f>
        <v>#VALUE!</v>
      </c>
      <c r="EA28" t="e">
        <f>'Technical Skills Weighting'!3212:3212-"`FU!Nn"</f>
        <v>#VALUE!</v>
      </c>
      <c r="EB28" t="e">
        <f>'Technical Skills Weighting'!3213:3213-"`FU!No"</f>
        <v>#VALUE!</v>
      </c>
      <c r="EC28" t="e">
        <f>'Technical Skills Weighting'!3214:3214-"`FU!Np"</f>
        <v>#VALUE!</v>
      </c>
      <c r="ED28" t="e">
        <f>'Technical Skills Weighting'!3215:3215-"`FU!Nq"</f>
        <v>#VALUE!</v>
      </c>
      <c r="EE28" t="e">
        <f>'Technical Skills Weighting'!3216:3216-"`FU!Nr"</f>
        <v>#VALUE!</v>
      </c>
      <c r="EF28" t="e">
        <f>'Technical Skills Weighting'!3217:3217-"`FU!Ns"</f>
        <v>#VALUE!</v>
      </c>
      <c r="EG28" t="e">
        <f>'Technical Skills Weighting'!3218:3218-"`FU!Nt"</f>
        <v>#VALUE!</v>
      </c>
      <c r="EH28" t="e">
        <f>'Technical Skills Weighting'!3219:3219-"`FU!Nu"</f>
        <v>#VALUE!</v>
      </c>
      <c r="EI28" t="e">
        <f>'Technical Skills Weighting'!3220:3220-"`FU!Nv"</f>
        <v>#VALUE!</v>
      </c>
      <c r="EJ28" t="e">
        <f>'Technical Skills Weighting'!3221:3221-"`FU!Nw"</f>
        <v>#VALUE!</v>
      </c>
      <c r="EK28" t="e">
        <f>'Technical Skills Weighting'!3222:3222-"`FU!Nx"</f>
        <v>#VALUE!</v>
      </c>
      <c r="EL28" t="e">
        <f>'Technical Skills Weighting'!3223:3223-"`FU!Ny"</f>
        <v>#VALUE!</v>
      </c>
      <c r="EM28" t="e">
        <f>'Technical Skills Weighting'!3224:3224-"`FU!Nz"</f>
        <v>#VALUE!</v>
      </c>
      <c r="EN28" t="e">
        <f>'Technical Skills Weighting'!3225:3225-"`FU!N{"</f>
        <v>#VALUE!</v>
      </c>
      <c r="EO28" t="e">
        <f>'Technical Skills Weighting'!3226:3226-"`FU!N|"</f>
        <v>#VALUE!</v>
      </c>
      <c r="EP28" t="e">
        <f>'Technical Skills Weighting'!3227:3227-"`FU!N}"</f>
        <v>#VALUE!</v>
      </c>
      <c r="EQ28" t="e">
        <f>'Technical Skills Weighting'!3228:3228-"`FU!N~"</f>
        <v>#VALUE!</v>
      </c>
      <c r="ER28" t="e">
        <f>'Technical Skills Weighting'!3229:3229-"`FU!O#"</f>
        <v>#VALUE!</v>
      </c>
      <c r="ES28" t="e">
        <f>'Technical Skills Weighting'!3230:3230-"`FU!O$"</f>
        <v>#VALUE!</v>
      </c>
      <c r="ET28" t="e">
        <f>'Technical Skills Weighting'!3231:3231-"`FU!O%"</f>
        <v>#VALUE!</v>
      </c>
      <c r="EU28" t="e">
        <f>'Technical Skills Weighting'!3232:3232-"`FU!O&amp;"</f>
        <v>#VALUE!</v>
      </c>
      <c r="EV28" t="e">
        <f>'Technical Skills Weighting'!3233:3233-"`FU!O'"</f>
        <v>#VALUE!</v>
      </c>
      <c r="EW28" t="e">
        <f>'Technical Skills Weighting'!3234:3234-"`FU!O("</f>
        <v>#VALUE!</v>
      </c>
      <c r="EX28" t="e">
        <f>'Technical Skills Weighting'!3235:3235-"`FU!O)"</f>
        <v>#VALUE!</v>
      </c>
      <c r="EY28" t="e">
        <f>'Technical Skills Weighting'!3236:3236-"`FU!O."</f>
        <v>#VALUE!</v>
      </c>
      <c r="EZ28" t="e">
        <f>'Technical Skills Weighting'!3237:3237-"`FU!O/"</f>
        <v>#VALUE!</v>
      </c>
      <c r="FA28" t="e">
        <f>'Technical Skills Weighting'!3238:3238-"`FU!O0"</f>
        <v>#VALUE!</v>
      </c>
      <c r="FB28" t="e">
        <f>'Technical Skills Weighting'!3239:3239-"`FU!O1"</f>
        <v>#VALUE!</v>
      </c>
      <c r="FC28" t="e">
        <f>'Technical Skills Weighting'!3240:3240-"`FU!O2"</f>
        <v>#VALUE!</v>
      </c>
      <c r="FD28" t="e">
        <f>'Technical Skills Weighting'!3241:3241-"`FU!O3"</f>
        <v>#VALUE!</v>
      </c>
      <c r="FE28" t="e">
        <f>'Technical Skills Weighting'!3242:3242-"`FU!O4"</f>
        <v>#VALUE!</v>
      </c>
      <c r="FF28" t="e">
        <f>'Technical Skills Weighting'!3243:3243-"`FU!O5"</f>
        <v>#VALUE!</v>
      </c>
      <c r="FG28" t="e">
        <f>'Technical Skills Weighting'!3244:3244-"`FU!O6"</f>
        <v>#VALUE!</v>
      </c>
      <c r="FH28" t="e">
        <f>'Technical Skills Weighting'!3245:3245-"`FU!O7"</f>
        <v>#VALUE!</v>
      </c>
      <c r="FI28" t="e">
        <f>'Technical Skills Weighting'!3246:3246-"`FU!O8"</f>
        <v>#VALUE!</v>
      </c>
      <c r="FJ28" t="e">
        <f>'Technical Skills Weighting'!3247:3247-"`FU!O9"</f>
        <v>#VALUE!</v>
      </c>
      <c r="FK28" t="e">
        <f>'Technical Skills Weighting'!3248:3248-"`FU!O:"</f>
        <v>#VALUE!</v>
      </c>
      <c r="FL28" t="e">
        <f>'Technical Skills Weighting'!3249:3249-"`FU!O;"</f>
        <v>#VALUE!</v>
      </c>
      <c r="FM28" t="e">
        <f>'Technical Skills Weighting'!3250:3250-"`FU!O&lt;"</f>
        <v>#VALUE!</v>
      </c>
      <c r="FN28" t="e">
        <f>'Technical Skills Weighting'!3251:3251-"`FU!O="</f>
        <v>#VALUE!</v>
      </c>
      <c r="FO28" t="e">
        <f>'Technical Skills Weighting'!3252:3252-"`FU!O&gt;"</f>
        <v>#VALUE!</v>
      </c>
      <c r="FP28" t="e">
        <f>'Technical Skills Weighting'!3253:3253-"`FU!O?"</f>
        <v>#VALUE!</v>
      </c>
      <c r="FQ28" t="e">
        <f>'Technical Skills Weighting'!3254:3254-"`FU!O@"</f>
        <v>#VALUE!</v>
      </c>
      <c r="FR28" t="e">
        <f>'Technical Skills Weighting'!3255:3255-"`FU!OA"</f>
        <v>#VALUE!</v>
      </c>
      <c r="FS28" t="e">
        <f>'Technical Skills Weighting'!3256:3256-"`FU!OB"</f>
        <v>#VALUE!</v>
      </c>
      <c r="FT28" t="e">
        <f>'Technical Skills Weighting'!3257:3257-"`FU!OC"</f>
        <v>#VALUE!</v>
      </c>
      <c r="FU28" t="e">
        <f>'Technical Skills Weighting'!3258:3258-"`FU!OD"</f>
        <v>#VALUE!</v>
      </c>
      <c r="FV28" t="e">
        <f>'Technical Skills Weighting'!3259:3259-"`FU!OE"</f>
        <v>#VALUE!</v>
      </c>
      <c r="FW28" t="e">
        <f>'Technical Skills Weighting'!3260:3260-"`FU!OF"</f>
        <v>#VALUE!</v>
      </c>
      <c r="FX28" t="e">
        <f>'Technical Skills Weighting'!3261:3261-"`FU!OG"</f>
        <v>#VALUE!</v>
      </c>
      <c r="FY28" t="e">
        <f>'Technical Skills Weighting'!3262:3262-"`FU!OH"</f>
        <v>#VALUE!</v>
      </c>
      <c r="FZ28" t="e">
        <f>'Technical Skills Weighting'!3263:3263-"`FU!OI"</f>
        <v>#VALUE!</v>
      </c>
      <c r="GA28" t="e">
        <f>'Technical Skills Weighting'!3264:3264-"`FU!OJ"</f>
        <v>#VALUE!</v>
      </c>
      <c r="GB28" t="e">
        <f>'Technical Skills Weighting'!3265:3265-"`FU!OK"</f>
        <v>#VALUE!</v>
      </c>
      <c r="GC28" t="e">
        <f>'Technical Skills Weighting'!3266:3266-"`FU!OL"</f>
        <v>#VALUE!</v>
      </c>
      <c r="GD28" t="e">
        <f>'Technical Skills Weighting'!3267:3267-"`FU!OM"</f>
        <v>#VALUE!</v>
      </c>
      <c r="GE28" t="e">
        <f>'Technical Skills Weighting'!3268:3268-"`FU!ON"</f>
        <v>#VALUE!</v>
      </c>
      <c r="GF28" t="e">
        <f>'Technical Skills Weighting'!3269:3269-"`FU!OO"</f>
        <v>#VALUE!</v>
      </c>
      <c r="GG28" t="e">
        <f>'Technical Skills Weighting'!3270:3270-"`FU!OP"</f>
        <v>#VALUE!</v>
      </c>
      <c r="GH28" t="e">
        <f>'Technical Skills Weighting'!3271:3271-"`FU!OQ"</f>
        <v>#VALUE!</v>
      </c>
      <c r="GI28" t="e">
        <f>'Technical Skills Weighting'!3272:3272-"`FU!OR"</f>
        <v>#VALUE!</v>
      </c>
      <c r="GJ28" t="e">
        <f>'Technical Skills Weighting'!3273:3273-"`FU!OS"</f>
        <v>#VALUE!</v>
      </c>
      <c r="GK28" t="e">
        <f>'Technical Skills Weighting'!3274:3274-"`FU!OT"</f>
        <v>#VALUE!</v>
      </c>
      <c r="GL28" t="e">
        <f>'Technical Skills Weighting'!3275:3275-"`FU!OU"</f>
        <v>#VALUE!</v>
      </c>
      <c r="GM28" t="e">
        <f>'Technical Skills Weighting'!3276:3276-"`FU!OV"</f>
        <v>#VALUE!</v>
      </c>
      <c r="GN28" t="e">
        <f>'Technical Skills Weighting'!3277:3277-"`FU!OW"</f>
        <v>#VALUE!</v>
      </c>
      <c r="GO28" t="e">
        <f>'Technical Skills Weighting'!3278:3278-"`FU!OX"</f>
        <v>#VALUE!</v>
      </c>
      <c r="GP28" t="e">
        <f>'Technical Skills Weighting'!3279:3279-"`FU!OY"</f>
        <v>#VALUE!</v>
      </c>
      <c r="GQ28" t="e">
        <f>'Technical Skills Weighting'!3280:3280-"`FU!OZ"</f>
        <v>#VALUE!</v>
      </c>
      <c r="GR28" t="e">
        <f>'Technical Skills Weighting'!3281:3281-"`FU!O["</f>
        <v>#VALUE!</v>
      </c>
      <c r="GS28" t="e">
        <f>'Technical Skills Weighting'!3282:3282-"`FU!O\"</f>
        <v>#VALUE!</v>
      </c>
      <c r="GT28" t="e">
        <f>'Technical Skills Weighting'!3283:3283-"`FU!O]"</f>
        <v>#VALUE!</v>
      </c>
      <c r="GU28" t="e">
        <f>'Technical Skills Weighting'!3284:3284-"`FU!O^"</f>
        <v>#VALUE!</v>
      </c>
      <c r="GV28" t="e">
        <f>'Technical Skills Weighting'!3285:3285-"`FU!O_"</f>
        <v>#VALUE!</v>
      </c>
      <c r="GW28" t="e">
        <f>'Technical Skills Weighting'!3286:3286-"`FU!O`"</f>
        <v>#VALUE!</v>
      </c>
      <c r="GX28" t="e">
        <f>'Technical Skills Weighting'!3287:3287-"`FU!Oa"</f>
        <v>#VALUE!</v>
      </c>
      <c r="GY28" t="e">
        <f>'Technical Skills Weighting'!3288:3288-"`FU!Ob"</f>
        <v>#VALUE!</v>
      </c>
      <c r="GZ28" t="e">
        <f>'Technical Skills Weighting'!3289:3289-"`FU!Oc"</f>
        <v>#VALUE!</v>
      </c>
      <c r="HA28" t="e">
        <f>'Technical Skills Weighting'!3290:3290-"`FU!Od"</f>
        <v>#VALUE!</v>
      </c>
      <c r="HB28" t="e">
        <f>'Technical Skills Weighting'!3291:3291-"`FU!Oe"</f>
        <v>#VALUE!</v>
      </c>
      <c r="HC28" t="e">
        <f>'Technical Skills Weighting'!3292:3292-"`FU!Of"</f>
        <v>#VALUE!</v>
      </c>
      <c r="HD28" t="e">
        <f>'Technical Skills Weighting'!3293:3293-"`FU!Og"</f>
        <v>#VALUE!</v>
      </c>
      <c r="HE28" t="e">
        <f>'Technical Skills Weighting'!3294:3294-"`FU!Oh"</f>
        <v>#VALUE!</v>
      </c>
      <c r="HF28" t="e">
        <f>'Technical Skills Weighting'!3295:3295-"`FU!Oi"</f>
        <v>#VALUE!</v>
      </c>
      <c r="HG28" t="e">
        <f>'Technical Skills Weighting'!3296:3296-"`FU!Oj"</f>
        <v>#VALUE!</v>
      </c>
      <c r="HH28" t="e">
        <f>'Technical Skills Weighting'!3297:3297-"`FU!Ok"</f>
        <v>#VALUE!</v>
      </c>
      <c r="HI28" t="e">
        <f>'Technical Skills Weighting'!3298:3298-"`FU!Ol"</f>
        <v>#VALUE!</v>
      </c>
      <c r="HJ28" t="e">
        <f>'Technical Skills Weighting'!3299:3299-"`FU!Om"</f>
        <v>#VALUE!</v>
      </c>
      <c r="HK28" t="e">
        <f>'Technical Skills Weighting'!3300:3300-"`FU!On"</f>
        <v>#VALUE!</v>
      </c>
      <c r="HL28" t="e">
        <f>'Technical Skills Weighting'!3301:3301-"`FU!Oo"</f>
        <v>#VALUE!</v>
      </c>
      <c r="HM28" t="e">
        <f>'Technical Skills Weighting'!3302:3302-"`FU!Op"</f>
        <v>#VALUE!</v>
      </c>
      <c r="HN28" t="e">
        <f>'Technical Skills Weighting'!3303:3303-"`FU!Oq"</f>
        <v>#VALUE!</v>
      </c>
      <c r="HO28" t="e">
        <f>'Technical Skills Weighting'!3304:3304-"`FU!Or"</f>
        <v>#VALUE!</v>
      </c>
      <c r="HP28" t="e">
        <f>'Technical Skills Weighting'!3305:3305-"`FU!Os"</f>
        <v>#VALUE!</v>
      </c>
      <c r="HQ28" t="e">
        <f>'Technical Skills Weighting'!3306:3306-"`FU!Ot"</f>
        <v>#VALUE!</v>
      </c>
      <c r="HR28" t="e">
        <f>'Technical Skills Weighting'!3307:3307-"`FU!Ou"</f>
        <v>#VALUE!</v>
      </c>
      <c r="HS28" t="e">
        <f>'Technical Skills Weighting'!3308:3308-"`FU!Ov"</f>
        <v>#VALUE!</v>
      </c>
      <c r="HT28" t="e">
        <f>'Technical Skills Weighting'!3309:3309-"`FU!Ow"</f>
        <v>#VALUE!</v>
      </c>
      <c r="HU28" t="e">
        <f>'Technical Skills Weighting'!3310:3310-"`FU!Ox"</f>
        <v>#VALUE!</v>
      </c>
      <c r="HV28" t="e">
        <f>'Technical Skills Weighting'!3311:3311-"`FU!Oy"</f>
        <v>#VALUE!</v>
      </c>
      <c r="HW28" t="e">
        <f>'Technical Skills Weighting'!3312:3312-"`FU!Oz"</f>
        <v>#VALUE!</v>
      </c>
      <c r="HX28" t="e">
        <f>'Technical Skills Weighting'!3313:3313-"`FU!O{"</f>
        <v>#VALUE!</v>
      </c>
      <c r="HY28" t="e">
        <f>'Technical Skills Weighting'!3314:3314-"`FU!O|"</f>
        <v>#VALUE!</v>
      </c>
      <c r="HZ28" t="e">
        <f>'Technical Skills Weighting'!3315:3315-"`FU!O}"</f>
        <v>#VALUE!</v>
      </c>
      <c r="IA28" t="e">
        <f>'Technical Skills Weighting'!3316:3316-"`FU!O~"</f>
        <v>#VALUE!</v>
      </c>
      <c r="IB28" t="e">
        <f>'Technical Skills Weighting'!3317:3317-"`FU!P#"</f>
        <v>#VALUE!</v>
      </c>
      <c r="IC28" t="e">
        <f>'Technical Skills Weighting'!3318:3318-"`FU!P$"</f>
        <v>#VALUE!</v>
      </c>
      <c r="ID28" t="e">
        <f>'Technical Skills Weighting'!3319:3319-"`FU!P%"</f>
        <v>#VALUE!</v>
      </c>
      <c r="IE28" t="e">
        <f>'Technical Skills Weighting'!3320:3320-"`FU!P&amp;"</f>
        <v>#VALUE!</v>
      </c>
      <c r="IF28" t="e">
        <f>'Technical Skills Weighting'!3321:3321-"`FU!P'"</f>
        <v>#VALUE!</v>
      </c>
      <c r="IG28" t="e">
        <f>'Technical Skills Weighting'!3322:3322-"`FU!P("</f>
        <v>#VALUE!</v>
      </c>
      <c r="IH28" t="e">
        <f>'Technical Skills Weighting'!3323:3323-"`FU!P)"</f>
        <v>#VALUE!</v>
      </c>
      <c r="II28" t="e">
        <f>'Technical Skills Weighting'!3324:3324-"`FU!P."</f>
        <v>#VALUE!</v>
      </c>
      <c r="IJ28" t="e">
        <f>'Technical Skills Weighting'!3325:3325-"`FU!P/"</f>
        <v>#VALUE!</v>
      </c>
      <c r="IK28" t="e">
        <f>'Technical Skills Weighting'!3326:3326-"`FU!P0"</f>
        <v>#VALUE!</v>
      </c>
      <c r="IL28" t="e">
        <f>'Technical Skills Weighting'!3327:3327-"`FU!P1"</f>
        <v>#VALUE!</v>
      </c>
      <c r="IM28" t="e">
        <f>'Technical Skills Weighting'!3328:3328-"`FU!P2"</f>
        <v>#VALUE!</v>
      </c>
      <c r="IN28" t="e">
        <f>'Technical Skills Weighting'!3329:3329-"`FU!P3"</f>
        <v>#VALUE!</v>
      </c>
      <c r="IO28" t="e">
        <f>'Technical Skills Weighting'!3330:3330-"`FU!P4"</f>
        <v>#VALUE!</v>
      </c>
      <c r="IP28" t="e">
        <f>'Technical Skills Weighting'!3331:3331-"`FU!P5"</f>
        <v>#VALUE!</v>
      </c>
      <c r="IQ28" t="e">
        <f>'Technical Skills Weighting'!3332:3332-"`FU!P6"</f>
        <v>#VALUE!</v>
      </c>
      <c r="IR28" t="e">
        <f>'Technical Skills Weighting'!3333:3333-"`FU!P7"</f>
        <v>#VALUE!</v>
      </c>
      <c r="IS28" t="e">
        <f>'Technical Skills Weighting'!3334:3334-"`FU!P8"</f>
        <v>#VALUE!</v>
      </c>
      <c r="IT28" t="e">
        <f>'Technical Skills Weighting'!3335:3335-"`FU!P9"</f>
        <v>#VALUE!</v>
      </c>
      <c r="IU28" t="e">
        <f>'Technical Skills Weighting'!3336:3336-"`FU!P:"</f>
        <v>#VALUE!</v>
      </c>
      <c r="IV28" t="e">
        <f>'Technical Skills Weighting'!3337:3337-"`FU!P;"</f>
        <v>#VALUE!</v>
      </c>
    </row>
    <row r="29" spans="6:256" x14ac:dyDescent="0.25">
      <c r="F29" t="e">
        <f>'Technical Skills Weighting'!3338:3338-"`FU!P&lt;"</f>
        <v>#VALUE!</v>
      </c>
      <c r="G29" t="e">
        <f>'Technical Skills Weighting'!3339:3339-"`FU!P="</f>
        <v>#VALUE!</v>
      </c>
      <c r="H29" t="e">
        <f>'Technical Skills Weighting'!3340:3340-"`FU!P&gt;"</f>
        <v>#VALUE!</v>
      </c>
      <c r="I29" t="e">
        <f>'Technical Skills Weighting'!3341:3341-"`FU!P?"</f>
        <v>#VALUE!</v>
      </c>
      <c r="J29" t="e">
        <f>'Technical Skills Weighting'!3342:3342-"`FU!P@"</f>
        <v>#VALUE!</v>
      </c>
      <c r="K29" t="e">
        <f>'Technical Skills Weighting'!3343:3343-"`FU!PA"</f>
        <v>#VALUE!</v>
      </c>
      <c r="L29" t="e">
        <f>'Technical Skills Weighting'!3344:3344-"`FU!PB"</f>
        <v>#VALUE!</v>
      </c>
      <c r="M29" t="e">
        <f>'Technical Skills Weighting'!3345:3345-"`FU!PC"</f>
        <v>#VALUE!</v>
      </c>
      <c r="N29" t="e">
        <f>'Technical Skills Weighting'!3346:3346-"`FU!PD"</f>
        <v>#VALUE!</v>
      </c>
      <c r="O29" t="e">
        <f>'Technical Skills Weighting'!3347:3347-"`FU!PE"</f>
        <v>#VALUE!</v>
      </c>
      <c r="P29" t="e">
        <f>'Technical Skills Weighting'!3348:3348-"`FU!PF"</f>
        <v>#VALUE!</v>
      </c>
      <c r="Q29" t="e">
        <f>'Technical Skills Weighting'!3349:3349-"`FU!PG"</f>
        <v>#VALUE!</v>
      </c>
      <c r="R29" t="e">
        <f>'Technical Skills Weighting'!3350:3350-"`FU!PH"</f>
        <v>#VALUE!</v>
      </c>
      <c r="S29" t="e">
        <f>'Technical Skills Weighting'!3351:3351-"`FU!PI"</f>
        <v>#VALUE!</v>
      </c>
      <c r="T29" t="e">
        <f>'Technical Skills Weighting'!3352:3352-"`FU!PJ"</f>
        <v>#VALUE!</v>
      </c>
      <c r="U29" t="e">
        <f>'Technical Skills Weighting'!3353:3353-"`FU!PK"</f>
        <v>#VALUE!</v>
      </c>
      <c r="V29" t="e">
        <f>'Technical Skills Weighting'!3354:3354-"`FU!PL"</f>
        <v>#VALUE!</v>
      </c>
      <c r="W29" t="e">
        <f>'Technical Skills Weighting'!3355:3355-"`FU!PM"</f>
        <v>#VALUE!</v>
      </c>
      <c r="X29" t="e">
        <f>'Technical Skills Weighting'!3356:3356-"`FU!PN"</f>
        <v>#VALUE!</v>
      </c>
      <c r="Y29" t="e">
        <f>'Technical Skills Weighting'!3357:3357-"`FU!PO"</f>
        <v>#VALUE!</v>
      </c>
      <c r="Z29" t="e">
        <f>'Technical Skills Weighting'!3358:3358-"`FU!PP"</f>
        <v>#VALUE!</v>
      </c>
      <c r="AA29" t="e">
        <f>'Technical Skills Weighting'!3359:3359-"`FU!PQ"</f>
        <v>#VALUE!</v>
      </c>
      <c r="AB29" t="e">
        <f>'Technical Skills Weighting'!3360:3360-"`FU!PR"</f>
        <v>#VALUE!</v>
      </c>
      <c r="AC29" t="e">
        <f>'Technical Skills Weighting'!3361:3361-"`FU!PS"</f>
        <v>#VALUE!</v>
      </c>
      <c r="AD29" t="e">
        <f>'Technical Skills Weighting'!3362:3362-"`FU!PT"</f>
        <v>#VALUE!</v>
      </c>
      <c r="AE29" t="e">
        <f>'Technical Skills Weighting'!3363:3363-"`FU!PU"</f>
        <v>#VALUE!</v>
      </c>
      <c r="AF29" t="e">
        <f>'Technical Skills Weighting'!3364:3364-"`FU!PV"</f>
        <v>#VALUE!</v>
      </c>
      <c r="AG29" t="e">
        <f>'Technical Skills Weighting'!3365:3365-"`FU!PW"</f>
        <v>#VALUE!</v>
      </c>
      <c r="AH29" t="e">
        <f>'Technical Skills Weighting'!3366:3366-"`FU!PX"</f>
        <v>#VALUE!</v>
      </c>
      <c r="AI29" t="e">
        <f>'Technical Skills Weighting'!3367:3367-"`FU!PY"</f>
        <v>#VALUE!</v>
      </c>
      <c r="AJ29" t="e">
        <f>'Technical Skills Weighting'!3368:3368-"`FU!PZ"</f>
        <v>#VALUE!</v>
      </c>
      <c r="AK29" t="e">
        <f>'Technical Skills Weighting'!3369:3369-"`FU!P["</f>
        <v>#VALUE!</v>
      </c>
      <c r="AL29" t="e">
        <f>'Technical Skills Weighting'!3370:3370-"`FU!P\"</f>
        <v>#VALUE!</v>
      </c>
      <c r="AM29" t="e">
        <f>'Technical Skills Weighting'!3371:3371-"`FU!P]"</f>
        <v>#VALUE!</v>
      </c>
      <c r="AN29" t="e">
        <f>'Technical Skills Weighting'!3372:3372-"`FU!P^"</f>
        <v>#VALUE!</v>
      </c>
      <c r="AO29" t="e">
        <f>'Technical Skills Weighting'!3373:3373-"`FU!P_"</f>
        <v>#VALUE!</v>
      </c>
      <c r="AP29" t="e">
        <f>'Technical Skills Weighting'!3374:3374-"`FU!P`"</f>
        <v>#VALUE!</v>
      </c>
      <c r="AQ29" t="e">
        <f>'Technical Skills Weighting'!3375:3375-"`FU!Pa"</f>
        <v>#VALUE!</v>
      </c>
      <c r="AR29" t="e">
        <f>'Technical Skills Weighting'!3376:3376-"`FU!Pb"</f>
        <v>#VALUE!</v>
      </c>
      <c r="AS29" t="e">
        <f>'Technical Skills Weighting'!3377:3377-"`FU!Pc"</f>
        <v>#VALUE!</v>
      </c>
      <c r="AT29" t="e">
        <f>'Technical Skills Weighting'!3378:3378-"`FU!Pd"</f>
        <v>#VALUE!</v>
      </c>
      <c r="AU29" t="e">
        <f>'Technical Skills Weighting'!3379:3379-"`FU!Pe"</f>
        <v>#VALUE!</v>
      </c>
      <c r="AV29" t="e">
        <f>'Technical Skills Weighting'!3380:3380-"`FU!Pf"</f>
        <v>#VALUE!</v>
      </c>
      <c r="AW29" t="e">
        <f>'Technical Skills Weighting'!3381:3381-"`FU!Pg"</f>
        <v>#VALUE!</v>
      </c>
      <c r="AX29" t="e">
        <f>'Technical Skills Weighting'!3382:3382-"`FU!Ph"</f>
        <v>#VALUE!</v>
      </c>
      <c r="AY29" t="e">
        <f>'Technical Skills Weighting'!3383:3383-"`FU!Pi"</f>
        <v>#VALUE!</v>
      </c>
      <c r="AZ29" t="e">
        <f>'Technical Skills Weighting'!3384:3384-"`FU!Pj"</f>
        <v>#VALUE!</v>
      </c>
      <c r="BA29" t="e">
        <f>'Technical Skills Weighting'!3385:3385-"`FU!Pk"</f>
        <v>#VALUE!</v>
      </c>
      <c r="BB29" t="e">
        <f>'Technical Skills Weighting'!3386:3386-"`FU!Pl"</f>
        <v>#VALUE!</v>
      </c>
      <c r="BC29" t="e">
        <f>'Technical Skills Weighting'!3387:3387-"`FU!Pm"</f>
        <v>#VALUE!</v>
      </c>
      <c r="BD29" t="e">
        <f>'Technical Skills Weighting'!3388:3388-"`FU!Pn"</f>
        <v>#VALUE!</v>
      </c>
      <c r="BE29" t="e">
        <f>'Technical Skills Weighting'!3389:3389-"`FU!Po"</f>
        <v>#VALUE!</v>
      </c>
      <c r="BF29" t="e">
        <f>'Technical Skills Weighting'!3390:3390-"`FU!Pp"</f>
        <v>#VALUE!</v>
      </c>
      <c r="BG29" t="e">
        <f>'Technical Skills Weighting'!3391:3391-"`FU!Pq"</f>
        <v>#VALUE!</v>
      </c>
      <c r="BH29" t="e">
        <f>'Technical Skills Weighting'!3392:3392-"`FU!Pr"</f>
        <v>#VALUE!</v>
      </c>
      <c r="BI29" t="e">
        <f>'Technical Skills Weighting'!3393:3393-"`FU!Ps"</f>
        <v>#VALUE!</v>
      </c>
      <c r="BJ29" t="e">
        <f>'Technical Skills Weighting'!3394:3394-"`FU!Pt"</f>
        <v>#VALUE!</v>
      </c>
      <c r="BK29" t="e">
        <f>'Technical Skills Weighting'!3395:3395-"`FU!Pu"</f>
        <v>#VALUE!</v>
      </c>
      <c r="BL29" t="e">
        <f>'Technical Skills Weighting'!3396:3396-"`FU!Pv"</f>
        <v>#VALUE!</v>
      </c>
      <c r="BM29" t="e">
        <f>'Technical Skills Weighting'!3397:3397-"`FU!Pw"</f>
        <v>#VALUE!</v>
      </c>
      <c r="BN29" t="e">
        <f>'Technical Skills Weighting'!3398:3398-"`FU!Px"</f>
        <v>#VALUE!</v>
      </c>
      <c r="BO29" t="e">
        <f>'Technical Skills Weighting'!3399:3399-"`FU!Py"</f>
        <v>#VALUE!</v>
      </c>
      <c r="BP29" t="e">
        <f>'Technical Skills Weighting'!3400:3400-"`FU!Pz"</f>
        <v>#VALUE!</v>
      </c>
      <c r="BQ29" t="e">
        <f>'Technical Skills Weighting'!3401:3401-"`FU!P{"</f>
        <v>#VALUE!</v>
      </c>
      <c r="BR29" t="e">
        <f>'Technical Skills Weighting'!3402:3402-"`FU!P|"</f>
        <v>#VALUE!</v>
      </c>
      <c r="BS29" t="e">
        <f>'Technical Skills Weighting'!3403:3403-"`FU!P}"</f>
        <v>#VALUE!</v>
      </c>
      <c r="BT29" t="e">
        <f>'Technical Skills Weighting'!3404:3404-"`FU!P~"</f>
        <v>#VALUE!</v>
      </c>
      <c r="BU29" t="e">
        <f>'Technical Skills Weighting'!3405:3405-"`FU!Q#"</f>
        <v>#VALUE!</v>
      </c>
      <c r="BV29" t="e">
        <f>'Technical Skills Weighting'!3406:3406-"`FU!Q$"</f>
        <v>#VALUE!</v>
      </c>
      <c r="BW29" t="e">
        <f>'Technical Skills Weighting'!3407:3407-"`FU!Q%"</f>
        <v>#VALUE!</v>
      </c>
      <c r="BX29" t="e">
        <f>'Technical Skills Weighting'!3408:3408-"`FU!Q&amp;"</f>
        <v>#VALUE!</v>
      </c>
      <c r="BY29" t="e">
        <f>'Technical Skills Weighting'!3409:3409-"`FU!Q'"</f>
        <v>#VALUE!</v>
      </c>
      <c r="BZ29" t="e">
        <f>'Technical Skills Weighting'!3410:3410-"`FU!Q("</f>
        <v>#VALUE!</v>
      </c>
      <c r="CA29" t="e">
        <f>'Technical Skills Weighting'!3411:3411-"`FU!Q)"</f>
        <v>#VALUE!</v>
      </c>
      <c r="CB29" t="e">
        <f>'Technical Skills Weighting'!3412:3412-"`FU!Q."</f>
        <v>#VALUE!</v>
      </c>
      <c r="CC29" t="e">
        <f>'Technical Skills Weighting'!3413:3413-"`FU!Q/"</f>
        <v>#VALUE!</v>
      </c>
      <c r="CD29" t="e">
        <f>'Technical Skills Weighting'!3414:3414-"`FU!Q0"</f>
        <v>#VALUE!</v>
      </c>
      <c r="CE29" t="e">
        <f>'Technical Skills Weighting'!3415:3415-"`FU!Q1"</f>
        <v>#VALUE!</v>
      </c>
      <c r="CF29" t="e">
        <f>'Technical Skills Weighting'!3416:3416-"`FU!Q2"</f>
        <v>#VALUE!</v>
      </c>
      <c r="CG29" t="e">
        <f>'Technical Skills Weighting'!3417:3417-"`FU!Q3"</f>
        <v>#VALUE!</v>
      </c>
      <c r="CH29" t="e">
        <f>'Technical Skills Weighting'!3418:3418-"`FU!Q4"</f>
        <v>#VALUE!</v>
      </c>
      <c r="CI29" t="e">
        <f>'Technical Skills Weighting'!3419:3419-"`FU!Q5"</f>
        <v>#VALUE!</v>
      </c>
      <c r="CJ29" t="e">
        <f>'Technical Skills Weighting'!3420:3420-"`FU!Q6"</f>
        <v>#VALUE!</v>
      </c>
      <c r="CK29" t="e">
        <f>'Technical Skills Weighting'!3421:3421-"`FU!Q7"</f>
        <v>#VALUE!</v>
      </c>
      <c r="CL29" t="e">
        <f>'Technical Skills Weighting'!3422:3422-"`FU!Q8"</f>
        <v>#VALUE!</v>
      </c>
      <c r="CM29" t="e">
        <f>'Technical Skills Weighting'!3423:3423-"`FU!Q9"</f>
        <v>#VALUE!</v>
      </c>
      <c r="CN29" t="e">
        <f>'Technical Skills Weighting'!3424:3424-"`FU!Q:"</f>
        <v>#VALUE!</v>
      </c>
      <c r="CO29" t="e">
        <f>'Technical Skills Weighting'!3425:3425-"`FU!Q;"</f>
        <v>#VALUE!</v>
      </c>
      <c r="CP29" t="e">
        <f>'Technical Skills Weighting'!3426:3426-"`FU!Q&lt;"</f>
        <v>#VALUE!</v>
      </c>
      <c r="CQ29" t="e">
        <f>'Technical Skills Weighting'!3427:3427-"`FU!Q="</f>
        <v>#VALUE!</v>
      </c>
      <c r="CR29" t="e">
        <f>'Technical Skills Weighting'!3428:3428-"`FU!Q&gt;"</f>
        <v>#VALUE!</v>
      </c>
      <c r="CS29" t="e">
        <f>'Technical Skills Weighting'!3429:3429-"`FU!Q?"</f>
        <v>#VALUE!</v>
      </c>
      <c r="CT29" t="e">
        <f>'Technical Skills Weighting'!3430:3430-"`FU!Q@"</f>
        <v>#VALUE!</v>
      </c>
      <c r="CU29" t="e">
        <f>'Technical Skills Weighting'!3431:3431-"`FU!QA"</f>
        <v>#VALUE!</v>
      </c>
      <c r="CV29" t="e">
        <f>'Technical Skills Weighting'!3432:3432-"`FU!QB"</f>
        <v>#VALUE!</v>
      </c>
      <c r="CW29" t="e">
        <f>'Technical Skills Weighting'!3433:3433-"`FU!QC"</f>
        <v>#VALUE!</v>
      </c>
      <c r="CX29" t="e">
        <f>'Technical Skills Weighting'!3434:3434-"`FU!QD"</f>
        <v>#VALUE!</v>
      </c>
      <c r="CY29" t="e">
        <f>'Technical Skills Weighting'!3435:3435-"`FU!QE"</f>
        <v>#VALUE!</v>
      </c>
      <c r="CZ29" t="e">
        <f>'Technical Skills Weighting'!3436:3436-"`FU!QF"</f>
        <v>#VALUE!</v>
      </c>
      <c r="DA29" t="e">
        <f>'Technical Skills Weighting'!3437:3437-"`FU!QG"</f>
        <v>#VALUE!</v>
      </c>
      <c r="DB29" t="e">
        <f>'Technical Skills Weighting'!3438:3438-"`FU!QH"</f>
        <v>#VALUE!</v>
      </c>
      <c r="DC29" t="e">
        <f>'Technical Skills Weighting'!3439:3439-"`FU!QI"</f>
        <v>#VALUE!</v>
      </c>
      <c r="DD29" t="e">
        <f>'Technical Skills Weighting'!3440:3440-"`FU!QJ"</f>
        <v>#VALUE!</v>
      </c>
      <c r="DE29" t="e">
        <f>'Technical Skills Weighting'!3441:3441-"`FU!QK"</f>
        <v>#VALUE!</v>
      </c>
      <c r="DF29" t="e">
        <f>'Technical Skills Weighting'!3442:3442-"`FU!QL"</f>
        <v>#VALUE!</v>
      </c>
      <c r="DG29" t="e">
        <f>'Technical Skills Weighting'!3443:3443-"`FU!QM"</f>
        <v>#VALUE!</v>
      </c>
      <c r="DH29" t="e">
        <f>'Technical Skills Weighting'!3444:3444-"`FU!QN"</f>
        <v>#VALUE!</v>
      </c>
      <c r="DI29" t="e">
        <f>'Technical Skills Weighting'!3445:3445-"`FU!QO"</f>
        <v>#VALUE!</v>
      </c>
      <c r="DJ29" t="e">
        <f>'Technical Skills Weighting'!3446:3446-"`FU!QP"</f>
        <v>#VALUE!</v>
      </c>
      <c r="DK29" t="e">
        <f>'Technical Skills Weighting'!3447:3447-"`FU!QQ"</f>
        <v>#VALUE!</v>
      </c>
      <c r="DL29" t="e">
        <f>'Technical Skills Weighting'!3448:3448-"`FU!QR"</f>
        <v>#VALUE!</v>
      </c>
      <c r="DM29" t="e">
        <f>'Technical Skills Weighting'!3449:3449-"`FU!QS"</f>
        <v>#VALUE!</v>
      </c>
      <c r="DN29" t="e">
        <f>'Technical Skills Weighting'!3450:3450-"`FU!QT"</f>
        <v>#VALUE!</v>
      </c>
      <c r="DO29" t="e">
        <f>'Technical Skills Weighting'!3451:3451-"`FU!QU"</f>
        <v>#VALUE!</v>
      </c>
      <c r="DP29" t="e">
        <f>'Technical Skills Weighting'!3452:3452-"`FU!QV"</f>
        <v>#VALUE!</v>
      </c>
      <c r="DQ29" t="e">
        <f>'Technical Skills Weighting'!3453:3453-"`FU!QW"</f>
        <v>#VALUE!</v>
      </c>
      <c r="DR29" t="e">
        <f>'Technical Skills Weighting'!3454:3454-"`FU!QX"</f>
        <v>#VALUE!</v>
      </c>
      <c r="DS29" t="e">
        <f>'Technical Skills Weighting'!3455:3455-"`FU!QY"</f>
        <v>#VALUE!</v>
      </c>
      <c r="DT29" t="e">
        <f>'Technical Skills Weighting'!3456:3456-"`FU!QZ"</f>
        <v>#VALUE!</v>
      </c>
      <c r="DU29" t="e">
        <f>'Technical Skills Weighting'!3457:3457-"`FU!Q["</f>
        <v>#VALUE!</v>
      </c>
      <c r="DV29" t="e">
        <f>'Technical Skills Weighting'!3458:3458-"`FU!Q\"</f>
        <v>#VALUE!</v>
      </c>
      <c r="DW29" t="e">
        <f>'Technical Skills Weighting'!3459:3459-"`FU!Q]"</f>
        <v>#VALUE!</v>
      </c>
      <c r="DX29" t="e">
        <f>'Technical Skills Weighting'!3460:3460-"`FU!Q^"</f>
        <v>#VALUE!</v>
      </c>
      <c r="DY29" t="e">
        <f>'Technical Skills Weighting'!3461:3461-"`FU!Q_"</f>
        <v>#VALUE!</v>
      </c>
      <c r="DZ29" t="e">
        <f>'Technical Skills Weighting'!3462:3462-"`FU!Q`"</f>
        <v>#VALUE!</v>
      </c>
      <c r="EA29" t="e">
        <f>'Technical Skills Weighting'!3463:3463-"`FU!Qa"</f>
        <v>#VALUE!</v>
      </c>
      <c r="EB29" t="e">
        <f>'Technical Skills Weighting'!3464:3464-"`FU!Qb"</f>
        <v>#VALUE!</v>
      </c>
      <c r="EC29" t="e">
        <f>'Technical Skills Weighting'!3465:3465-"`FU!Qc"</f>
        <v>#VALUE!</v>
      </c>
      <c r="ED29" t="e">
        <f>'Technical Skills Weighting'!3466:3466-"`FU!Qd"</f>
        <v>#VALUE!</v>
      </c>
      <c r="EE29" t="e">
        <f>'Technical Skills Weighting'!3467:3467-"`FU!Qe"</f>
        <v>#VALUE!</v>
      </c>
      <c r="EF29" t="e">
        <f>'Technical Skills Weighting'!3468:3468-"`FU!Qf"</f>
        <v>#VALUE!</v>
      </c>
      <c r="EG29" t="e">
        <f>'Technical Skills Weighting'!3469:3469-"`FU!Qg"</f>
        <v>#VALUE!</v>
      </c>
      <c r="EH29" t="e">
        <f>'Technical Skills Weighting'!3470:3470-"`FU!Qh"</f>
        <v>#VALUE!</v>
      </c>
      <c r="EI29" t="e">
        <f>'Technical Skills Weighting'!3471:3471-"`FU!Qi"</f>
        <v>#VALUE!</v>
      </c>
      <c r="EJ29" t="e">
        <f>'Technical Skills Weighting'!3472:3472-"`FU!Qj"</f>
        <v>#VALUE!</v>
      </c>
      <c r="EK29" t="e">
        <f>'Technical Skills Weighting'!3473:3473-"`FU!Qk"</f>
        <v>#VALUE!</v>
      </c>
      <c r="EL29" t="e">
        <f>'Technical Skills Weighting'!3474:3474-"`FU!Ql"</f>
        <v>#VALUE!</v>
      </c>
      <c r="EM29" t="e">
        <f>'Technical Skills Weighting'!3475:3475-"`FU!Qm"</f>
        <v>#VALUE!</v>
      </c>
      <c r="EN29" t="e">
        <f>'Technical Skills Weighting'!3476:3476-"`FU!Qn"</f>
        <v>#VALUE!</v>
      </c>
      <c r="EO29" t="e">
        <f>'Technical Skills Weighting'!3477:3477-"`FU!Qo"</f>
        <v>#VALUE!</v>
      </c>
      <c r="EP29" t="e">
        <f>'Technical Skills Weighting'!3478:3478-"`FU!Qp"</f>
        <v>#VALUE!</v>
      </c>
      <c r="EQ29" t="e">
        <f>'Technical Skills Weighting'!3479:3479-"`FU!Qq"</f>
        <v>#VALUE!</v>
      </c>
      <c r="ER29" t="e">
        <f>'Technical Skills Weighting'!3480:3480-"`FU!Qr"</f>
        <v>#VALUE!</v>
      </c>
      <c r="ES29" t="e">
        <f>'Technical Skills Weighting'!3481:3481-"`FU!Qs"</f>
        <v>#VALUE!</v>
      </c>
      <c r="ET29" t="e">
        <f>'Technical Skills Weighting'!3482:3482-"`FU!Qt"</f>
        <v>#VALUE!</v>
      </c>
      <c r="EU29" t="e">
        <f>'Technical Skills Weighting'!3483:3483-"`FU!Qu"</f>
        <v>#VALUE!</v>
      </c>
      <c r="EV29" t="e">
        <f>'Technical Skills Weighting'!3484:3484-"`FU!Qv"</f>
        <v>#VALUE!</v>
      </c>
      <c r="EW29" t="e">
        <f>'Technical Skills Weighting'!3485:3485-"`FU!Qw"</f>
        <v>#VALUE!</v>
      </c>
      <c r="EX29" t="e">
        <f>'Technical Skills Weighting'!3486:3486-"`FU!Qx"</f>
        <v>#VALUE!</v>
      </c>
      <c r="EY29" t="e">
        <f>'Technical Skills Weighting'!3487:3487-"`FU!Qy"</f>
        <v>#VALUE!</v>
      </c>
      <c r="EZ29" t="e">
        <f>'Technical Skills Weighting'!3488:3488-"`FU!Qz"</f>
        <v>#VALUE!</v>
      </c>
      <c r="FA29" t="e">
        <f>'Technical Skills Weighting'!3489:3489-"`FU!Q{"</f>
        <v>#VALUE!</v>
      </c>
      <c r="FB29" t="e">
        <f>'Technical Skills Weighting'!3490:3490-"`FU!Q|"</f>
        <v>#VALUE!</v>
      </c>
      <c r="FC29" t="e">
        <f>'Technical Skills Weighting'!3491:3491-"`FU!Q}"</f>
        <v>#VALUE!</v>
      </c>
      <c r="FD29" t="e">
        <f>'Technical Skills Weighting'!3492:3492-"`FU!Q~"</f>
        <v>#VALUE!</v>
      </c>
      <c r="FE29" t="e">
        <f>'Technical Skills Weighting'!3493:3493-"`FU!R#"</f>
        <v>#VALUE!</v>
      </c>
      <c r="FF29" t="e">
        <f>'Technical Skills Weighting'!3494:3494-"`FU!R$"</f>
        <v>#VALUE!</v>
      </c>
      <c r="FG29" t="e">
        <f>'Technical Skills Weighting'!3495:3495-"`FU!R%"</f>
        <v>#VALUE!</v>
      </c>
      <c r="FH29" t="e">
        <f>'Technical Skills Weighting'!3496:3496-"`FU!R&amp;"</f>
        <v>#VALUE!</v>
      </c>
      <c r="FI29" t="e">
        <f>'Technical Skills Weighting'!3497:3497-"`FU!R'"</f>
        <v>#VALUE!</v>
      </c>
      <c r="FJ29" t="e">
        <f>'Technical Skills Weighting'!3498:3498-"`FU!R("</f>
        <v>#VALUE!</v>
      </c>
      <c r="FK29" t="e">
        <f>'Technical Skills Weighting'!3499:3499-"`FU!R)"</f>
        <v>#VALUE!</v>
      </c>
      <c r="FL29" t="e">
        <f>'Technical Skills Weighting'!3500:3500-"`FU!R."</f>
        <v>#VALUE!</v>
      </c>
      <c r="FM29" t="e">
        <f>'Technical Skills Weighting'!3501:3501-"`FU!R/"</f>
        <v>#VALUE!</v>
      </c>
      <c r="FN29" t="e">
        <f>'Technical Skills Weighting'!3502:3502-"`FU!R0"</f>
        <v>#VALUE!</v>
      </c>
      <c r="FO29" t="e">
        <f>'Technical Skills Weighting'!3503:3503-"`FU!R1"</f>
        <v>#VALUE!</v>
      </c>
      <c r="FP29" t="e">
        <f>'Technical Skills Weighting'!3504:3504-"`FU!R2"</f>
        <v>#VALUE!</v>
      </c>
      <c r="FQ29" t="e">
        <f>'Technical Skills Weighting'!3505:3505-"`FU!R3"</f>
        <v>#VALUE!</v>
      </c>
      <c r="FR29" t="e">
        <f>'Technical Skills Weighting'!3506:3506-"`FU!R4"</f>
        <v>#VALUE!</v>
      </c>
      <c r="FS29" t="e">
        <f>'Technical Skills Weighting'!3507:3507-"`FU!R5"</f>
        <v>#VALUE!</v>
      </c>
      <c r="FT29" t="e">
        <f>'Technical Skills Weighting'!3508:3508-"`FU!R6"</f>
        <v>#VALUE!</v>
      </c>
      <c r="FU29" t="e">
        <f>'Technical Skills Weighting'!3509:3509-"`FU!R7"</f>
        <v>#VALUE!</v>
      </c>
      <c r="FV29" t="e">
        <f>'Technical Skills Weighting'!3510:3510-"`FU!R8"</f>
        <v>#VALUE!</v>
      </c>
      <c r="FW29" t="e">
        <f>'Technical Skills Weighting'!3511:3511-"`FU!R9"</f>
        <v>#VALUE!</v>
      </c>
      <c r="FX29" t="e">
        <f>'Technical Skills Weighting'!3512:3512-"`FU!R:"</f>
        <v>#VALUE!</v>
      </c>
      <c r="FY29" t="e">
        <f>'Technical Skills Weighting'!3513:3513-"`FU!R;"</f>
        <v>#VALUE!</v>
      </c>
      <c r="FZ29" t="e">
        <f>'Technical Skills Weighting'!3514:3514-"`FU!R&lt;"</f>
        <v>#VALUE!</v>
      </c>
      <c r="GA29" t="e">
        <f>'Technical Skills Weighting'!3515:3515-"`FU!R="</f>
        <v>#VALUE!</v>
      </c>
      <c r="GB29" t="e">
        <f>'Technical Skills Weighting'!3516:3516-"`FU!R&gt;"</f>
        <v>#VALUE!</v>
      </c>
      <c r="GC29" t="e">
        <f>'Technical Skills Weighting'!3517:3517-"`FU!R?"</f>
        <v>#VALUE!</v>
      </c>
      <c r="GD29" t="e">
        <f>'Technical Skills Weighting'!3518:3518-"`FU!R@"</f>
        <v>#VALUE!</v>
      </c>
      <c r="GE29" t="e">
        <f>'Technical Skills Weighting'!3519:3519-"`FU!RA"</f>
        <v>#VALUE!</v>
      </c>
      <c r="GF29" t="e">
        <f>'Technical Skills Weighting'!3520:3520-"`FU!RB"</f>
        <v>#VALUE!</v>
      </c>
      <c r="GG29" t="e">
        <f>'Technical Skills Weighting'!3521:3521-"`FU!RC"</f>
        <v>#VALUE!</v>
      </c>
      <c r="GH29" t="e">
        <f>'Technical Skills Weighting'!3522:3522-"`FU!RD"</f>
        <v>#VALUE!</v>
      </c>
      <c r="GI29" t="e">
        <f>'Technical Skills Weighting'!3523:3523-"`FU!RE"</f>
        <v>#VALUE!</v>
      </c>
      <c r="GJ29" t="e">
        <f>'Technical Skills Weighting'!3524:3524-"`FU!RF"</f>
        <v>#VALUE!</v>
      </c>
      <c r="GK29" t="e">
        <f>'Technical Skills Weighting'!3525:3525-"`FU!RG"</f>
        <v>#VALUE!</v>
      </c>
      <c r="GL29" t="e">
        <f>'Technical Skills Weighting'!3526:3526-"`FU!RH"</f>
        <v>#VALUE!</v>
      </c>
      <c r="GM29" t="e">
        <f>'Technical Skills Weighting'!3527:3527-"`FU!RI"</f>
        <v>#VALUE!</v>
      </c>
      <c r="GN29" t="e">
        <f>'Technical Skills Weighting'!3528:3528-"`FU!RJ"</f>
        <v>#VALUE!</v>
      </c>
      <c r="GO29" t="e">
        <f>'Technical Skills Weighting'!3529:3529-"`FU!RK"</f>
        <v>#VALUE!</v>
      </c>
      <c r="GP29" t="e">
        <f>'Technical Skills Weighting'!3530:3530-"`FU!RL"</f>
        <v>#VALUE!</v>
      </c>
      <c r="GQ29" t="e">
        <f>'Technical Skills Weighting'!3531:3531-"`FU!RM"</f>
        <v>#VALUE!</v>
      </c>
      <c r="GR29" t="e">
        <f>'Technical Skills Weighting'!3532:3532-"`FU!RN"</f>
        <v>#VALUE!</v>
      </c>
      <c r="GS29" t="e">
        <f>'Technical Skills Weighting'!3533:3533-"`FU!RO"</f>
        <v>#VALUE!</v>
      </c>
      <c r="GT29" t="e">
        <f>'Technical Skills Weighting'!3534:3534-"`FU!RP"</f>
        <v>#VALUE!</v>
      </c>
      <c r="GU29" t="e">
        <f>'Technical Skills Weighting'!3535:3535-"`FU!RQ"</f>
        <v>#VALUE!</v>
      </c>
      <c r="GV29" t="e">
        <f>'Technical Skills Weighting'!3536:3536-"`FU!RR"</f>
        <v>#VALUE!</v>
      </c>
      <c r="GW29" t="e">
        <f>'Technical Skills Weighting'!3537:3537-"`FU!RS"</f>
        <v>#VALUE!</v>
      </c>
      <c r="GX29" t="e">
        <f>'Technical Skills Weighting'!3538:3538-"`FU!RT"</f>
        <v>#VALUE!</v>
      </c>
      <c r="GY29" t="e">
        <f>'Technical Skills Weighting'!3539:3539-"`FU!RU"</f>
        <v>#VALUE!</v>
      </c>
      <c r="GZ29" t="e">
        <f>'Technical Skills Weighting'!3540:3540-"`FU!RV"</f>
        <v>#VALUE!</v>
      </c>
      <c r="HA29" t="e">
        <f>'Technical Skills Weighting'!3541:3541-"`FU!RW"</f>
        <v>#VALUE!</v>
      </c>
      <c r="HB29" t="e">
        <f>'Technical Skills Weighting'!3542:3542-"`FU!RX"</f>
        <v>#VALUE!</v>
      </c>
      <c r="HC29" t="e">
        <f>'Technical Skills Weighting'!3543:3543-"`FU!RY"</f>
        <v>#VALUE!</v>
      </c>
      <c r="HD29" t="e">
        <f>'Technical Skills Weighting'!3544:3544-"`FU!RZ"</f>
        <v>#VALUE!</v>
      </c>
      <c r="HE29" t="e">
        <f>'Technical Skills Weighting'!3545:3545-"`FU!R["</f>
        <v>#VALUE!</v>
      </c>
      <c r="HF29" t="e">
        <f>'Technical Skills Weighting'!3546:3546-"`FU!R\"</f>
        <v>#VALUE!</v>
      </c>
      <c r="HG29" t="e">
        <f>'Technical Skills Weighting'!3547:3547-"`FU!R]"</f>
        <v>#VALUE!</v>
      </c>
      <c r="HH29" t="e">
        <f>'Technical Skills Weighting'!3548:3548-"`FU!R^"</f>
        <v>#VALUE!</v>
      </c>
      <c r="HI29" t="e">
        <f>'Technical Skills Weighting'!3549:3549-"`FU!R_"</f>
        <v>#VALUE!</v>
      </c>
      <c r="HJ29" t="e">
        <f>'Technical Skills Weighting'!3550:3550-"`FU!R`"</f>
        <v>#VALUE!</v>
      </c>
      <c r="HK29" t="e">
        <f>'Technical Skills Weighting'!3551:3551-"`FU!Ra"</f>
        <v>#VALUE!</v>
      </c>
      <c r="HL29" t="e">
        <f>'Technical Skills Weighting'!3552:3552-"`FU!Rb"</f>
        <v>#VALUE!</v>
      </c>
      <c r="HM29" t="e">
        <f>'Technical Skills Weighting'!3553:3553-"`FU!Rc"</f>
        <v>#VALUE!</v>
      </c>
      <c r="HN29" t="e">
        <f>'Technical Skills Weighting'!3554:3554-"`FU!Rd"</f>
        <v>#VALUE!</v>
      </c>
      <c r="HO29" t="e">
        <f>'Technical Skills Weighting'!3555:3555-"`FU!Re"</f>
        <v>#VALUE!</v>
      </c>
      <c r="HP29" t="e">
        <f>'Technical Skills Weighting'!3556:3556-"`FU!Rf"</f>
        <v>#VALUE!</v>
      </c>
      <c r="HQ29" t="e">
        <f>'Technical Skills Weighting'!3557:3557-"`FU!Rg"</f>
        <v>#VALUE!</v>
      </c>
      <c r="HR29" t="e">
        <f>'Technical Skills Weighting'!3558:3558-"`FU!Rh"</f>
        <v>#VALUE!</v>
      </c>
      <c r="HS29" t="e">
        <f>'Technical Skills Weighting'!3559:3559-"`FU!Ri"</f>
        <v>#VALUE!</v>
      </c>
      <c r="HT29" t="e">
        <f>'Technical Skills Weighting'!3560:3560-"`FU!Rj"</f>
        <v>#VALUE!</v>
      </c>
      <c r="HU29" t="e">
        <f>'Technical Skills Weighting'!3561:3561-"`FU!Rk"</f>
        <v>#VALUE!</v>
      </c>
      <c r="HV29" t="e">
        <f>'Technical Skills Weighting'!3562:3562-"`FU!Rl"</f>
        <v>#VALUE!</v>
      </c>
      <c r="HW29" t="e">
        <f>'Technical Skills Weighting'!3563:3563-"`FU!Rm"</f>
        <v>#VALUE!</v>
      </c>
      <c r="HX29" t="e">
        <f>'Technical Skills Weighting'!3564:3564-"`FU!Rn"</f>
        <v>#VALUE!</v>
      </c>
      <c r="HY29" t="e">
        <f>'Technical Skills Weighting'!3565:3565-"`FU!Ro"</f>
        <v>#VALUE!</v>
      </c>
      <c r="HZ29" t="e">
        <f>'Technical Skills Weighting'!3566:3566-"`FU!Rp"</f>
        <v>#VALUE!</v>
      </c>
      <c r="IA29" t="e">
        <f>'Technical Skills Weighting'!3567:3567-"`FU!Rq"</f>
        <v>#VALUE!</v>
      </c>
      <c r="IB29" t="e">
        <f>'Technical Skills Weighting'!3568:3568-"`FU!Rr"</f>
        <v>#VALUE!</v>
      </c>
      <c r="IC29" t="e">
        <f>'Technical Skills Weighting'!3569:3569-"`FU!Rs"</f>
        <v>#VALUE!</v>
      </c>
      <c r="ID29" t="e">
        <f>'Technical Skills Weighting'!3570:3570-"`FU!Rt"</f>
        <v>#VALUE!</v>
      </c>
      <c r="IE29" t="e">
        <f>'Technical Skills Weighting'!3571:3571-"`FU!Ru"</f>
        <v>#VALUE!</v>
      </c>
      <c r="IF29" t="e">
        <f>'Technical Skills Weighting'!3572:3572-"`FU!Rv"</f>
        <v>#VALUE!</v>
      </c>
      <c r="IG29" t="e">
        <f>'Technical Skills Weighting'!3573:3573-"`FU!Rw"</f>
        <v>#VALUE!</v>
      </c>
      <c r="IH29" t="e">
        <f>'Technical Skills Weighting'!3574:3574-"`FU!Rx"</f>
        <v>#VALUE!</v>
      </c>
      <c r="II29" t="e">
        <f>'Technical Skills Weighting'!3575:3575-"`FU!Ry"</f>
        <v>#VALUE!</v>
      </c>
      <c r="IJ29" t="e">
        <f>'Technical Skills Weighting'!3576:3576-"`FU!Rz"</f>
        <v>#VALUE!</v>
      </c>
      <c r="IK29" t="e">
        <f>'Technical Skills Weighting'!3577:3577-"`FU!R{"</f>
        <v>#VALUE!</v>
      </c>
      <c r="IL29" t="e">
        <f>'Technical Skills Weighting'!3578:3578-"`FU!R|"</f>
        <v>#VALUE!</v>
      </c>
      <c r="IM29" t="e">
        <f>'Technical Skills Weighting'!3579:3579-"`FU!R}"</f>
        <v>#VALUE!</v>
      </c>
      <c r="IN29" t="e">
        <f>'Technical Skills Weighting'!3580:3580-"`FU!R~"</f>
        <v>#VALUE!</v>
      </c>
      <c r="IO29" t="e">
        <f>'Technical Skills Weighting'!3581:3581-"`FU!S#"</f>
        <v>#VALUE!</v>
      </c>
      <c r="IP29" t="e">
        <f>'Technical Skills Weighting'!3582:3582-"`FU!S$"</f>
        <v>#VALUE!</v>
      </c>
      <c r="IQ29" t="e">
        <f>'Technical Skills Weighting'!3583:3583-"`FU!S%"</f>
        <v>#VALUE!</v>
      </c>
      <c r="IR29" t="e">
        <f>'Technical Skills Weighting'!3584:3584-"`FU!S&amp;"</f>
        <v>#VALUE!</v>
      </c>
      <c r="IS29" t="e">
        <f>'Technical Skills Weighting'!3585:3585-"`FU!S'"</f>
        <v>#VALUE!</v>
      </c>
      <c r="IT29" t="e">
        <f>'Technical Skills Weighting'!3586:3586-"`FU!S("</f>
        <v>#VALUE!</v>
      </c>
      <c r="IU29" t="e">
        <f>'Technical Skills Weighting'!3587:3587-"`FU!S)"</f>
        <v>#VALUE!</v>
      </c>
      <c r="IV29" t="e">
        <f>'Technical Skills Weighting'!3588:3588-"`FU!S."</f>
        <v>#VALUE!</v>
      </c>
    </row>
    <row r="30" spans="6:256" x14ac:dyDescent="0.25">
      <c r="F30" t="e">
        <f>'Technical Skills Weighting'!3589:3589-"`FU!S/"</f>
        <v>#VALUE!</v>
      </c>
      <c r="G30" t="e">
        <f>'Technical Skills Weighting'!3590:3590-"`FU!S0"</f>
        <v>#VALUE!</v>
      </c>
      <c r="H30" t="e">
        <f>'Technical Skills Weighting'!3591:3591-"`FU!S1"</f>
        <v>#VALUE!</v>
      </c>
      <c r="I30" t="e">
        <f>'Technical Skills Weighting'!3592:3592-"`FU!S2"</f>
        <v>#VALUE!</v>
      </c>
      <c r="J30" t="e">
        <f>'Technical Skills Weighting'!3593:3593-"`FU!S3"</f>
        <v>#VALUE!</v>
      </c>
      <c r="K30" t="e">
        <f>'Technical Skills Weighting'!3594:3594-"`FU!S4"</f>
        <v>#VALUE!</v>
      </c>
      <c r="L30" t="e">
        <f>'Technical Skills Weighting'!3595:3595-"`FU!S5"</f>
        <v>#VALUE!</v>
      </c>
      <c r="M30" t="e">
        <f>'Technical Skills Weighting'!3596:3596-"`FU!S6"</f>
        <v>#VALUE!</v>
      </c>
      <c r="N30" t="e">
        <f>'Technical Skills Weighting'!3597:3597-"`FU!S7"</f>
        <v>#VALUE!</v>
      </c>
      <c r="O30" t="e">
        <f>'Technical Skills Weighting'!3598:3598-"`FU!S8"</f>
        <v>#VALUE!</v>
      </c>
      <c r="P30" t="e">
        <f>'Technical Skills Weighting'!3599:3599-"`FU!S9"</f>
        <v>#VALUE!</v>
      </c>
      <c r="Q30" t="e">
        <f>'Technical Skills Weighting'!3600:3600-"`FU!S:"</f>
        <v>#VALUE!</v>
      </c>
      <c r="R30" t="e">
        <f>'Technical Skills Weighting'!3601:3601-"`FU!S;"</f>
        <v>#VALUE!</v>
      </c>
      <c r="S30" t="e">
        <f>'Technical Skills Weighting'!3602:3602-"`FU!S&lt;"</f>
        <v>#VALUE!</v>
      </c>
      <c r="T30" t="e">
        <f>'Technical Skills Weighting'!3603:3603-"`FU!S="</f>
        <v>#VALUE!</v>
      </c>
      <c r="U30" t="e">
        <f>'Technical Skills Weighting'!3604:3604-"`FU!S&gt;"</f>
        <v>#VALUE!</v>
      </c>
      <c r="V30" t="e">
        <f>'Technical Skills Weighting'!3605:3605-"`FU!S?"</f>
        <v>#VALUE!</v>
      </c>
      <c r="W30" t="e">
        <f>'Technical Skills Weighting'!3606:3606-"`FU!S@"</f>
        <v>#VALUE!</v>
      </c>
      <c r="X30" t="e">
        <f>'Technical Skills Weighting'!3607:3607-"`FU!SA"</f>
        <v>#VALUE!</v>
      </c>
      <c r="Y30" t="e">
        <f>'Technical Skills Weighting'!3608:3608-"`FU!SB"</f>
        <v>#VALUE!</v>
      </c>
      <c r="Z30" t="e">
        <f>'Technical Skills Weighting'!3609:3609-"`FU!SC"</f>
        <v>#VALUE!</v>
      </c>
      <c r="AA30" t="e">
        <f>'Technical Skills Weighting'!3610:3610-"`FU!SD"</f>
        <v>#VALUE!</v>
      </c>
      <c r="AB30" t="e">
        <f>'Technical Skills Weighting'!3611:3611-"`FU!SE"</f>
        <v>#VALUE!</v>
      </c>
      <c r="AC30" t="e">
        <f>'Technical Skills Weighting'!3612:3612-"`FU!SF"</f>
        <v>#VALUE!</v>
      </c>
      <c r="AD30" t="e">
        <f>'Technical Skills Weighting'!3613:3613-"`FU!SG"</f>
        <v>#VALUE!</v>
      </c>
      <c r="AE30" t="e">
        <f>'Technical Skills Weighting'!3614:3614-"`FU!SH"</f>
        <v>#VALUE!</v>
      </c>
      <c r="AF30" t="e">
        <f>'Technical Skills Weighting'!3615:3615-"`FU!SI"</f>
        <v>#VALUE!</v>
      </c>
      <c r="AG30" t="e">
        <f>'Technical Skills Weighting'!3616:3616-"`FU!SJ"</f>
        <v>#VALUE!</v>
      </c>
      <c r="AH30" t="e">
        <f>'Technical Skills Weighting'!3617:3617-"`FU!SK"</f>
        <v>#VALUE!</v>
      </c>
      <c r="AI30" t="e">
        <f>'Technical Skills Weighting'!3618:3618-"`FU!SL"</f>
        <v>#VALUE!</v>
      </c>
      <c r="AJ30" t="e">
        <f>'Technical Skills Weighting'!3619:3619-"`FU!SM"</f>
        <v>#VALUE!</v>
      </c>
      <c r="AK30" t="e">
        <f>'Technical Skills Weighting'!3620:3620-"`FU!SN"</f>
        <v>#VALUE!</v>
      </c>
      <c r="AL30" t="e">
        <f>'Technical Skills Weighting'!3621:3621-"`FU!SO"</f>
        <v>#VALUE!</v>
      </c>
      <c r="AM30" t="e">
        <f>'Technical Skills Weighting'!3622:3622-"`FU!SP"</f>
        <v>#VALUE!</v>
      </c>
      <c r="AN30" t="e">
        <f>'Technical Skills Weighting'!3623:3623-"`FU!SQ"</f>
        <v>#VALUE!</v>
      </c>
      <c r="AO30" t="e">
        <f>'Technical Skills Weighting'!3624:3624-"`FU!SR"</f>
        <v>#VALUE!</v>
      </c>
      <c r="AP30" t="e">
        <f>'Technical Skills Weighting'!3625:3625-"`FU!SS"</f>
        <v>#VALUE!</v>
      </c>
      <c r="AQ30" t="e">
        <f>'Technical Skills Weighting'!3626:3626-"`FU!ST"</f>
        <v>#VALUE!</v>
      </c>
      <c r="AR30" t="e">
        <f>'Technical Skills Weighting'!3627:3627-"`FU!SU"</f>
        <v>#VALUE!</v>
      </c>
      <c r="AS30" t="e">
        <f>'Technical Skills Weighting'!3628:3628-"`FU!SV"</f>
        <v>#VALUE!</v>
      </c>
      <c r="AT30" t="e">
        <f>'Technical Skills Weighting'!3629:3629-"`FU!SW"</f>
        <v>#VALUE!</v>
      </c>
      <c r="AU30" t="e">
        <f>'Technical Skills Weighting'!3630:3630-"`FU!SX"</f>
        <v>#VALUE!</v>
      </c>
      <c r="AV30" t="e">
        <f>'Technical Skills Weighting'!3631:3631-"`FU!SY"</f>
        <v>#VALUE!</v>
      </c>
      <c r="AW30" t="e">
        <f>'Technical Skills Weighting'!3632:3632-"`FU!SZ"</f>
        <v>#VALUE!</v>
      </c>
      <c r="AX30" t="e">
        <f>'Technical Skills Weighting'!3633:3633-"`FU!S["</f>
        <v>#VALUE!</v>
      </c>
      <c r="AY30" t="e">
        <f>'Technical Skills Weighting'!3634:3634-"`FU!S\"</f>
        <v>#VALUE!</v>
      </c>
      <c r="AZ30" t="e">
        <f>'Technical Skills Weighting'!3635:3635-"`FU!S]"</f>
        <v>#VALUE!</v>
      </c>
      <c r="BA30" t="e">
        <f>'Technical Skills Weighting'!3636:3636-"`FU!S^"</f>
        <v>#VALUE!</v>
      </c>
      <c r="BB30" t="e">
        <f>'Technical Skills Weighting'!3637:3637-"`FU!S_"</f>
        <v>#VALUE!</v>
      </c>
      <c r="BC30" t="e">
        <f>'Technical Skills Weighting'!3638:3638-"`FU!S`"</f>
        <v>#VALUE!</v>
      </c>
      <c r="BD30" t="e">
        <f>'Technical Skills Weighting'!3639:3639-"`FU!Sa"</f>
        <v>#VALUE!</v>
      </c>
      <c r="BE30" t="e">
        <f>'Technical Skills Weighting'!3640:3640-"`FU!Sb"</f>
        <v>#VALUE!</v>
      </c>
      <c r="BF30" t="e">
        <f>'Technical Skills Weighting'!3641:3641-"`FU!Sc"</f>
        <v>#VALUE!</v>
      </c>
      <c r="BG30" t="e">
        <f>'Technical Skills Weighting'!3642:3642-"`FU!Sd"</f>
        <v>#VALUE!</v>
      </c>
      <c r="BH30" t="e">
        <f>'Technical Skills Weighting'!3643:3643-"`FU!Se"</f>
        <v>#VALUE!</v>
      </c>
      <c r="BI30" t="e">
        <f>'Technical Skills Weighting'!3644:3644-"`FU!Sf"</f>
        <v>#VALUE!</v>
      </c>
      <c r="BJ30" t="e">
        <f>'Technical Skills Weighting'!3645:3645-"`FU!Sg"</f>
        <v>#VALUE!</v>
      </c>
      <c r="BK30" t="e">
        <f>'Technical Skills Weighting'!3646:3646-"`FU!Sh"</f>
        <v>#VALUE!</v>
      </c>
      <c r="BL30" t="e">
        <f>'Technical Skills Weighting'!3647:3647-"`FU!Si"</f>
        <v>#VALUE!</v>
      </c>
      <c r="BM30" t="e">
        <f>'Technical Skills Weighting'!3648:3648-"`FU!Sj"</f>
        <v>#VALUE!</v>
      </c>
      <c r="BN30" t="e">
        <f>'Technical Skills Weighting'!3649:3649-"`FU!Sk"</f>
        <v>#VALUE!</v>
      </c>
      <c r="BO30" t="e">
        <f>'Technical Skills Weighting'!3650:3650-"`FU!Sl"</f>
        <v>#VALUE!</v>
      </c>
      <c r="BP30" t="e">
        <f>'Technical Skills Weighting'!3651:3651-"`FU!Sm"</f>
        <v>#VALUE!</v>
      </c>
      <c r="BQ30" t="e">
        <f>'Technical Skills Weighting'!3652:3652-"`FU!Sn"</f>
        <v>#VALUE!</v>
      </c>
      <c r="BR30" t="e">
        <f>'Technical Skills Weighting'!3653:3653-"`FU!So"</f>
        <v>#VALUE!</v>
      </c>
      <c r="BS30" t="e">
        <f>'Technical Skills Weighting'!3654:3654-"`FU!Sp"</f>
        <v>#VALUE!</v>
      </c>
      <c r="BT30" t="e">
        <f>'Technical Skills Weighting'!3655:3655-"`FU!Sq"</f>
        <v>#VALUE!</v>
      </c>
      <c r="BU30" t="e">
        <f>'Technical Skills Weighting'!3656:3656-"`FU!Sr"</f>
        <v>#VALUE!</v>
      </c>
      <c r="BV30" t="e">
        <f>'Technical Skills Weighting'!3657:3657-"`FU!Ss"</f>
        <v>#VALUE!</v>
      </c>
      <c r="BW30" t="e">
        <f>'Technical Skills Weighting'!3658:3658-"`FU!St"</f>
        <v>#VALUE!</v>
      </c>
      <c r="BX30" t="e">
        <f>'Technical Skills Weighting'!3659:3659-"`FU!Su"</f>
        <v>#VALUE!</v>
      </c>
      <c r="BY30" t="e">
        <f>'Technical Skills Weighting'!3660:3660-"`FU!Sv"</f>
        <v>#VALUE!</v>
      </c>
      <c r="BZ30" t="e">
        <f>'Technical Skills Weighting'!3661:3661-"`FU!Sw"</f>
        <v>#VALUE!</v>
      </c>
      <c r="CA30" t="e">
        <f>'Technical Skills Weighting'!3662:3662-"`FU!Sx"</f>
        <v>#VALUE!</v>
      </c>
      <c r="CB30" t="e">
        <f>'Technical Skills Weighting'!3663:3663-"`FU!Sy"</f>
        <v>#VALUE!</v>
      </c>
      <c r="CC30" t="e">
        <f>'Technical Skills Weighting'!3664:3664-"`FU!Sz"</f>
        <v>#VALUE!</v>
      </c>
      <c r="CD30" t="e">
        <f>'Technical Skills Weighting'!3665:3665-"`FU!S{"</f>
        <v>#VALUE!</v>
      </c>
      <c r="CE30" t="e">
        <f>'Technical Skills Weighting'!3666:3666-"`FU!S|"</f>
        <v>#VALUE!</v>
      </c>
      <c r="CF30" t="e">
        <f>'Technical Skills Weighting'!3667:3667-"`FU!S}"</f>
        <v>#VALUE!</v>
      </c>
      <c r="CG30" t="e">
        <f>'Technical Skills Weighting'!3668:3668-"`FU!S~"</f>
        <v>#VALUE!</v>
      </c>
      <c r="CH30" t="e">
        <f>'Technical Skills Weighting'!3669:3669-"`FU!T#"</f>
        <v>#VALUE!</v>
      </c>
      <c r="CI30" t="e">
        <f>'Technical Skills Weighting'!3670:3670-"`FU!T$"</f>
        <v>#VALUE!</v>
      </c>
      <c r="CJ30" t="e">
        <f>'Technical Skills Weighting'!3671:3671-"`FU!T%"</f>
        <v>#VALUE!</v>
      </c>
      <c r="CK30" t="e">
        <f>'Technical Skills Weighting'!3672:3672-"`FU!T&amp;"</f>
        <v>#VALUE!</v>
      </c>
      <c r="CL30" t="e">
        <f>'Technical Skills Weighting'!3673:3673-"`FU!T'"</f>
        <v>#VALUE!</v>
      </c>
      <c r="CM30" t="e">
        <f>'Technical Skills Weighting'!3674:3674-"`FU!T("</f>
        <v>#VALUE!</v>
      </c>
      <c r="CN30" t="e">
        <f>'Technical Skills Weighting'!3675:3675-"`FU!T)"</f>
        <v>#VALUE!</v>
      </c>
      <c r="CO30" t="e">
        <f>'Technical Skills Weighting'!3676:3676-"`FU!T."</f>
        <v>#VALUE!</v>
      </c>
      <c r="CP30" t="e">
        <f>'Technical Skills Weighting'!3677:3677-"`FU!T/"</f>
        <v>#VALUE!</v>
      </c>
      <c r="CQ30" t="e">
        <f>'Technical Skills Weighting'!3678:3678-"`FU!T0"</f>
        <v>#VALUE!</v>
      </c>
      <c r="CR30" t="e">
        <f>'Technical Skills Weighting'!3679:3679-"`FU!T1"</f>
        <v>#VALUE!</v>
      </c>
      <c r="CS30" t="e">
        <f>'Technical Skills Weighting'!3680:3680-"`FU!T2"</f>
        <v>#VALUE!</v>
      </c>
      <c r="CT30" t="e">
        <f>'Technical Skills Weighting'!3681:3681-"`FU!T3"</f>
        <v>#VALUE!</v>
      </c>
      <c r="CU30" t="e">
        <f>'Technical Skills Weighting'!3682:3682-"`FU!T4"</f>
        <v>#VALUE!</v>
      </c>
      <c r="CV30" t="e">
        <f>'Technical Skills Weighting'!3683:3683-"`FU!T5"</f>
        <v>#VALUE!</v>
      </c>
      <c r="CW30" t="e">
        <f>'Technical Skills Weighting'!3684:3684-"`FU!T6"</f>
        <v>#VALUE!</v>
      </c>
      <c r="CX30" t="e">
        <f>'Technical Skills Weighting'!3685:3685-"`FU!T7"</f>
        <v>#VALUE!</v>
      </c>
      <c r="CY30" t="e">
        <f>'Technical Skills Weighting'!3686:3686-"`FU!T8"</f>
        <v>#VALUE!</v>
      </c>
      <c r="CZ30" t="e">
        <f>'Technical Skills Weighting'!3687:3687-"`FU!T9"</f>
        <v>#VALUE!</v>
      </c>
      <c r="DA30" t="e">
        <f>'Technical Skills Weighting'!3688:3688-"`FU!T:"</f>
        <v>#VALUE!</v>
      </c>
      <c r="DB30" t="e">
        <f>'Technical Skills Weighting'!3689:3689-"`FU!T;"</f>
        <v>#VALUE!</v>
      </c>
      <c r="DC30" t="e">
        <f>'Technical Skills Weighting'!3690:3690-"`FU!T&lt;"</f>
        <v>#VALUE!</v>
      </c>
      <c r="DD30" t="e">
        <f>'Technical Skills Weighting'!3691:3691-"`FU!T="</f>
        <v>#VALUE!</v>
      </c>
      <c r="DE30" t="e">
        <f>'Technical Skills Weighting'!3692:3692-"`FU!T&gt;"</f>
        <v>#VALUE!</v>
      </c>
      <c r="DF30" t="e">
        <f>'Technical Skills Weighting'!3693:3693-"`FU!T?"</f>
        <v>#VALUE!</v>
      </c>
      <c r="DG30" t="e">
        <f>'Technical Skills Weighting'!3694:3694-"`FU!T@"</f>
        <v>#VALUE!</v>
      </c>
      <c r="DH30" t="e">
        <f>'Technical Skills Weighting'!3695:3695-"`FU!TA"</f>
        <v>#VALUE!</v>
      </c>
      <c r="DI30" t="e">
        <f>'Technical Skills Weighting'!3696:3696-"`FU!TB"</f>
        <v>#VALUE!</v>
      </c>
      <c r="DJ30" t="e">
        <f>'Technical Skills Weighting'!3697:3697-"`FU!TC"</f>
        <v>#VALUE!</v>
      </c>
      <c r="DK30" t="e">
        <f>'Technical Skills Weighting'!3698:3698-"`FU!TD"</f>
        <v>#VALUE!</v>
      </c>
      <c r="DL30" t="e">
        <f>'Technical Skills Weighting'!3699:3699-"`FU!TE"</f>
        <v>#VALUE!</v>
      </c>
      <c r="DM30" t="e">
        <f>'Technical Skills Weighting'!3700:3700-"`FU!TF"</f>
        <v>#VALUE!</v>
      </c>
      <c r="DN30" t="e">
        <f>'Technical Skills Weighting'!3701:3701-"`FU!TG"</f>
        <v>#VALUE!</v>
      </c>
      <c r="DO30" t="e">
        <f>'Technical Skills Weighting'!3702:3702-"`FU!TH"</f>
        <v>#VALUE!</v>
      </c>
      <c r="DP30" t="e">
        <f>'Technical Skills Weighting'!3703:3703-"`FU!TI"</f>
        <v>#VALUE!</v>
      </c>
      <c r="DQ30" t="e">
        <f>'Technical Skills Weighting'!3704:3704-"`FU!TJ"</f>
        <v>#VALUE!</v>
      </c>
      <c r="DR30" t="e">
        <f>'Technical Skills Weighting'!3705:3705-"`FU!TK"</f>
        <v>#VALUE!</v>
      </c>
      <c r="DS30" t="e">
        <f>'Technical Skills Weighting'!3706:3706-"`FU!TL"</f>
        <v>#VALUE!</v>
      </c>
      <c r="DT30" t="e">
        <f>'Technical Skills Weighting'!3707:3707-"`FU!TM"</f>
        <v>#VALUE!</v>
      </c>
      <c r="DU30" t="e">
        <f>'Technical Skills Weighting'!3708:3708-"`FU!TN"</f>
        <v>#VALUE!</v>
      </c>
      <c r="DV30" t="e">
        <f>'Technical Skills Weighting'!3709:3709-"`FU!TO"</f>
        <v>#VALUE!</v>
      </c>
      <c r="DW30" t="e">
        <f>'Technical Skills Weighting'!3710:3710-"`FU!TP"</f>
        <v>#VALUE!</v>
      </c>
      <c r="DX30" t="e">
        <f>'Technical Skills Weighting'!3711:3711-"`FU!TQ"</f>
        <v>#VALUE!</v>
      </c>
      <c r="DY30" t="e">
        <f>'Technical Skills Weighting'!3712:3712-"`FU!TR"</f>
        <v>#VALUE!</v>
      </c>
      <c r="DZ30" t="e">
        <f>'Technical Skills Weighting'!3713:3713-"`FU!TS"</f>
        <v>#VALUE!</v>
      </c>
      <c r="EA30" t="e">
        <f>'Technical Skills Weighting'!3714:3714-"`FU!TT"</f>
        <v>#VALUE!</v>
      </c>
      <c r="EB30" t="e">
        <f>'Technical Skills Weighting'!3715:3715-"`FU!TU"</f>
        <v>#VALUE!</v>
      </c>
      <c r="EC30" t="e">
        <f>'Technical Skills Weighting'!3716:3716-"`FU!TV"</f>
        <v>#VALUE!</v>
      </c>
      <c r="ED30" t="e">
        <f>'Technical Skills Weighting'!3717:3717-"`FU!TW"</f>
        <v>#VALUE!</v>
      </c>
      <c r="EE30" t="e">
        <f>'Technical Skills Weighting'!3718:3718-"`FU!TX"</f>
        <v>#VALUE!</v>
      </c>
      <c r="EF30" t="e">
        <f>'Technical Skills Weighting'!3719:3719-"`FU!TY"</f>
        <v>#VALUE!</v>
      </c>
      <c r="EG30" t="e">
        <f>'Technical Skills Weighting'!3720:3720-"`FU!TZ"</f>
        <v>#VALUE!</v>
      </c>
      <c r="EH30" t="e">
        <f>'Technical Skills Weighting'!3721:3721-"`FU!T["</f>
        <v>#VALUE!</v>
      </c>
      <c r="EI30" t="e">
        <f>'Technical Skills Weighting'!3722:3722-"`FU!T\"</f>
        <v>#VALUE!</v>
      </c>
      <c r="EJ30" t="e">
        <f>'Technical Skills Weighting'!3723:3723-"`FU!T]"</f>
        <v>#VALUE!</v>
      </c>
      <c r="EK30" t="e">
        <f>'Technical Skills Weighting'!3724:3724-"`FU!T^"</f>
        <v>#VALUE!</v>
      </c>
      <c r="EL30" t="e">
        <f>'Technical Skills Weighting'!3725:3725-"`FU!T_"</f>
        <v>#VALUE!</v>
      </c>
      <c r="EM30" t="e">
        <f>'Technical Skills Weighting'!3726:3726-"`FU!T`"</f>
        <v>#VALUE!</v>
      </c>
      <c r="EN30" t="e">
        <f>'Technical Skills Weighting'!3727:3727-"`FU!Ta"</f>
        <v>#VALUE!</v>
      </c>
      <c r="EO30" t="e">
        <f>'Technical Skills Weighting'!3728:3728-"`FU!Tb"</f>
        <v>#VALUE!</v>
      </c>
      <c r="EP30" t="e">
        <f>'Technical Skills Weighting'!3729:3729-"`FU!Tc"</f>
        <v>#VALUE!</v>
      </c>
      <c r="EQ30" t="e">
        <f>'Technical Skills Weighting'!3730:3730-"`FU!Td"</f>
        <v>#VALUE!</v>
      </c>
      <c r="ER30" t="e">
        <f>'Technical Skills Weighting'!3731:3731-"`FU!Te"</f>
        <v>#VALUE!</v>
      </c>
      <c r="ES30" t="e">
        <f>'Technical Skills Weighting'!3732:3732-"`FU!Tf"</f>
        <v>#VALUE!</v>
      </c>
      <c r="ET30" t="e">
        <f>'Technical Skills Weighting'!3733:3733-"`FU!Tg"</f>
        <v>#VALUE!</v>
      </c>
      <c r="EU30" t="e">
        <f>'Technical Skills Weighting'!3734:3734-"`FU!Th"</f>
        <v>#VALUE!</v>
      </c>
      <c r="EV30" t="e">
        <f>'Technical Skills Weighting'!3735:3735-"`FU!Ti"</f>
        <v>#VALUE!</v>
      </c>
      <c r="EW30" t="e">
        <f>'Technical Skills Weighting'!3736:3736-"`FU!Tj"</f>
        <v>#VALUE!</v>
      </c>
      <c r="EX30" t="e">
        <f>'Technical Skills Weighting'!3737:3737-"`FU!Tk"</f>
        <v>#VALUE!</v>
      </c>
      <c r="EY30" t="e">
        <f>'Technical Skills Weighting'!3738:3738-"`FU!Tl"</f>
        <v>#VALUE!</v>
      </c>
      <c r="EZ30" t="e">
        <f>'Technical Skills Weighting'!3739:3739-"`FU!Tm"</f>
        <v>#VALUE!</v>
      </c>
      <c r="FA30" t="e">
        <f>'Technical Skills Weighting'!3740:3740-"`FU!Tn"</f>
        <v>#VALUE!</v>
      </c>
      <c r="FB30" t="e">
        <f>'Technical Skills Weighting'!3741:3741-"`FU!To"</f>
        <v>#VALUE!</v>
      </c>
      <c r="FC30" t="e">
        <f>'Technical Skills Weighting'!3742:3742-"`FU!Tp"</f>
        <v>#VALUE!</v>
      </c>
      <c r="FD30" t="e">
        <f>'Technical Skills Weighting'!3743:3743-"`FU!Tq"</f>
        <v>#VALUE!</v>
      </c>
      <c r="FE30" t="e">
        <f>'Technical Skills Weighting'!3744:3744-"`FU!Tr"</f>
        <v>#VALUE!</v>
      </c>
      <c r="FF30" t="e">
        <f>'Technical Skills Weighting'!3745:3745-"`FU!Ts"</f>
        <v>#VALUE!</v>
      </c>
      <c r="FG30" t="e">
        <f>'Technical Skills Weighting'!3746:3746-"`FU!Tt"</f>
        <v>#VALUE!</v>
      </c>
      <c r="FH30" t="e">
        <f>'Technical Skills Weighting'!3747:3747-"`FU!Tu"</f>
        <v>#VALUE!</v>
      </c>
      <c r="FI30" t="e">
        <f>'Technical Skills Weighting'!3748:3748-"`FU!Tv"</f>
        <v>#VALUE!</v>
      </c>
      <c r="FJ30" t="e">
        <f>'Technical Skills Weighting'!3749:3749-"`FU!Tw"</f>
        <v>#VALUE!</v>
      </c>
      <c r="FK30" t="e">
        <f>'Technical Skills Weighting'!3750:3750-"`FU!Tx"</f>
        <v>#VALUE!</v>
      </c>
      <c r="FL30" t="e">
        <f>'Technical Skills Weighting'!3751:3751-"`FU!Ty"</f>
        <v>#VALUE!</v>
      </c>
      <c r="FM30" t="e">
        <f>'Technical Skills Weighting'!3752:3752-"`FU!Tz"</f>
        <v>#VALUE!</v>
      </c>
      <c r="FN30" t="e">
        <f>'Technical Skills Weighting'!3753:3753-"`FU!T{"</f>
        <v>#VALUE!</v>
      </c>
      <c r="FO30" t="e">
        <f>'Technical Skills Weighting'!3754:3754-"`FU!T|"</f>
        <v>#VALUE!</v>
      </c>
      <c r="FP30" t="e">
        <f>'Technical Skills Weighting'!3755:3755-"`FU!T}"</f>
        <v>#VALUE!</v>
      </c>
      <c r="FQ30" t="e">
        <f>'Technical Skills Weighting'!3756:3756-"`FU!T~"</f>
        <v>#VALUE!</v>
      </c>
      <c r="FR30" t="e">
        <f>'Technical Skills Weighting'!3757:3757-"`FU!U#"</f>
        <v>#VALUE!</v>
      </c>
      <c r="FS30" t="e">
        <f>'Technical Skills Weighting'!3758:3758-"`FU!U$"</f>
        <v>#VALUE!</v>
      </c>
      <c r="FT30" t="e">
        <f>'Technical Skills Weighting'!3759:3759-"`FU!U%"</f>
        <v>#VALUE!</v>
      </c>
      <c r="FU30" t="e">
        <f>'Technical Skills Weighting'!3760:3760-"`FU!U&amp;"</f>
        <v>#VALUE!</v>
      </c>
      <c r="FV30" t="e">
        <f>'Technical Skills Weighting'!3761:3761-"`FU!U'"</f>
        <v>#VALUE!</v>
      </c>
      <c r="FW30" t="e">
        <f>'Technical Skills Weighting'!3762:3762-"`FU!U("</f>
        <v>#VALUE!</v>
      </c>
      <c r="FX30" t="e">
        <f>'Technical Skills Weighting'!3763:3763-"`FU!U)"</f>
        <v>#VALUE!</v>
      </c>
      <c r="FY30" t="e">
        <f>'Technical Skills Weighting'!3764:3764-"`FU!U."</f>
        <v>#VALUE!</v>
      </c>
      <c r="FZ30" t="e">
        <f>'Technical Skills Weighting'!3765:3765-"`FU!U/"</f>
        <v>#VALUE!</v>
      </c>
      <c r="GA30" t="e">
        <f>'Technical Skills Weighting'!3766:3766-"`FU!U0"</f>
        <v>#VALUE!</v>
      </c>
      <c r="GB30" t="e">
        <f>'Technical Skills Weighting'!3767:3767-"`FU!U1"</f>
        <v>#VALUE!</v>
      </c>
      <c r="GC30" t="e">
        <f>'Technical Skills Weighting'!3768:3768-"`FU!U2"</f>
        <v>#VALUE!</v>
      </c>
      <c r="GD30" t="e">
        <f>'Technical Skills Weighting'!3769:3769-"`FU!U3"</f>
        <v>#VALUE!</v>
      </c>
      <c r="GE30" t="e">
        <f>'Technical Skills Weighting'!3770:3770-"`FU!U4"</f>
        <v>#VALUE!</v>
      </c>
      <c r="GF30" t="e">
        <f>'Technical Skills Weighting'!3771:3771-"`FU!U5"</f>
        <v>#VALUE!</v>
      </c>
      <c r="GG30" t="e">
        <f>'Technical Skills Weighting'!3772:3772-"`FU!U6"</f>
        <v>#VALUE!</v>
      </c>
      <c r="GH30" t="e">
        <f>'Technical Skills Weighting'!3773:3773-"`FU!U7"</f>
        <v>#VALUE!</v>
      </c>
      <c r="GI30" t="e">
        <f>'Technical Skills Weighting'!3774:3774-"`FU!U8"</f>
        <v>#VALUE!</v>
      </c>
      <c r="GJ30" t="e">
        <f>'Technical Skills Weighting'!3775:3775-"`FU!U9"</f>
        <v>#VALUE!</v>
      </c>
      <c r="GK30" t="e">
        <f>'Technical Skills Weighting'!3776:3776-"`FU!U:"</f>
        <v>#VALUE!</v>
      </c>
      <c r="GL30" t="e">
        <f>'Technical Skills Weighting'!3777:3777-"`FU!U;"</f>
        <v>#VALUE!</v>
      </c>
      <c r="GM30" t="e">
        <f>'Technical Skills Weighting'!3778:3778-"`FU!U&lt;"</f>
        <v>#VALUE!</v>
      </c>
      <c r="GN30" t="e">
        <f>'Technical Skills Weighting'!3779:3779-"`FU!U="</f>
        <v>#VALUE!</v>
      </c>
      <c r="GO30" t="e">
        <f>'Technical Skills Weighting'!3780:3780-"`FU!U&gt;"</f>
        <v>#VALUE!</v>
      </c>
      <c r="GP30" t="e">
        <f>'Technical Skills Weighting'!3781:3781-"`FU!U?"</f>
        <v>#VALUE!</v>
      </c>
      <c r="GQ30" t="e">
        <f>'Technical Skills Weighting'!3782:3782-"`FU!U@"</f>
        <v>#VALUE!</v>
      </c>
      <c r="GR30" t="e">
        <f>'Technical Skills Weighting'!3783:3783-"`FU!UA"</f>
        <v>#VALUE!</v>
      </c>
      <c r="GS30" t="e">
        <f>'Technical Skills Weighting'!3784:3784-"`FU!UB"</f>
        <v>#VALUE!</v>
      </c>
      <c r="GT30" t="e">
        <f>'Technical Skills Weighting'!3785:3785-"`FU!UC"</f>
        <v>#VALUE!</v>
      </c>
      <c r="GU30" t="e">
        <f>'Technical Skills Weighting'!3786:3786-"`FU!UD"</f>
        <v>#VALUE!</v>
      </c>
      <c r="GV30" t="e">
        <f>'Technical Skills Weighting'!3787:3787-"`FU!UE"</f>
        <v>#VALUE!</v>
      </c>
      <c r="GW30" t="e">
        <f>'Technical Skills Weighting'!3788:3788-"`FU!UF"</f>
        <v>#VALUE!</v>
      </c>
      <c r="GX30" t="e">
        <f>'Technical Skills Weighting'!3789:3789-"`FU!UG"</f>
        <v>#VALUE!</v>
      </c>
      <c r="GY30" t="e">
        <f>'Technical Skills Weighting'!3790:3790-"`FU!UH"</f>
        <v>#VALUE!</v>
      </c>
      <c r="GZ30" t="e">
        <f>'Technical Skills Weighting'!3791:3791-"`FU!UI"</f>
        <v>#VALUE!</v>
      </c>
      <c r="HA30" t="e">
        <f>'Technical Skills Weighting'!3792:3792-"`FU!UJ"</f>
        <v>#VALUE!</v>
      </c>
      <c r="HB30" t="e">
        <f>'Technical Skills Weighting'!3793:3793-"`FU!UK"</f>
        <v>#VALUE!</v>
      </c>
      <c r="HC30" t="e">
        <f>'Technical Skills Weighting'!3794:3794-"`FU!UL"</f>
        <v>#VALUE!</v>
      </c>
      <c r="HD30" t="e">
        <f>'Technical Skills Weighting'!3795:3795-"`FU!UM"</f>
        <v>#VALUE!</v>
      </c>
      <c r="HE30" t="e">
        <f>'Technical Skills Weighting'!3796:3796-"`FU!UN"</f>
        <v>#VALUE!</v>
      </c>
      <c r="HF30" t="e">
        <f>'Technical Skills Weighting'!3797:3797-"`FU!UO"</f>
        <v>#VALUE!</v>
      </c>
      <c r="HG30" t="e">
        <f>'Technical Skills Weighting'!3798:3798-"`FU!UP"</f>
        <v>#VALUE!</v>
      </c>
      <c r="HH30" t="e">
        <f>'Technical Skills Weighting'!3799:3799-"`FU!UQ"</f>
        <v>#VALUE!</v>
      </c>
      <c r="HI30" t="e">
        <f>'Technical Skills Weighting'!3800:3800-"`FU!UR"</f>
        <v>#VALUE!</v>
      </c>
      <c r="HJ30" t="e">
        <f>'Technical Skills Weighting'!3801:3801-"`FU!US"</f>
        <v>#VALUE!</v>
      </c>
      <c r="HK30" t="e">
        <f>'Technical Skills Weighting'!3802:3802-"`FU!UT"</f>
        <v>#VALUE!</v>
      </c>
      <c r="HL30" t="e">
        <f>'Technical Skills Weighting'!3803:3803-"`FU!UU"</f>
        <v>#VALUE!</v>
      </c>
      <c r="HM30" t="e">
        <f>'Technical Skills Weighting'!3804:3804-"`FU!UV"</f>
        <v>#VALUE!</v>
      </c>
      <c r="HN30" t="e">
        <f>'Technical Skills Weighting'!3805:3805-"`FU!UW"</f>
        <v>#VALUE!</v>
      </c>
      <c r="HO30" t="e">
        <f>'Technical Skills Weighting'!3806:3806-"`FU!UX"</f>
        <v>#VALUE!</v>
      </c>
      <c r="HP30" t="e">
        <f>'Technical Skills Weighting'!3807:3807-"`FU!UY"</f>
        <v>#VALUE!</v>
      </c>
      <c r="HQ30" t="e">
        <f>'Technical Skills Weighting'!3808:3808-"`FU!UZ"</f>
        <v>#VALUE!</v>
      </c>
      <c r="HR30" t="e">
        <f>'Technical Skills Weighting'!3809:3809-"`FU!U["</f>
        <v>#VALUE!</v>
      </c>
      <c r="HS30" t="e">
        <f>'Technical Skills Weighting'!3810:3810-"`FU!U\"</f>
        <v>#VALUE!</v>
      </c>
      <c r="HT30" t="e">
        <f>'Technical Skills Weighting'!3811:3811-"`FU!U]"</f>
        <v>#VALUE!</v>
      </c>
      <c r="HU30" t="e">
        <f>'Technical Skills Weighting'!3812:3812-"`FU!U^"</f>
        <v>#VALUE!</v>
      </c>
      <c r="HV30" t="e">
        <f>'Technical Skills Weighting'!3813:3813-"`FU!U_"</f>
        <v>#VALUE!</v>
      </c>
      <c r="HW30" t="e">
        <f>'Technical Skills Weighting'!3814:3814-"`FU!U`"</f>
        <v>#VALUE!</v>
      </c>
      <c r="HX30" t="e">
        <f>'Technical Skills Weighting'!3815:3815-"`FU!Ua"</f>
        <v>#VALUE!</v>
      </c>
      <c r="HY30" t="e">
        <f>'Technical Skills Weighting'!3816:3816-"`FU!Ub"</f>
        <v>#VALUE!</v>
      </c>
      <c r="HZ30" t="e">
        <f>'Technical Skills Weighting'!3817:3817-"`FU!Uc"</f>
        <v>#VALUE!</v>
      </c>
      <c r="IA30" t="e">
        <f>'Technical Skills Weighting'!3818:3818-"`FU!Ud"</f>
        <v>#VALUE!</v>
      </c>
      <c r="IB30" t="e">
        <f>'Technical Skills Weighting'!3819:3819-"`FU!Ue"</f>
        <v>#VALUE!</v>
      </c>
      <c r="IC30" t="e">
        <f>'Technical Skills Weighting'!3820:3820-"`FU!Uf"</f>
        <v>#VALUE!</v>
      </c>
      <c r="ID30" t="e">
        <f>'Technical Skills Weighting'!3821:3821-"`FU!Ug"</f>
        <v>#VALUE!</v>
      </c>
      <c r="IE30" t="e">
        <f>'Technical Skills Weighting'!3822:3822-"`FU!Uh"</f>
        <v>#VALUE!</v>
      </c>
      <c r="IF30" t="e">
        <f>'Technical Skills Weighting'!3823:3823-"`FU!Ui"</f>
        <v>#VALUE!</v>
      </c>
      <c r="IG30" t="e">
        <f>'Technical Skills Weighting'!3824:3824-"`FU!Uj"</f>
        <v>#VALUE!</v>
      </c>
      <c r="IH30" t="e">
        <f>'Technical Skills Weighting'!3825:3825-"`FU!Uk"</f>
        <v>#VALUE!</v>
      </c>
      <c r="II30" t="e">
        <f>'Technical Skills Weighting'!3826:3826-"`FU!Ul"</f>
        <v>#VALUE!</v>
      </c>
      <c r="IJ30" t="e">
        <f>'Technical Skills Weighting'!3827:3827-"`FU!Um"</f>
        <v>#VALUE!</v>
      </c>
      <c r="IK30" t="e">
        <f>'Technical Skills Weighting'!3828:3828-"`FU!Un"</f>
        <v>#VALUE!</v>
      </c>
      <c r="IL30" t="e">
        <f>'Technical Skills Weighting'!3829:3829-"`FU!Uo"</f>
        <v>#VALUE!</v>
      </c>
      <c r="IM30" t="e">
        <f>'Technical Skills Weighting'!3830:3830-"`FU!Up"</f>
        <v>#VALUE!</v>
      </c>
      <c r="IN30" t="e">
        <f>'Technical Skills Weighting'!3831:3831-"`FU!Uq"</f>
        <v>#VALUE!</v>
      </c>
      <c r="IO30" t="e">
        <f>'Technical Skills Weighting'!3832:3832-"`FU!Ur"</f>
        <v>#VALUE!</v>
      </c>
      <c r="IP30" t="e">
        <f>'Technical Skills Weighting'!3833:3833-"`FU!Us"</f>
        <v>#VALUE!</v>
      </c>
      <c r="IQ30" t="e">
        <f>'Technical Skills Weighting'!3834:3834-"`FU!Ut"</f>
        <v>#VALUE!</v>
      </c>
      <c r="IR30" t="e">
        <f>'Technical Skills Weighting'!3835:3835-"`FU!Uu"</f>
        <v>#VALUE!</v>
      </c>
      <c r="IS30" t="e">
        <f>'Technical Skills Weighting'!3836:3836-"`FU!Uv"</f>
        <v>#VALUE!</v>
      </c>
      <c r="IT30" t="e">
        <f>'Technical Skills Weighting'!3837:3837-"`FU!Uw"</f>
        <v>#VALUE!</v>
      </c>
      <c r="IU30" t="e">
        <f>'Technical Skills Weighting'!3838:3838-"`FU!Ux"</f>
        <v>#VALUE!</v>
      </c>
      <c r="IV30" t="e">
        <f>'Technical Skills Weighting'!3839:3839-"`FU!Uy"</f>
        <v>#VALUE!</v>
      </c>
    </row>
    <row r="31" spans="6:256" x14ac:dyDescent="0.25">
      <c r="F31" t="e">
        <f>'Technical Skills Weighting'!3840:3840-"`FU!Uz"</f>
        <v>#VALUE!</v>
      </c>
      <c r="G31" t="e">
        <f>'Technical Skills Weighting'!3841:3841-"`FU!U{"</f>
        <v>#VALUE!</v>
      </c>
      <c r="H31" t="e">
        <f>'Technical Skills Weighting'!3842:3842-"`FU!U|"</f>
        <v>#VALUE!</v>
      </c>
      <c r="I31" t="e">
        <f>'Technical Skills Weighting'!3843:3843-"`FU!U}"</f>
        <v>#VALUE!</v>
      </c>
      <c r="J31" t="e">
        <f>'Technical Skills Weighting'!3844:3844-"`FU!U~"</f>
        <v>#VALUE!</v>
      </c>
      <c r="K31" t="e">
        <f>'Technical Skills Weighting'!3845:3845-"`FU!V#"</f>
        <v>#VALUE!</v>
      </c>
      <c r="L31" t="e">
        <f>'Technical Skills Weighting'!3846:3846-"`FU!V$"</f>
        <v>#VALUE!</v>
      </c>
      <c r="M31" t="e">
        <f>'Technical Skills Weighting'!3847:3847-"`FU!V%"</f>
        <v>#VALUE!</v>
      </c>
      <c r="N31" t="e">
        <f>'Technical Skills Weighting'!3848:3848-"`FU!V&amp;"</f>
        <v>#VALUE!</v>
      </c>
      <c r="O31" t="e">
        <f>'Technical Skills Weighting'!3849:3849-"`FU!V'"</f>
        <v>#VALUE!</v>
      </c>
      <c r="P31" t="e">
        <f>'Technical Skills Weighting'!3850:3850-"`FU!V("</f>
        <v>#VALUE!</v>
      </c>
      <c r="Q31" t="e">
        <f>'Technical Skills Weighting'!3851:3851-"`FU!V)"</f>
        <v>#VALUE!</v>
      </c>
      <c r="R31" t="e">
        <f>'Technical Skills Weighting'!3852:3852-"`FU!V."</f>
        <v>#VALUE!</v>
      </c>
      <c r="S31" t="e">
        <f>'Technical Skills Weighting'!3853:3853-"`FU!V/"</f>
        <v>#VALUE!</v>
      </c>
      <c r="T31" t="e">
        <f>'Technical Skills Weighting'!3854:3854-"`FU!V0"</f>
        <v>#VALUE!</v>
      </c>
      <c r="U31" t="e">
        <f>'Technical Skills Weighting'!3855:3855-"`FU!V1"</f>
        <v>#VALUE!</v>
      </c>
      <c r="V31" t="e">
        <f>'Technical Skills Weighting'!3856:3856-"`FU!V2"</f>
        <v>#VALUE!</v>
      </c>
      <c r="W31" t="e">
        <f>'Technical Skills Weighting'!3857:3857-"`FU!V3"</f>
        <v>#VALUE!</v>
      </c>
      <c r="X31" t="e">
        <f>'Technical Skills Weighting'!3858:3858-"`FU!V4"</f>
        <v>#VALUE!</v>
      </c>
      <c r="Y31" t="e">
        <f>'Technical Skills Weighting'!3859:3859-"`FU!V5"</f>
        <v>#VALUE!</v>
      </c>
      <c r="Z31" t="e">
        <f>'Technical Skills Weighting'!3860:3860-"`FU!V6"</f>
        <v>#VALUE!</v>
      </c>
      <c r="AA31" t="e">
        <f>'Technical Skills Weighting'!3861:3861-"`FU!V7"</f>
        <v>#VALUE!</v>
      </c>
      <c r="AB31" t="e">
        <f>'Technical Skills Weighting'!3862:3862-"`FU!V8"</f>
        <v>#VALUE!</v>
      </c>
      <c r="AC31" t="e">
        <f>'Technical Skills Weighting'!3863:3863-"`FU!V9"</f>
        <v>#VALUE!</v>
      </c>
      <c r="AD31" t="e">
        <f>'Technical Skills Weighting'!3864:3864-"`FU!V:"</f>
        <v>#VALUE!</v>
      </c>
      <c r="AE31" t="e">
        <f>'Technical Skills Weighting'!3865:3865-"`FU!V;"</f>
        <v>#VALUE!</v>
      </c>
      <c r="AF31" t="e">
        <f>'Technical Skills Weighting'!3866:3866-"`FU!V&lt;"</f>
        <v>#VALUE!</v>
      </c>
      <c r="AG31" t="e">
        <f>'Technical Skills Weighting'!3867:3867-"`FU!V="</f>
        <v>#VALUE!</v>
      </c>
      <c r="AH31" t="e">
        <f>'Technical Skills Weighting'!3868:3868-"`FU!V&gt;"</f>
        <v>#VALUE!</v>
      </c>
      <c r="AI31" t="e">
        <f>'Technical Skills Weighting'!3869:3869-"`FU!V?"</f>
        <v>#VALUE!</v>
      </c>
      <c r="AJ31" t="e">
        <f>'Technical Skills Weighting'!3870:3870-"`FU!V@"</f>
        <v>#VALUE!</v>
      </c>
      <c r="AK31" t="e">
        <f>'Technical Skills Weighting'!3871:3871-"`FU!VA"</f>
        <v>#VALUE!</v>
      </c>
      <c r="AL31" t="e">
        <f>'Technical Skills Weighting'!3872:3872-"`FU!VB"</f>
        <v>#VALUE!</v>
      </c>
      <c r="AM31" t="e">
        <f>'Technical Skills Weighting'!3873:3873-"`FU!VC"</f>
        <v>#VALUE!</v>
      </c>
      <c r="AN31" t="e">
        <f>'Technical Skills Weighting'!3874:3874-"`FU!VD"</f>
        <v>#VALUE!</v>
      </c>
      <c r="AO31" t="e">
        <f>'Technical Skills Weighting'!3875:3875-"`FU!VE"</f>
        <v>#VALUE!</v>
      </c>
      <c r="AP31" t="e">
        <f>'Technical Skills Weighting'!3876:3876-"`FU!VF"</f>
        <v>#VALUE!</v>
      </c>
      <c r="AQ31" t="e">
        <f>'Technical Skills Weighting'!3877:3877-"`FU!VG"</f>
        <v>#VALUE!</v>
      </c>
      <c r="AR31" t="e">
        <f>'Technical Skills Weighting'!3878:3878-"`FU!VH"</f>
        <v>#VALUE!</v>
      </c>
      <c r="AS31" t="e">
        <f>'Technical Skills Weighting'!3879:3879-"`FU!VI"</f>
        <v>#VALUE!</v>
      </c>
      <c r="AT31" t="e">
        <f>'Technical Skills Weighting'!3880:3880-"`FU!VJ"</f>
        <v>#VALUE!</v>
      </c>
      <c r="AU31" t="e">
        <f>'Technical Skills Weighting'!3881:3881-"`FU!VK"</f>
        <v>#VALUE!</v>
      </c>
      <c r="AV31" t="e">
        <f>'Technical Skills Weighting'!3882:3882-"`FU!VL"</f>
        <v>#VALUE!</v>
      </c>
      <c r="AW31" t="e">
        <f>'Technical Skills Weighting'!3883:3883-"`FU!VM"</f>
        <v>#VALUE!</v>
      </c>
      <c r="AX31" t="e">
        <f>'Technical Skills Weighting'!3884:3884-"`FU!VN"</f>
        <v>#VALUE!</v>
      </c>
      <c r="AY31" t="e">
        <f>'Technical Skills Weighting'!3885:3885-"`FU!VO"</f>
        <v>#VALUE!</v>
      </c>
      <c r="AZ31" t="e">
        <f>'Technical Skills Weighting'!3886:3886-"`FU!VP"</f>
        <v>#VALUE!</v>
      </c>
      <c r="BA31" t="e">
        <f>'Technical Skills Weighting'!3887:3887-"`FU!VQ"</f>
        <v>#VALUE!</v>
      </c>
      <c r="BB31" t="e">
        <f>'Technical Skills Weighting'!3888:3888-"`FU!VR"</f>
        <v>#VALUE!</v>
      </c>
      <c r="BC31" t="e">
        <f>'Technical Skills Weighting'!3889:3889-"`FU!VS"</f>
        <v>#VALUE!</v>
      </c>
      <c r="BD31" t="e">
        <f>'Technical Skills Weighting'!3890:3890-"`FU!VT"</f>
        <v>#VALUE!</v>
      </c>
      <c r="BE31" t="e">
        <f>'Technical Skills Weighting'!3891:3891-"`FU!VU"</f>
        <v>#VALUE!</v>
      </c>
      <c r="BF31" t="e">
        <f>'Technical Skills Weighting'!3892:3892-"`FU!VV"</f>
        <v>#VALUE!</v>
      </c>
      <c r="BG31" t="e">
        <f>'Technical Skills Weighting'!3893:3893-"`FU!VW"</f>
        <v>#VALUE!</v>
      </c>
      <c r="BH31" t="e">
        <f>'Technical Skills Weighting'!3894:3894-"`FU!VX"</f>
        <v>#VALUE!</v>
      </c>
      <c r="BI31" t="e">
        <f>'Technical Skills Weighting'!3895:3895-"`FU!VY"</f>
        <v>#VALUE!</v>
      </c>
      <c r="BJ31" t="e">
        <f>'Technical Skills Weighting'!3896:3896-"`FU!VZ"</f>
        <v>#VALUE!</v>
      </c>
      <c r="BK31" t="e">
        <f>'Technical Skills Weighting'!3897:3897-"`FU!V["</f>
        <v>#VALUE!</v>
      </c>
      <c r="BL31" t="e">
        <f>'Technical Skills Weighting'!3898:3898-"`FU!V\"</f>
        <v>#VALUE!</v>
      </c>
      <c r="BM31" t="e">
        <f>'Technical Skills Weighting'!3899:3899-"`FU!V]"</f>
        <v>#VALUE!</v>
      </c>
      <c r="BN31" t="e">
        <f>'Technical Skills Weighting'!3900:3900-"`FU!V^"</f>
        <v>#VALUE!</v>
      </c>
      <c r="BO31" t="e">
        <f>'Technical Skills Weighting'!3901:3901-"`FU!V_"</f>
        <v>#VALUE!</v>
      </c>
      <c r="BP31" t="e">
        <f>'Technical Skills Weighting'!3902:3902-"`FU!V`"</f>
        <v>#VALUE!</v>
      </c>
      <c r="BQ31" t="e">
        <f>'Technical Skills Weighting'!3903:3903-"`FU!Va"</f>
        <v>#VALUE!</v>
      </c>
      <c r="BR31" t="e">
        <f>'Technical Skills Weighting'!3904:3904-"`FU!Vb"</f>
        <v>#VALUE!</v>
      </c>
      <c r="BS31" t="e">
        <f>'Technical Skills Weighting'!3905:3905-"`FU!Vc"</f>
        <v>#VALUE!</v>
      </c>
      <c r="BT31" t="e">
        <f>'Technical Skills Weighting'!3906:3906-"`FU!Vd"</f>
        <v>#VALUE!</v>
      </c>
      <c r="BU31" t="e">
        <f>'Technical Skills Weighting'!3907:3907-"`FU!Ve"</f>
        <v>#VALUE!</v>
      </c>
      <c r="BV31" t="e">
        <f>'Technical Skills Weighting'!3908:3908-"`FU!Vf"</f>
        <v>#VALUE!</v>
      </c>
      <c r="BW31" t="e">
        <f>'Technical Skills Weighting'!3909:3909-"`FU!Vg"</f>
        <v>#VALUE!</v>
      </c>
      <c r="BX31" t="e">
        <f>'Technical Skills Weighting'!3910:3910-"`FU!Vh"</f>
        <v>#VALUE!</v>
      </c>
      <c r="BY31" t="e">
        <f>'Technical Skills Weighting'!3911:3911-"`FU!Vi"</f>
        <v>#VALUE!</v>
      </c>
      <c r="BZ31" t="e">
        <f>'Technical Skills Weighting'!3912:3912-"`FU!Vj"</f>
        <v>#VALUE!</v>
      </c>
      <c r="CA31" t="e">
        <f>'Technical Skills Weighting'!3913:3913-"`FU!Vk"</f>
        <v>#VALUE!</v>
      </c>
      <c r="CB31" t="e">
        <f>'Technical Skills Weighting'!3914:3914-"`FU!Vl"</f>
        <v>#VALUE!</v>
      </c>
      <c r="CC31" t="e">
        <f>'Technical Skills Weighting'!3915:3915-"`FU!Vm"</f>
        <v>#VALUE!</v>
      </c>
      <c r="CD31" t="e">
        <f>'Technical Skills Weighting'!3916:3916-"`FU!Vn"</f>
        <v>#VALUE!</v>
      </c>
      <c r="CE31" t="e">
        <f>'Technical Skills Weighting'!3917:3917-"`FU!Vo"</f>
        <v>#VALUE!</v>
      </c>
      <c r="CF31" t="e">
        <f>'Technical Skills Weighting'!3918:3918-"`FU!Vp"</f>
        <v>#VALUE!</v>
      </c>
      <c r="CG31" t="e">
        <f>'Technical Skills Weighting'!3919:3919-"`FU!Vq"</f>
        <v>#VALUE!</v>
      </c>
      <c r="CH31" t="e">
        <f>'Technical Skills Weighting'!3920:3920-"`FU!Vr"</f>
        <v>#VALUE!</v>
      </c>
      <c r="CI31" t="e">
        <f>'Technical Skills Weighting'!3921:3921-"`FU!Vs"</f>
        <v>#VALUE!</v>
      </c>
      <c r="CJ31" t="e">
        <f>'Technical Skills Weighting'!3922:3922-"`FU!Vt"</f>
        <v>#VALUE!</v>
      </c>
      <c r="CK31" t="e">
        <f>'Technical Skills Weighting'!3923:3923-"`FU!Vu"</f>
        <v>#VALUE!</v>
      </c>
      <c r="CL31" t="e">
        <f>'Technical Skills Weighting'!3924:3924-"`FU!Vv"</f>
        <v>#VALUE!</v>
      </c>
      <c r="CM31" t="e">
        <f>'Technical Skills Weighting'!3925:3925-"`FU!Vw"</f>
        <v>#VALUE!</v>
      </c>
      <c r="CN31" t="e">
        <f>'Technical Skills Weighting'!3926:3926-"`FU!Vx"</f>
        <v>#VALUE!</v>
      </c>
      <c r="CO31" t="e">
        <f>'Technical Skills Weighting'!3927:3927-"`FU!Vy"</f>
        <v>#VALUE!</v>
      </c>
      <c r="CP31" t="e">
        <f>'Technical Skills Weighting'!3928:3928-"`FU!Vz"</f>
        <v>#VALUE!</v>
      </c>
      <c r="CQ31" t="e">
        <f>'Technical Skills Weighting'!3929:3929-"`FU!V{"</f>
        <v>#VALUE!</v>
      </c>
      <c r="CR31" t="e">
        <f>'Technical Skills Weighting'!3930:3930-"`FU!V|"</f>
        <v>#VALUE!</v>
      </c>
      <c r="CS31" t="e">
        <f>'Technical Skills Weighting'!3931:3931-"`FU!V}"</f>
        <v>#VALUE!</v>
      </c>
      <c r="CT31" t="e">
        <f>'Technical Skills Weighting'!3932:3932-"`FU!V~"</f>
        <v>#VALUE!</v>
      </c>
      <c r="CU31" t="e">
        <f>'Technical Skills Weighting'!3933:3933-"`FU!W#"</f>
        <v>#VALUE!</v>
      </c>
      <c r="CV31" t="e">
        <f>'Technical Skills Weighting'!3934:3934-"`FU!W$"</f>
        <v>#VALUE!</v>
      </c>
      <c r="CW31" t="e">
        <f>'Technical Skills Weighting'!3935:3935-"`FU!W%"</f>
        <v>#VALUE!</v>
      </c>
      <c r="CX31" t="e">
        <f>'Technical Skills Weighting'!3936:3936-"`FU!W&amp;"</f>
        <v>#VALUE!</v>
      </c>
      <c r="CY31" t="e">
        <f>'Technical Skills Weighting'!3937:3937-"`FU!W'"</f>
        <v>#VALUE!</v>
      </c>
      <c r="CZ31" t="e">
        <f>'Technical Skills Weighting'!3938:3938-"`FU!W("</f>
        <v>#VALUE!</v>
      </c>
      <c r="DA31" t="e">
        <f>'Technical Skills Weighting'!3939:3939-"`FU!W)"</f>
        <v>#VALUE!</v>
      </c>
      <c r="DB31" t="e">
        <f>'Technical Skills Weighting'!3940:3940-"`FU!W."</f>
        <v>#VALUE!</v>
      </c>
      <c r="DC31" t="e">
        <f>'Technical Skills Weighting'!3941:3941-"`FU!W/"</f>
        <v>#VALUE!</v>
      </c>
      <c r="DD31" t="e">
        <f>'Technical Skills Weighting'!3942:3942-"`FU!W0"</f>
        <v>#VALUE!</v>
      </c>
      <c r="DE31" t="e">
        <f>'Technical Skills Weighting'!3943:3943-"`FU!W1"</f>
        <v>#VALUE!</v>
      </c>
      <c r="DF31" t="e">
        <f>'Technical Skills Weighting'!3944:3944-"`FU!W2"</f>
        <v>#VALUE!</v>
      </c>
      <c r="DG31" t="e">
        <f>'Technical Skills Weighting'!3945:3945-"`FU!W3"</f>
        <v>#VALUE!</v>
      </c>
      <c r="DH31" t="e">
        <f>'Technical Skills Weighting'!3946:3946-"`FU!W4"</f>
        <v>#VALUE!</v>
      </c>
      <c r="DI31" t="e">
        <f>'Technical Skills Weighting'!3947:3947-"`FU!W5"</f>
        <v>#VALUE!</v>
      </c>
      <c r="DJ31" t="e">
        <f>'Technical Skills Weighting'!3948:3948-"`FU!W6"</f>
        <v>#VALUE!</v>
      </c>
      <c r="DK31" t="e">
        <f>'Technical Skills Weighting'!3949:3949-"`FU!W7"</f>
        <v>#VALUE!</v>
      </c>
      <c r="DL31" t="e">
        <f>'Technical Skills Weighting'!3950:3950-"`FU!W8"</f>
        <v>#VALUE!</v>
      </c>
      <c r="DM31" t="e">
        <f>'Technical Skills Weighting'!3951:3951-"`FU!W9"</f>
        <v>#VALUE!</v>
      </c>
      <c r="DN31" t="e">
        <f>'Technical Skills Weighting'!3952:3952-"`FU!W:"</f>
        <v>#VALUE!</v>
      </c>
      <c r="DO31" t="e">
        <f>'Technical Skills Weighting'!3953:3953-"`FU!W;"</f>
        <v>#VALUE!</v>
      </c>
      <c r="DP31" t="e">
        <f>'Technical Skills Weighting'!3954:3954-"`FU!W&lt;"</f>
        <v>#VALUE!</v>
      </c>
      <c r="DQ31" t="e">
        <f>'Technical Skills Weighting'!3955:3955-"`FU!W="</f>
        <v>#VALUE!</v>
      </c>
      <c r="DR31" t="e">
        <f>'Technical Skills Weighting'!3956:3956-"`FU!W&gt;"</f>
        <v>#VALUE!</v>
      </c>
      <c r="DS31" t="e">
        <f>'Technical Skills Weighting'!3957:3957-"`FU!W?"</f>
        <v>#VALUE!</v>
      </c>
      <c r="DT31" t="e">
        <f>'Technical Skills Weighting'!3958:3958-"`FU!W@"</f>
        <v>#VALUE!</v>
      </c>
      <c r="DU31" t="e">
        <f>'Technical Skills Weighting'!3959:3959-"`FU!WA"</f>
        <v>#VALUE!</v>
      </c>
      <c r="DV31" t="e">
        <f>'Technical Skills Weighting'!3960:3960-"`FU!WB"</f>
        <v>#VALUE!</v>
      </c>
      <c r="DW31" t="e">
        <f>'Technical Skills Weighting'!3961:3961-"`FU!WC"</f>
        <v>#VALUE!</v>
      </c>
      <c r="DX31" t="e">
        <f>'Technical Skills Weighting'!3962:3962-"`FU!WD"</f>
        <v>#VALUE!</v>
      </c>
      <c r="DY31" t="e">
        <f>'Technical Skills Weighting'!3963:3963-"`FU!WE"</f>
        <v>#VALUE!</v>
      </c>
      <c r="DZ31" t="e">
        <f>'Technical Skills Weighting'!3964:3964-"`FU!WF"</f>
        <v>#VALUE!</v>
      </c>
      <c r="EA31" t="e">
        <f>'Technical Skills Weighting'!3965:3965-"`FU!WG"</f>
        <v>#VALUE!</v>
      </c>
      <c r="EB31" t="e">
        <f>'Technical Skills Weighting'!3966:3966-"`FU!WH"</f>
        <v>#VALUE!</v>
      </c>
      <c r="EC31" t="e">
        <f>'Technical Skills Weighting'!3967:3967-"`FU!WI"</f>
        <v>#VALUE!</v>
      </c>
      <c r="ED31" t="e">
        <f>'Technical Skills Weighting'!3968:3968-"`FU!WJ"</f>
        <v>#VALUE!</v>
      </c>
      <c r="EE31" t="e">
        <f>'Technical Skills Weighting'!3969:3969-"`FU!WK"</f>
        <v>#VALUE!</v>
      </c>
      <c r="EF31" t="e">
        <f>'Technical Skills Weighting'!3970:3970-"`FU!WL"</f>
        <v>#VALUE!</v>
      </c>
      <c r="EG31" t="e">
        <f>'Technical Skills Weighting'!3971:3971-"`FU!WM"</f>
        <v>#VALUE!</v>
      </c>
      <c r="EH31" t="e">
        <f>'Technical Skills Weighting'!3972:3972-"`FU!WN"</f>
        <v>#VALUE!</v>
      </c>
      <c r="EI31" t="e">
        <f>'Technical Skills Weighting'!3973:3973-"`FU!WO"</f>
        <v>#VALUE!</v>
      </c>
      <c r="EJ31" t="e">
        <f>'Technical Skills Weighting'!3974:3974-"`FU!WP"</f>
        <v>#VALUE!</v>
      </c>
      <c r="EK31" t="e">
        <f>'Technical Skills Weighting'!3975:3975-"`FU!WQ"</f>
        <v>#VALUE!</v>
      </c>
      <c r="EL31" t="e">
        <f>'Technical Skills Weighting'!3976:3976-"`FU!WR"</f>
        <v>#VALUE!</v>
      </c>
      <c r="EM31" t="e">
        <f>'Technical Skills Weighting'!3977:3977-"`FU!WS"</f>
        <v>#VALUE!</v>
      </c>
      <c r="EN31" t="e">
        <f>'Technical Skills Weighting'!3978:3978-"`FU!WT"</f>
        <v>#VALUE!</v>
      </c>
      <c r="EO31" t="e">
        <f>'Technical Skills Weighting'!3979:3979-"`FU!WU"</f>
        <v>#VALUE!</v>
      </c>
      <c r="EP31" t="e">
        <f>'Technical Skills Weighting'!3980:3980-"`FU!WV"</f>
        <v>#VALUE!</v>
      </c>
      <c r="EQ31" t="e">
        <f>'Technical Skills Weighting'!3981:3981-"`FU!WW"</f>
        <v>#VALUE!</v>
      </c>
      <c r="ER31" t="e">
        <f>'Technical Skills Weighting'!3982:3982-"`FU!WX"</f>
        <v>#VALUE!</v>
      </c>
      <c r="ES31" t="e">
        <f>'Technical Skills Weighting'!3983:3983-"`FU!WY"</f>
        <v>#VALUE!</v>
      </c>
      <c r="ET31" t="e">
        <f>'Technical Skills Weighting'!3984:3984-"`FU!WZ"</f>
        <v>#VALUE!</v>
      </c>
      <c r="EU31" t="e">
        <f>'Technical Skills Weighting'!3985:3985-"`FU!W["</f>
        <v>#VALUE!</v>
      </c>
      <c r="EV31" t="e">
        <f>'Technical Skills Weighting'!3986:3986-"`FU!W\"</f>
        <v>#VALUE!</v>
      </c>
      <c r="EW31" t="e">
        <f>'Technical Skills Weighting'!3987:3987-"`FU!W]"</f>
        <v>#VALUE!</v>
      </c>
      <c r="EX31" t="e">
        <f>'Technical Skills Weighting'!3988:3988-"`FU!W^"</f>
        <v>#VALUE!</v>
      </c>
      <c r="EY31" t="e">
        <f>'Technical Skills Weighting'!3989:3989-"`FU!W_"</f>
        <v>#VALUE!</v>
      </c>
      <c r="EZ31" t="e">
        <f>'Technical Skills Weighting'!3990:3990-"`FU!W`"</f>
        <v>#VALUE!</v>
      </c>
      <c r="FA31" t="e">
        <f>'Technical Skills Weighting'!3991:3991-"`FU!Wa"</f>
        <v>#VALUE!</v>
      </c>
      <c r="FB31" t="e">
        <f>'Technical Skills Weighting'!3992:3992-"`FU!Wb"</f>
        <v>#VALUE!</v>
      </c>
      <c r="FC31" t="e">
        <f>'Technical Skills Weighting'!3993:3993-"`FU!Wc"</f>
        <v>#VALUE!</v>
      </c>
      <c r="FD31" t="e">
        <f>'Technical Skills Weighting'!3994:3994-"`FU!Wd"</f>
        <v>#VALUE!</v>
      </c>
      <c r="FE31" t="e">
        <f>'Technical Skills Weighting'!3995:3995-"`FU!We"</f>
        <v>#VALUE!</v>
      </c>
      <c r="FF31" t="e">
        <f>'Technical Skills Weighting'!3996:3996-"`FU!Wf"</f>
        <v>#VALUE!</v>
      </c>
      <c r="FG31" t="e">
        <f>'Technical Skills Weighting'!3997:3997-"`FU!Wg"</f>
        <v>#VALUE!</v>
      </c>
      <c r="FH31" t="e">
        <f>'Technical Skills Weighting'!3998:3998-"`FU!Wh"</f>
        <v>#VALUE!</v>
      </c>
      <c r="FI31" t="e">
        <f>'Technical Skills Weighting'!3999:3999-"`FU!Wi"</f>
        <v>#VALUE!</v>
      </c>
      <c r="FJ31" t="e">
        <f>'Technical Skills Weighting'!4000:4000-"`FU!Wj"</f>
        <v>#VALUE!</v>
      </c>
      <c r="FK31" t="e">
        <f>'Technical Skills Weighting'!4001:4001-"`FU!Wk"</f>
        <v>#VALUE!</v>
      </c>
      <c r="FL31" t="e">
        <f>'Technical Skills Weighting'!4002:4002-"`FU!Wl"</f>
        <v>#VALUE!</v>
      </c>
      <c r="FM31" t="e">
        <f>'Technical Skills Weighting'!4003:4003-"`FU!Wm"</f>
        <v>#VALUE!</v>
      </c>
      <c r="FN31" t="e">
        <f>'Technical Skills Weighting'!4004:4004-"`FU!Wn"</f>
        <v>#VALUE!</v>
      </c>
      <c r="FO31" t="e">
        <f>'Technical Skills Weighting'!4005:4005-"`FU!Wo"</f>
        <v>#VALUE!</v>
      </c>
      <c r="FP31" t="e">
        <f>'Technical Skills Weighting'!4006:4006-"`FU!Wp"</f>
        <v>#VALUE!</v>
      </c>
      <c r="FQ31" t="e">
        <f>'Technical Skills Weighting'!4007:4007-"`FU!Wq"</f>
        <v>#VALUE!</v>
      </c>
      <c r="FR31" t="e">
        <f>'Technical Skills Weighting'!4008:4008-"`FU!Wr"</f>
        <v>#VALUE!</v>
      </c>
      <c r="FS31" t="e">
        <f>'Technical Skills Weighting'!4009:4009-"`FU!Ws"</f>
        <v>#VALUE!</v>
      </c>
      <c r="FT31" t="e">
        <f>'Technical Skills Weighting'!4010:4010-"`FU!Wt"</f>
        <v>#VALUE!</v>
      </c>
      <c r="FU31" t="e">
        <f>'Technical Skills Weighting'!4011:4011-"`FU!Wu"</f>
        <v>#VALUE!</v>
      </c>
      <c r="FV31" t="e">
        <f>'Technical Skills Weighting'!4012:4012-"`FU!Wv"</f>
        <v>#VALUE!</v>
      </c>
      <c r="FW31" t="e">
        <f>'Technical Skills Weighting'!4013:4013-"`FU!Ww"</f>
        <v>#VALUE!</v>
      </c>
      <c r="FX31" t="e">
        <f>'Technical Skills Weighting'!4014:4014-"`FU!Wx"</f>
        <v>#VALUE!</v>
      </c>
      <c r="FY31" t="e">
        <f>'Technical Skills Weighting'!4015:4015-"`FU!Wy"</f>
        <v>#VALUE!</v>
      </c>
      <c r="FZ31" t="e">
        <f>'Technical Skills Weighting'!4016:4016-"`FU!Wz"</f>
        <v>#VALUE!</v>
      </c>
      <c r="GA31" t="e">
        <f>'Technical Skills Weighting'!4017:4017-"`FU!W{"</f>
        <v>#VALUE!</v>
      </c>
      <c r="GB31" t="e">
        <f>'Technical Skills Weighting'!4018:4018-"`FU!W|"</f>
        <v>#VALUE!</v>
      </c>
      <c r="GC31" t="e">
        <f>'Technical Skills Weighting'!4019:4019-"`FU!W}"</f>
        <v>#VALUE!</v>
      </c>
      <c r="GD31" t="e">
        <f>'Technical Skills Weighting'!4020:4020-"`FU!W~"</f>
        <v>#VALUE!</v>
      </c>
      <c r="GE31" t="e">
        <f>'Technical Skills Weighting'!4021:4021-"`FU!X#"</f>
        <v>#VALUE!</v>
      </c>
      <c r="GF31" t="e">
        <f>'Technical Skills Weighting'!4022:4022-"`FU!X$"</f>
        <v>#VALUE!</v>
      </c>
      <c r="GG31" t="e">
        <f>'Technical Skills Weighting'!4023:4023-"`FU!X%"</f>
        <v>#VALUE!</v>
      </c>
      <c r="GH31" t="e">
        <f>'Technical Skills Weighting'!4024:4024-"`FU!X&amp;"</f>
        <v>#VALUE!</v>
      </c>
      <c r="GI31" t="e">
        <f>'Technical Skills Weighting'!4025:4025-"`FU!X'"</f>
        <v>#VALUE!</v>
      </c>
      <c r="GJ31" t="e">
        <f>'Technical Skills Weighting'!4026:4026-"`FU!X("</f>
        <v>#VALUE!</v>
      </c>
      <c r="GK31" t="e">
        <f>'Technical Skills Weighting'!4027:4027-"`FU!X)"</f>
        <v>#VALUE!</v>
      </c>
      <c r="GL31" t="e">
        <f>'Technical Skills Weighting'!4028:4028-"`FU!X."</f>
        <v>#VALUE!</v>
      </c>
      <c r="GM31" t="e">
        <f>'Technical Skills Weighting'!4029:4029-"`FU!X/"</f>
        <v>#VALUE!</v>
      </c>
      <c r="GN31" t="e">
        <f>'Technical Skills Weighting'!4030:4030-"`FU!X0"</f>
        <v>#VALUE!</v>
      </c>
      <c r="GO31" t="e">
        <f>'Technical Skills Weighting'!4031:4031-"`FU!X1"</f>
        <v>#VALUE!</v>
      </c>
      <c r="GP31" t="e">
        <f>'Technical Skills Weighting'!4032:4032-"`FU!X2"</f>
        <v>#VALUE!</v>
      </c>
      <c r="GQ31" t="e">
        <f>'Technical Skills Weighting'!4033:4033-"`FU!X3"</f>
        <v>#VALUE!</v>
      </c>
      <c r="GR31" t="e">
        <f>'Technical Skills Weighting'!4034:4034-"`FU!X4"</f>
        <v>#VALUE!</v>
      </c>
      <c r="GS31" t="e">
        <f>'Technical Skills Weighting'!4035:4035-"`FU!X5"</f>
        <v>#VALUE!</v>
      </c>
      <c r="GT31" t="e">
        <f>'Technical Skills Weighting'!4036:4036-"`FU!X6"</f>
        <v>#VALUE!</v>
      </c>
      <c r="GU31" t="e">
        <f>'Technical Skills Weighting'!4037:4037-"`FU!X7"</f>
        <v>#VALUE!</v>
      </c>
      <c r="GV31" t="e">
        <f>'Technical Skills Weighting'!4038:4038-"`FU!X8"</f>
        <v>#VALUE!</v>
      </c>
      <c r="GW31" t="e">
        <f>'Technical Skills Weighting'!4039:4039-"`FU!X9"</f>
        <v>#VALUE!</v>
      </c>
      <c r="GX31" t="e">
        <f>'Technical Skills Weighting'!4040:4040-"`FU!X:"</f>
        <v>#VALUE!</v>
      </c>
      <c r="GY31" t="e">
        <f>'Technical Skills Weighting'!4041:4041-"`FU!X;"</f>
        <v>#VALUE!</v>
      </c>
      <c r="GZ31" t="e">
        <f>'Technical Skills Weighting'!4042:4042-"`FU!X&lt;"</f>
        <v>#VALUE!</v>
      </c>
      <c r="HA31" t="e">
        <f>'Technical Skills Weighting'!4043:4043-"`FU!X="</f>
        <v>#VALUE!</v>
      </c>
      <c r="HB31" t="e">
        <f>'Technical Skills Weighting'!4044:4044-"`FU!X&gt;"</f>
        <v>#VALUE!</v>
      </c>
      <c r="HC31" t="e">
        <f>'Technical Skills Weighting'!4045:4045-"`FU!X?"</f>
        <v>#VALUE!</v>
      </c>
      <c r="HD31" t="e">
        <f>'Technical Skills Weighting'!4046:4046-"`FU!X@"</f>
        <v>#VALUE!</v>
      </c>
      <c r="HE31" t="e">
        <f>'Technical Skills Weighting'!4047:4047-"`FU!XA"</f>
        <v>#VALUE!</v>
      </c>
      <c r="HF31" t="e">
        <f>'Technical Skills Weighting'!4048:4048-"`FU!XB"</f>
        <v>#VALUE!</v>
      </c>
      <c r="HG31" t="e">
        <f>'Technical Skills Weighting'!4049:4049-"`FU!XC"</f>
        <v>#VALUE!</v>
      </c>
      <c r="HH31" t="e">
        <f>'Technical Skills Weighting'!4050:4050-"`FU!XD"</f>
        <v>#VALUE!</v>
      </c>
      <c r="HI31" t="e">
        <f>'Technical Skills Weighting'!4051:4051-"`FU!XE"</f>
        <v>#VALUE!</v>
      </c>
      <c r="HJ31" t="e">
        <f>'Technical Skills Weighting'!4052:4052-"`FU!XF"</f>
        <v>#VALUE!</v>
      </c>
      <c r="HK31" t="e">
        <f>'Technical Skills Weighting'!4053:4053-"`FU!XG"</f>
        <v>#VALUE!</v>
      </c>
      <c r="HL31" t="e">
        <f>'Technical Skills Weighting'!4054:4054-"`FU!XH"</f>
        <v>#VALUE!</v>
      </c>
      <c r="HM31" t="e">
        <f>'Technical Skills Weighting'!4055:4055-"`FU!XI"</f>
        <v>#VALUE!</v>
      </c>
      <c r="HN31" t="e">
        <f>'Technical Skills Weighting'!4056:4056-"`FU!XJ"</f>
        <v>#VALUE!</v>
      </c>
      <c r="HO31" t="e">
        <f>'Technical Skills Weighting'!4057:4057-"`FU!XK"</f>
        <v>#VALUE!</v>
      </c>
      <c r="HP31" t="e">
        <f>'Technical Skills Weighting'!4058:4058-"`FU!XL"</f>
        <v>#VALUE!</v>
      </c>
      <c r="HQ31" t="e">
        <f>'Technical Skills Weighting'!4059:4059-"`FU!XM"</f>
        <v>#VALUE!</v>
      </c>
      <c r="HR31" t="e">
        <f>'Technical Skills Weighting'!4060:4060-"`FU!XN"</f>
        <v>#VALUE!</v>
      </c>
      <c r="HS31" t="e">
        <f>'Technical Skills Weighting'!4061:4061-"`FU!XO"</f>
        <v>#VALUE!</v>
      </c>
      <c r="HT31" t="e">
        <f>'Technical Skills Weighting'!4062:4062-"`FU!XP"</f>
        <v>#VALUE!</v>
      </c>
      <c r="HU31" t="e">
        <f>'Technical Skills Weighting'!4063:4063-"`FU!XQ"</f>
        <v>#VALUE!</v>
      </c>
      <c r="HV31" t="e">
        <f>'Technical Skills Weighting'!4064:4064-"`FU!XR"</f>
        <v>#VALUE!</v>
      </c>
      <c r="HW31" t="e">
        <f>'Technical Skills Weighting'!4065:4065-"`FU!XS"</f>
        <v>#VALUE!</v>
      </c>
      <c r="HX31" t="e">
        <f>'Technical Skills Weighting'!4066:4066-"`FU!XT"</f>
        <v>#VALUE!</v>
      </c>
      <c r="HY31" t="e">
        <f>'Technical Skills Weighting'!4067:4067-"`FU!XU"</f>
        <v>#VALUE!</v>
      </c>
      <c r="HZ31" t="e">
        <f>'Technical Skills Weighting'!4068:4068-"`FU!XV"</f>
        <v>#VALUE!</v>
      </c>
      <c r="IA31" t="e">
        <f>'Technical Skills Weighting'!4069:4069-"`FU!XW"</f>
        <v>#VALUE!</v>
      </c>
      <c r="IB31" t="e">
        <f>'Technical Skills Weighting'!4070:4070-"`FU!XX"</f>
        <v>#VALUE!</v>
      </c>
      <c r="IC31" t="e">
        <f>'Technical Skills Weighting'!4071:4071-"`FU!XY"</f>
        <v>#VALUE!</v>
      </c>
      <c r="ID31" t="e">
        <f>'Technical Skills Weighting'!4072:4072-"`FU!XZ"</f>
        <v>#VALUE!</v>
      </c>
      <c r="IE31" t="e">
        <f>'Technical Skills Weighting'!4073:4073-"`FU!X["</f>
        <v>#VALUE!</v>
      </c>
      <c r="IF31" t="e">
        <f>'Technical Skills Weighting'!4074:4074-"`FU!X\"</f>
        <v>#VALUE!</v>
      </c>
      <c r="IG31" t="e">
        <f>'Technical Skills Weighting'!4075:4075-"`FU!X]"</f>
        <v>#VALUE!</v>
      </c>
      <c r="IH31" t="e">
        <f>'Technical Skills Weighting'!4076:4076-"`FU!X^"</f>
        <v>#VALUE!</v>
      </c>
      <c r="II31" t="e">
        <f>'Technical Skills Weighting'!4077:4077-"`FU!X_"</f>
        <v>#VALUE!</v>
      </c>
      <c r="IJ31" t="e">
        <f>'Technical Skills Weighting'!4078:4078-"`FU!X`"</f>
        <v>#VALUE!</v>
      </c>
      <c r="IK31" t="e">
        <f>'Technical Skills Weighting'!4079:4079-"`FU!Xa"</f>
        <v>#VALUE!</v>
      </c>
      <c r="IL31" t="e">
        <f>'Technical Skills Weighting'!4080:4080-"`FU!Xb"</f>
        <v>#VALUE!</v>
      </c>
      <c r="IM31" t="e">
        <f>'Technical Skills Weighting'!4081:4081-"`FU!Xc"</f>
        <v>#VALUE!</v>
      </c>
      <c r="IN31" t="e">
        <f>'Technical Skills Weighting'!4082:4082-"`FU!Xd"</f>
        <v>#VALUE!</v>
      </c>
      <c r="IO31" t="e">
        <f>'Technical Skills Weighting'!4083:4083-"`FU!Xe"</f>
        <v>#VALUE!</v>
      </c>
      <c r="IP31" t="e">
        <f>'Technical Skills Weighting'!4084:4084-"`FU!Xf"</f>
        <v>#VALUE!</v>
      </c>
      <c r="IQ31" t="e">
        <f>'Technical Skills Weighting'!4085:4085-"`FU!Xg"</f>
        <v>#VALUE!</v>
      </c>
      <c r="IR31" t="e">
        <f>'Technical Skills Weighting'!4086:4086-"`FU!Xh"</f>
        <v>#VALUE!</v>
      </c>
      <c r="IS31" t="e">
        <f>'Technical Skills Weighting'!4087:4087-"`FU!Xi"</f>
        <v>#VALUE!</v>
      </c>
      <c r="IT31" t="e">
        <f>'Technical Skills Weighting'!4088:4088-"`FU!Xj"</f>
        <v>#VALUE!</v>
      </c>
      <c r="IU31" t="e">
        <f>'Technical Skills Weighting'!4089:4089-"`FU!Xk"</f>
        <v>#VALUE!</v>
      </c>
      <c r="IV31" t="e">
        <f>'Technical Skills Weighting'!4090:4090-"`FU!Xl"</f>
        <v>#VALUE!</v>
      </c>
    </row>
    <row r="32" spans="6:256" x14ac:dyDescent="0.25">
      <c r="F32" t="e">
        <f>'Technical Skills Weighting'!4091:4091-"`FU!Xm"</f>
        <v>#VALUE!</v>
      </c>
      <c r="G32" t="e">
        <f>'Technical Skills Weighting'!4092:4092-"`FU!Xn"</f>
        <v>#VALUE!</v>
      </c>
      <c r="H32" t="e">
        <f>'Technical Skills Weighting'!4093:4093-"`FU!Xo"</f>
        <v>#VALUE!</v>
      </c>
      <c r="I32" t="e">
        <f>'Technical Skills Weighting'!4094:4094-"`FU!Xp"</f>
        <v>#VALUE!</v>
      </c>
      <c r="J32" t="e">
        <f>'Technical Skills Weighting'!4095:4095-"`FU!Xq"</f>
        <v>#VALUE!</v>
      </c>
      <c r="K32" t="e">
        <f>'Technical Skills Weighting'!4096:4096-"`FU!Xr"</f>
        <v>#VALUE!</v>
      </c>
      <c r="L32" t="e">
        <f>'Technical Skills Weighting'!4097:4097-"`FU!Xs"</f>
        <v>#VALUE!</v>
      </c>
      <c r="M32" t="e">
        <f>'Technical Skills Weighting'!4098:4098-"`FU!Xt"</f>
        <v>#VALUE!</v>
      </c>
      <c r="N32" t="e">
        <f>'Technical Skills Weighting'!4099:4099-"`FU!Xu"</f>
        <v>#VALUE!</v>
      </c>
      <c r="O32" t="e">
        <f>'Technical Skills Weighting'!4100:4100-"`FU!Xv"</f>
        <v>#VALUE!</v>
      </c>
      <c r="P32" t="e">
        <f>'Technical Skills Weighting'!4101:4101-"`FU!Xw"</f>
        <v>#VALUE!</v>
      </c>
      <c r="Q32" t="e">
        <f>'Technical Skills Weighting'!4102:4102-"`FU!Xx"</f>
        <v>#VALUE!</v>
      </c>
      <c r="R32" t="e">
        <f>'Technical Skills Weighting'!4103:4103-"`FU!Xy"</f>
        <v>#VALUE!</v>
      </c>
      <c r="S32" t="e">
        <f>'Technical Skills Weighting'!4104:4104-"`FU!Xz"</f>
        <v>#VALUE!</v>
      </c>
      <c r="T32" t="e">
        <f>'Technical Skills Weighting'!4105:4105-"`FU!X{"</f>
        <v>#VALUE!</v>
      </c>
      <c r="U32" t="e">
        <f>'Technical Skills Weighting'!4106:4106-"`FU!X|"</f>
        <v>#VALUE!</v>
      </c>
      <c r="V32" t="e">
        <f>'Technical Skills Weighting'!4107:4107-"`FU!X}"</f>
        <v>#VALUE!</v>
      </c>
      <c r="W32" t="e">
        <f>'Technical Skills Weighting'!4108:4108-"`FU!X~"</f>
        <v>#VALUE!</v>
      </c>
      <c r="X32" t="e">
        <f>'Technical Skills Weighting'!4109:4109-"`FU!Y#"</f>
        <v>#VALUE!</v>
      </c>
      <c r="Y32" t="e">
        <f>'Technical Skills Weighting'!4110:4110-"`FU!Y$"</f>
        <v>#VALUE!</v>
      </c>
      <c r="Z32" t="e">
        <f>'Technical Skills Weighting'!4111:4111-"`FU!Y%"</f>
        <v>#VALUE!</v>
      </c>
      <c r="AA32" t="e">
        <f>'Technical Skills Weighting'!4112:4112-"`FU!Y&amp;"</f>
        <v>#VALUE!</v>
      </c>
      <c r="AB32" t="e">
        <f>'Technical Skills Weighting'!4113:4113-"`FU!Y'"</f>
        <v>#VALUE!</v>
      </c>
      <c r="AC32" t="e">
        <f>'Technical Skills Weighting'!4114:4114-"`FU!Y("</f>
        <v>#VALUE!</v>
      </c>
      <c r="AD32" t="e">
        <f>'Technical Skills Weighting'!4115:4115-"`FU!Y)"</f>
        <v>#VALUE!</v>
      </c>
      <c r="AE32" t="e">
        <f>'Technical Skills Weighting'!4116:4116-"`FU!Y."</f>
        <v>#VALUE!</v>
      </c>
      <c r="AF32" t="e">
        <f>'Technical Skills Weighting'!4117:4117-"`FU!Y/"</f>
        <v>#VALUE!</v>
      </c>
      <c r="AG32" t="e">
        <f>'Technical Skills Weighting'!4118:4118-"`FU!Y0"</f>
        <v>#VALUE!</v>
      </c>
      <c r="AH32" t="e">
        <f>'Technical Skills Weighting'!4119:4119-"`FU!Y1"</f>
        <v>#VALUE!</v>
      </c>
      <c r="AI32" t="e">
        <f>'Technical Skills Weighting'!4120:4120-"`FU!Y2"</f>
        <v>#VALUE!</v>
      </c>
      <c r="AJ32" t="e">
        <f>'Technical Skills Weighting'!4121:4121-"`FU!Y3"</f>
        <v>#VALUE!</v>
      </c>
      <c r="AK32" t="e">
        <f>'Technical Skills Weighting'!4122:4122-"`FU!Y4"</f>
        <v>#VALUE!</v>
      </c>
      <c r="AL32" t="e">
        <f>'Technical Skills Weighting'!4123:4123-"`FU!Y5"</f>
        <v>#VALUE!</v>
      </c>
      <c r="AM32" t="e">
        <f>'Technical Skills Weighting'!4124:4124-"`FU!Y6"</f>
        <v>#VALUE!</v>
      </c>
      <c r="AN32" t="e">
        <f>'Technical Skills Weighting'!4125:4125-"`FU!Y7"</f>
        <v>#VALUE!</v>
      </c>
      <c r="AO32" t="e">
        <f>'Technical Skills Weighting'!4126:4126-"`FU!Y8"</f>
        <v>#VALUE!</v>
      </c>
      <c r="AP32" t="e">
        <f>'Technical Skills Weighting'!4127:4127-"`FU!Y9"</f>
        <v>#VALUE!</v>
      </c>
      <c r="AQ32" t="e">
        <f>'Technical Skills Weighting'!4128:4128-"`FU!Y:"</f>
        <v>#VALUE!</v>
      </c>
      <c r="AR32" t="e">
        <f>'Technical Skills Weighting'!4129:4129-"`FU!Y;"</f>
        <v>#VALUE!</v>
      </c>
      <c r="AS32" t="e">
        <f>'Technical Skills Weighting'!4130:4130-"`FU!Y&lt;"</f>
        <v>#VALUE!</v>
      </c>
      <c r="AT32" t="e">
        <f>'Technical Skills Weighting'!4131:4131-"`FU!Y="</f>
        <v>#VALUE!</v>
      </c>
      <c r="AU32" t="e">
        <f>'Technical Skills Weighting'!4132:4132-"`FU!Y&gt;"</f>
        <v>#VALUE!</v>
      </c>
      <c r="AV32" t="e">
        <f>'Technical Skills Weighting'!4133:4133-"`FU!Y?"</f>
        <v>#VALUE!</v>
      </c>
      <c r="AW32" t="e">
        <f>'Technical Skills Weighting'!4134:4134-"`FU!Y@"</f>
        <v>#VALUE!</v>
      </c>
      <c r="AX32" t="e">
        <f>'Technical Skills Weighting'!4135:4135-"`FU!YA"</f>
        <v>#VALUE!</v>
      </c>
      <c r="AY32" t="e">
        <f>'Technical Skills Weighting'!4136:4136-"`FU!YB"</f>
        <v>#VALUE!</v>
      </c>
      <c r="AZ32" t="e">
        <f>'Technical Skills Weighting'!4137:4137-"`FU!YC"</f>
        <v>#VALUE!</v>
      </c>
      <c r="BA32" t="e">
        <f>'Technical Skills Weighting'!4138:4138-"`FU!YD"</f>
        <v>#VALUE!</v>
      </c>
      <c r="BB32" t="e">
        <f>'Technical Skills Weighting'!4139:4139-"`FU!YE"</f>
        <v>#VALUE!</v>
      </c>
      <c r="BC32" t="e">
        <f>'Technical Skills Weighting'!4140:4140-"`FU!YF"</f>
        <v>#VALUE!</v>
      </c>
      <c r="BD32" t="e">
        <f>'Technical Skills Weighting'!4141:4141-"`FU!YG"</f>
        <v>#VALUE!</v>
      </c>
      <c r="BE32" t="e">
        <f>'Technical Skills Weighting'!4142:4142-"`FU!YH"</f>
        <v>#VALUE!</v>
      </c>
      <c r="BF32" t="e">
        <f>'Technical Skills Weighting'!4143:4143-"`FU!YI"</f>
        <v>#VALUE!</v>
      </c>
      <c r="BG32" t="e">
        <f>'Technical Skills Weighting'!4144:4144-"`FU!YJ"</f>
        <v>#VALUE!</v>
      </c>
      <c r="BH32" t="e">
        <f>'Technical Skills Weighting'!4145:4145-"`FU!YK"</f>
        <v>#VALUE!</v>
      </c>
      <c r="BI32" t="e">
        <f>'Technical Skills Weighting'!4146:4146-"`FU!YL"</f>
        <v>#VALUE!</v>
      </c>
      <c r="BJ32" t="e">
        <f>'Technical Skills Weighting'!4147:4147-"`FU!YM"</f>
        <v>#VALUE!</v>
      </c>
      <c r="BK32" t="e">
        <f>'Technical Skills Weighting'!4148:4148-"`FU!YN"</f>
        <v>#VALUE!</v>
      </c>
      <c r="BL32" t="e">
        <f>'Technical Skills Weighting'!4149:4149-"`FU!YO"</f>
        <v>#VALUE!</v>
      </c>
      <c r="BM32" t="e">
        <f>'Technical Skills Weighting'!4150:4150-"`FU!YP"</f>
        <v>#VALUE!</v>
      </c>
      <c r="BN32" t="e">
        <f>'Technical Skills Weighting'!4151:4151-"`FU!YQ"</f>
        <v>#VALUE!</v>
      </c>
      <c r="BO32" t="e">
        <f>'Technical Skills Weighting'!4152:4152-"`FU!YR"</f>
        <v>#VALUE!</v>
      </c>
      <c r="BP32" t="e">
        <f>'Technical Skills Weighting'!4153:4153-"`FU!YS"</f>
        <v>#VALUE!</v>
      </c>
      <c r="BQ32" t="e">
        <f>'Technical Skills Weighting'!4154:4154-"`FU!YT"</f>
        <v>#VALUE!</v>
      </c>
      <c r="BR32" t="e">
        <f>'Technical Skills Weighting'!4155:4155-"`FU!YU"</f>
        <v>#VALUE!</v>
      </c>
      <c r="BS32" t="e">
        <f>'Technical Skills Weighting'!4156:4156-"`FU!YV"</f>
        <v>#VALUE!</v>
      </c>
      <c r="BT32" t="e">
        <f>'Technical Skills Weighting'!4157:4157-"`FU!YW"</f>
        <v>#VALUE!</v>
      </c>
      <c r="BU32" t="e">
        <f>'Technical Skills Weighting'!4158:4158-"`FU!YX"</f>
        <v>#VALUE!</v>
      </c>
      <c r="BV32" t="e">
        <f>'Technical Skills Weighting'!4159:4159-"`FU!YY"</f>
        <v>#VALUE!</v>
      </c>
      <c r="BW32" t="e">
        <f>'Technical Skills Weighting'!4160:4160-"`FU!YZ"</f>
        <v>#VALUE!</v>
      </c>
      <c r="BX32" t="e">
        <f>'Technical Skills Weighting'!4161:4161-"`FU!Y["</f>
        <v>#VALUE!</v>
      </c>
      <c r="BY32" t="e">
        <f>'Technical Skills Weighting'!4162:4162-"`FU!Y\"</f>
        <v>#VALUE!</v>
      </c>
      <c r="BZ32" t="e">
        <f>'Technical Skills Weighting'!4163:4163-"`FU!Y]"</f>
        <v>#VALUE!</v>
      </c>
      <c r="CA32" t="e">
        <f>'Technical Skills Weighting'!4164:4164-"`FU!Y^"</f>
        <v>#VALUE!</v>
      </c>
      <c r="CB32" t="e">
        <f>'Technical Skills Weighting'!4165:4165-"`FU!Y_"</f>
        <v>#VALUE!</v>
      </c>
      <c r="CC32" t="e">
        <f>'Technical Skills Weighting'!4166:4166-"`FU!Y`"</f>
        <v>#VALUE!</v>
      </c>
      <c r="CD32" t="e">
        <f>'Technical Skills Weighting'!4167:4167-"`FU!Ya"</f>
        <v>#VALUE!</v>
      </c>
      <c r="CE32" t="e">
        <f>'Technical Skills Weighting'!4168:4168-"`FU!Yb"</f>
        <v>#VALUE!</v>
      </c>
      <c r="CF32" t="e">
        <f>'Technical Skills Weighting'!4169:4169-"`FU!Yc"</f>
        <v>#VALUE!</v>
      </c>
      <c r="CG32" t="e">
        <f>'Technical Skills Weighting'!4170:4170-"`FU!Yd"</f>
        <v>#VALUE!</v>
      </c>
      <c r="CH32" t="e">
        <f>'Technical Skills Weighting'!4171:4171-"`FU!Ye"</f>
        <v>#VALUE!</v>
      </c>
      <c r="CI32" t="e">
        <f>'Technical Skills Weighting'!4172:4172-"`FU!Yf"</f>
        <v>#VALUE!</v>
      </c>
      <c r="CJ32" t="e">
        <f>'Technical Skills Weighting'!4173:4173-"`FU!Yg"</f>
        <v>#VALUE!</v>
      </c>
      <c r="CK32" t="e">
        <f>'Technical Skills Weighting'!4174:4174-"`FU!Yh"</f>
        <v>#VALUE!</v>
      </c>
      <c r="CL32" t="e">
        <f>'Technical Skills Weighting'!4175:4175-"`FU!Yi"</f>
        <v>#VALUE!</v>
      </c>
      <c r="CM32" t="e">
        <f>'Technical Skills Weighting'!4176:4176-"`FU!Yj"</f>
        <v>#VALUE!</v>
      </c>
      <c r="CN32" t="e">
        <f>'Technical Skills Weighting'!4177:4177-"`FU!Yk"</f>
        <v>#VALUE!</v>
      </c>
      <c r="CO32" t="e">
        <f>'Technical Skills Weighting'!4178:4178-"`FU!Yl"</f>
        <v>#VALUE!</v>
      </c>
      <c r="CP32" t="e">
        <f>'Technical Skills Weighting'!4179:4179-"`FU!Ym"</f>
        <v>#VALUE!</v>
      </c>
      <c r="CQ32" t="e">
        <f>'Technical Skills Weighting'!4180:4180-"`FU!Yn"</f>
        <v>#VALUE!</v>
      </c>
      <c r="CR32" t="e">
        <f>'Technical Skills Weighting'!4181:4181-"`FU!Yo"</f>
        <v>#VALUE!</v>
      </c>
      <c r="CS32" t="e">
        <f>'Technical Skills Weighting'!4182:4182-"`FU!Yp"</f>
        <v>#VALUE!</v>
      </c>
      <c r="CT32" t="e">
        <f>'Technical Skills Weighting'!4183:4183-"`FU!Yq"</f>
        <v>#VALUE!</v>
      </c>
      <c r="CU32" t="e">
        <f>'Technical Skills Weighting'!4184:4184-"`FU!Yr"</f>
        <v>#VALUE!</v>
      </c>
      <c r="CV32" t="e">
        <f>'Technical Skills Weighting'!4185:4185-"`FU!Ys"</f>
        <v>#VALUE!</v>
      </c>
      <c r="CW32" t="e">
        <f>'Technical Skills Weighting'!4186:4186-"`FU!Yt"</f>
        <v>#VALUE!</v>
      </c>
      <c r="CX32" t="e">
        <f>'Technical Skills Weighting'!4187:4187-"`FU!Yu"</f>
        <v>#VALUE!</v>
      </c>
      <c r="CY32" t="e">
        <f>'Technical Skills Weighting'!4188:4188-"`FU!Yv"</f>
        <v>#VALUE!</v>
      </c>
      <c r="CZ32" t="e">
        <f>'Technical Skills Weighting'!4189:4189-"`FU!Yw"</f>
        <v>#VALUE!</v>
      </c>
      <c r="DA32" t="e">
        <f>'Technical Skills Weighting'!4190:4190-"`FU!Yx"</f>
        <v>#VALUE!</v>
      </c>
      <c r="DB32" t="e">
        <f>'Technical Skills Weighting'!4191:4191-"`FU!Yy"</f>
        <v>#VALUE!</v>
      </c>
      <c r="DC32" t="e">
        <f>'Technical Skills Weighting'!4192:4192-"`FU!Yz"</f>
        <v>#VALUE!</v>
      </c>
      <c r="DD32" t="e">
        <f>'Technical Skills Weighting'!4193:4193-"`FU!Y{"</f>
        <v>#VALUE!</v>
      </c>
      <c r="DE32" t="e">
        <f>'Technical Skills Weighting'!4194:4194-"`FU!Y|"</f>
        <v>#VALUE!</v>
      </c>
      <c r="DF32" t="e">
        <f>'Technical Skills Weighting'!4195:4195-"`FU!Y}"</f>
        <v>#VALUE!</v>
      </c>
      <c r="DG32" t="e">
        <f>'Technical Skills Weighting'!4196:4196-"`FU!Y~"</f>
        <v>#VALUE!</v>
      </c>
      <c r="DH32" t="e">
        <f>'Technical Skills Weighting'!4197:4197-"`FU!Z#"</f>
        <v>#VALUE!</v>
      </c>
      <c r="DI32" t="e">
        <f>'Technical Skills Weighting'!4198:4198-"`FU!Z$"</f>
        <v>#VALUE!</v>
      </c>
      <c r="DJ32" t="e">
        <f>'Technical Skills Weighting'!4199:4199-"`FU!Z%"</f>
        <v>#VALUE!</v>
      </c>
      <c r="DK32" t="e">
        <f>'Technical Skills Weighting'!4200:4200-"`FU!Z&amp;"</f>
        <v>#VALUE!</v>
      </c>
      <c r="DL32" t="e">
        <f>'Technical Skills Weighting'!4201:4201-"`FU!Z'"</f>
        <v>#VALUE!</v>
      </c>
      <c r="DM32" t="e">
        <f>'Technical Skills Weighting'!4202:4202-"`FU!Z("</f>
        <v>#VALUE!</v>
      </c>
      <c r="DN32" t="e">
        <f>'Technical Skills Weighting'!4203:4203-"`FU!Z)"</f>
        <v>#VALUE!</v>
      </c>
      <c r="DO32" t="e">
        <f>'Technical Skills Weighting'!4204:4204-"`FU!Z."</f>
        <v>#VALUE!</v>
      </c>
      <c r="DP32" t="e">
        <f>'Technical Skills Weighting'!4205:4205-"`FU!Z/"</f>
        <v>#VALUE!</v>
      </c>
      <c r="DQ32" t="e">
        <f>'Technical Skills Weighting'!4206:4206-"`FU!Z0"</f>
        <v>#VALUE!</v>
      </c>
      <c r="DR32" t="e">
        <f>'Technical Skills Weighting'!4207:4207-"`FU!Z1"</f>
        <v>#VALUE!</v>
      </c>
      <c r="DS32" t="e">
        <f>'Technical Skills Weighting'!4208:4208-"`FU!Z2"</f>
        <v>#VALUE!</v>
      </c>
      <c r="DT32" t="e">
        <f>'Technical Skills Weighting'!4209:4209-"`FU!Z3"</f>
        <v>#VALUE!</v>
      </c>
      <c r="DU32" t="e">
        <f>'Technical Skills Weighting'!4210:4210-"`FU!Z4"</f>
        <v>#VALUE!</v>
      </c>
      <c r="DV32" t="e">
        <f>'Technical Skills Weighting'!4211:4211-"`FU!Z5"</f>
        <v>#VALUE!</v>
      </c>
      <c r="DW32" t="e">
        <f>'Technical Skills Weighting'!4212:4212-"`FU!Z6"</f>
        <v>#VALUE!</v>
      </c>
      <c r="DX32" t="e">
        <f>'Technical Skills Weighting'!4213:4213-"`FU!Z7"</f>
        <v>#VALUE!</v>
      </c>
      <c r="DY32" t="e">
        <f>'Technical Skills Weighting'!4214:4214-"`FU!Z8"</f>
        <v>#VALUE!</v>
      </c>
      <c r="DZ32" t="e">
        <f>'Technical Skills Weighting'!4215:4215-"`FU!Z9"</f>
        <v>#VALUE!</v>
      </c>
      <c r="EA32" t="e">
        <f>'Technical Skills Weighting'!4216:4216-"`FU!Z:"</f>
        <v>#VALUE!</v>
      </c>
      <c r="EB32" t="e">
        <f>'Technical Skills Weighting'!4217:4217-"`FU!Z;"</f>
        <v>#VALUE!</v>
      </c>
      <c r="EC32" t="e">
        <f>'Technical Skills Weighting'!4218:4218-"`FU!Z&lt;"</f>
        <v>#VALUE!</v>
      </c>
      <c r="ED32" t="e">
        <f>'Technical Skills Weighting'!4219:4219-"`FU!Z="</f>
        <v>#VALUE!</v>
      </c>
      <c r="EE32" t="e">
        <f>'Technical Skills Weighting'!4220:4220-"`FU!Z&gt;"</f>
        <v>#VALUE!</v>
      </c>
      <c r="EF32" t="e">
        <f>'Technical Skills Weighting'!4221:4221-"`FU!Z?"</f>
        <v>#VALUE!</v>
      </c>
      <c r="EG32" t="e">
        <f>'Technical Skills Weighting'!4222:4222-"`FU!Z@"</f>
        <v>#VALUE!</v>
      </c>
      <c r="EH32" t="e">
        <f>'Technical Skills Weighting'!4223:4223-"`FU!ZA"</f>
        <v>#VALUE!</v>
      </c>
      <c r="EI32" t="e">
        <f>'Technical Skills Weighting'!4224:4224-"`FU!ZB"</f>
        <v>#VALUE!</v>
      </c>
      <c r="EJ32" t="e">
        <f>'Technical Skills Weighting'!4225:4225-"`FU!ZC"</f>
        <v>#VALUE!</v>
      </c>
      <c r="EK32" t="e">
        <f>'Technical Skills Weighting'!4226:4226-"`FU!ZD"</f>
        <v>#VALUE!</v>
      </c>
      <c r="EL32" t="e">
        <f>'Technical Skills Weighting'!4227:4227-"`FU!ZE"</f>
        <v>#VALUE!</v>
      </c>
      <c r="EM32" t="e">
        <f>'Technical Skills Weighting'!4228:4228-"`FU!ZF"</f>
        <v>#VALUE!</v>
      </c>
      <c r="EN32" t="e">
        <f>'Technical Skills Weighting'!4229:4229-"`FU!ZG"</f>
        <v>#VALUE!</v>
      </c>
      <c r="EO32" t="e">
        <f>'Technical Skills Weighting'!4230:4230-"`FU!ZH"</f>
        <v>#VALUE!</v>
      </c>
      <c r="EP32" t="e">
        <f>'Technical Skills Weighting'!4231:4231-"`FU!ZI"</f>
        <v>#VALUE!</v>
      </c>
      <c r="EQ32" t="e">
        <f>'Technical Skills Weighting'!4232:4232-"`FU!ZJ"</f>
        <v>#VALUE!</v>
      </c>
      <c r="ER32" t="e">
        <f>'Technical Skills Weighting'!4233:4233-"`FU!ZK"</f>
        <v>#VALUE!</v>
      </c>
      <c r="ES32" t="e">
        <f>'Technical Skills Weighting'!4234:4234-"`FU!ZL"</f>
        <v>#VALUE!</v>
      </c>
      <c r="ET32" t="e">
        <f>'Technical Skills Weighting'!4235:4235-"`FU!ZM"</f>
        <v>#VALUE!</v>
      </c>
      <c r="EU32" t="e">
        <f>'Technical Skills Weighting'!4236:4236-"`FU!ZN"</f>
        <v>#VALUE!</v>
      </c>
      <c r="EV32" t="e">
        <f>'Technical Skills Weighting'!4237:4237-"`FU!ZO"</f>
        <v>#VALUE!</v>
      </c>
      <c r="EW32" t="e">
        <f>'Technical Skills Weighting'!4238:4238-"`FU!ZP"</f>
        <v>#VALUE!</v>
      </c>
      <c r="EX32" t="e">
        <f>'Technical Skills Weighting'!4239:4239-"`FU!ZQ"</f>
        <v>#VALUE!</v>
      </c>
      <c r="EY32" t="e">
        <f>'Technical Skills Weighting'!4240:4240-"`FU!ZR"</f>
        <v>#VALUE!</v>
      </c>
      <c r="EZ32" t="e">
        <f>'Technical Skills Weighting'!4241:4241-"`FU!ZS"</f>
        <v>#VALUE!</v>
      </c>
      <c r="FA32" t="e">
        <f>'Technical Skills Weighting'!4242:4242-"`FU!ZT"</f>
        <v>#VALUE!</v>
      </c>
      <c r="FB32" t="e">
        <f>'Technical Skills Weighting'!4243:4243-"`FU!ZU"</f>
        <v>#VALUE!</v>
      </c>
      <c r="FC32" t="e">
        <f>'Technical Skills Weighting'!4244:4244-"`FU!ZV"</f>
        <v>#VALUE!</v>
      </c>
      <c r="FD32" t="e">
        <f>'Technical Skills Weighting'!4245:4245-"`FU!ZW"</f>
        <v>#VALUE!</v>
      </c>
      <c r="FE32" t="e">
        <f>'Technical Skills Weighting'!4246:4246-"`FU!ZX"</f>
        <v>#VALUE!</v>
      </c>
      <c r="FF32" t="e">
        <f>'Technical Skills Weighting'!4247:4247-"`FU!ZY"</f>
        <v>#VALUE!</v>
      </c>
      <c r="FG32" t="e">
        <f>'Technical Skills Weighting'!4248:4248-"`FU!ZZ"</f>
        <v>#VALUE!</v>
      </c>
      <c r="FH32" t="e">
        <f>'Technical Skills Weighting'!4249:4249-"`FU!Z["</f>
        <v>#VALUE!</v>
      </c>
      <c r="FI32" t="e">
        <f>'Technical Skills Weighting'!4250:4250-"`FU!Z\"</f>
        <v>#VALUE!</v>
      </c>
      <c r="FJ32" t="e">
        <f>'Technical Skills Weighting'!4251:4251-"`FU!Z]"</f>
        <v>#VALUE!</v>
      </c>
      <c r="FK32" t="e">
        <f>'Technical Skills Weighting'!4252:4252-"`FU!Z^"</f>
        <v>#VALUE!</v>
      </c>
      <c r="FL32" t="e">
        <f>'Technical Skills Weighting'!4253:4253-"`FU!Z_"</f>
        <v>#VALUE!</v>
      </c>
      <c r="FM32" t="e">
        <f>'Technical Skills Weighting'!4254:4254-"`FU!Z`"</f>
        <v>#VALUE!</v>
      </c>
      <c r="FN32" t="e">
        <f>'Technical Skills Weighting'!4255:4255-"`FU!Za"</f>
        <v>#VALUE!</v>
      </c>
      <c r="FO32" t="e">
        <f>'Technical Skills Weighting'!4256:4256-"`FU!Zb"</f>
        <v>#VALUE!</v>
      </c>
      <c r="FP32" t="e">
        <f>'Technical Skills Weighting'!4257:4257-"`FU!Zc"</f>
        <v>#VALUE!</v>
      </c>
      <c r="FQ32" t="e">
        <f>'Technical Skills Weighting'!4258:4258-"`FU!Zd"</f>
        <v>#VALUE!</v>
      </c>
      <c r="FR32" t="e">
        <f>'Technical Skills Weighting'!4259:4259-"`FU!Ze"</f>
        <v>#VALUE!</v>
      </c>
      <c r="FS32" t="e">
        <f>'Technical Skills Weighting'!4260:4260-"`FU!Zf"</f>
        <v>#VALUE!</v>
      </c>
      <c r="FT32" t="e">
        <f>'Technical Skills Weighting'!4261:4261-"`FU!Zg"</f>
        <v>#VALUE!</v>
      </c>
      <c r="FU32" t="e">
        <f>'Technical Skills Weighting'!4262:4262-"`FU!Zh"</f>
        <v>#VALUE!</v>
      </c>
      <c r="FV32" t="e">
        <f>'Technical Skills Weighting'!4263:4263-"`FU!Zi"</f>
        <v>#VALUE!</v>
      </c>
      <c r="FW32" t="e">
        <f>'Technical Skills Weighting'!4264:4264-"`FU!Zj"</f>
        <v>#VALUE!</v>
      </c>
      <c r="FX32" t="e">
        <f>'Technical Skills Weighting'!4265:4265-"`FU!Zk"</f>
        <v>#VALUE!</v>
      </c>
      <c r="FY32" t="e">
        <f>'Technical Skills Weighting'!4266:4266-"`FU!Zl"</f>
        <v>#VALUE!</v>
      </c>
      <c r="FZ32" t="e">
        <f>'Technical Skills Weighting'!4267:4267-"`FU!Zm"</f>
        <v>#VALUE!</v>
      </c>
      <c r="GA32" t="e">
        <f>'Technical Skills Weighting'!4268:4268-"`FU!Zn"</f>
        <v>#VALUE!</v>
      </c>
      <c r="GB32" t="e">
        <f>'Technical Skills Weighting'!4269:4269-"`FU!Zo"</f>
        <v>#VALUE!</v>
      </c>
      <c r="GC32" t="e">
        <f>'Technical Skills Weighting'!4270:4270-"`FU!Zp"</f>
        <v>#VALUE!</v>
      </c>
      <c r="GD32" t="e">
        <f>'Technical Skills Weighting'!4271:4271-"`FU!Zq"</f>
        <v>#VALUE!</v>
      </c>
      <c r="GE32" t="e">
        <f>'Technical Skills Weighting'!4272:4272-"`FU!Zr"</f>
        <v>#VALUE!</v>
      </c>
      <c r="GF32" t="e">
        <f>'Technical Skills Weighting'!4273:4273-"`FU!Zs"</f>
        <v>#VALUE!</v>
      </c>
      <c r="GG32" t="e">
        <f>'Technical Skills Weighting'!4274:4274-"`FU!Zt"</f>
        <v>#VALUE!</v>
      </c>
      <c r="GH32" t="e">
        <f>'Technical Skills Weighting'!4275:4275-"`FU!Zu"</f>
        <v>#VALUE!</v>
      </c>
      <c r="GI32" t="e">
        <f>'Technical Skills Weighting'!4276:4276-"`FU!Zv"</f>
        <v>#VALUE!</v>
      </c>
      <c r="GJ32" t="e">
        <f>'Technical Skills Weighting'!4277:4277-"`FU!Zw"</f>
        <v>#VALUE!</v>
      </c>
      <c r="GK32" t="e">
        <f>'Technical Skills Weighting'!4278:4278-"`FU!Zx"</f>
        <v>#VALUE!</v>
      </c>
      <c r="GL32" t="e">
        <f>'Technical Skills Weighting'!4279:4279-"`FU!Zy"</f>
        <v>#VALUE!</v>
      </c>
      <c r="GM32" t="e">
        <f>'Technical Skills Weighting'!4280:4280-"`FU!Zz"</f>
        <v>#VALUE!</v>
      </c>
      <c r="GN32" t="e">
        <f>'Technical Skills Weighting'!4281:4281-"`FU!Z{"</f>
        <v>#VALUE!</v>
      </c>
      <c r="GO32" t="e">
        <f>'Technical Skills Weighting'!4282:4282-"`FU!Z|"</f>
        <v>#VALUE!</v>
      </c>
      <c r="GP32" t="e">
        <f>'Technical Skills Weighting'!4283:4283-"`FU!Z}"</f>
        <v>#VALUE!</v>
      </c>
      <c r="GQ32" t="e">
        <f>'Technical Skills Weighting'!4284:4284-"`FU!Z~"</f>
        <v>#VALUE!</v>
      </c>
      <c r="GR32" t="e">
        <f>'Technical Skills Weighting'!4285:4285-"`FU![#"</f>
        <v>#VALUE!</v>
      </c>
      <c r="GS32" t="e">
        <f>'Technical Skills Weighting'!4286:4286-"`FU![$"</f>
        <v>#VALUE!</v>
      </c>
      <c r="GT32" t="e">
        <f>'Technical Skills Weighting'!4287:4287-"`FU![%"</f>
        <v>#VALUE!</v>
      </c>
      <c r="GU32" t="e">
        <f>'Technical Skills Weighting'!4288:4288-"`FU![&amp;"</f>
        <v>#VALUE!</v>
      </c>
      <c r="GV32" t="e">
        <f>'Technical Skills Weighting'!4289:4289-"`FU!['"</f>
        <v>#VALUE!</v>
      </c>
      <c r="GW32" t="e">
        <f>'Technical Skills Weighting'!4290:4290-"`FU![("</f>
        <v>#VALUE!</v>
      </c>
      <c r="GX32" t="e">
        <f>'Technical Skills Weighting'!4291:4291-"`FU![)"</f>
        <v>#VALUE!</v>
      </c>
      <c r="GY32" t="e">
        <f>'Technical Skills Weighting'!4292:4292-"`FU![."</f>
        <v>#VALUE!</v>
      </c>
      <c r="GZ32" t="e">
        <f>'Technical Skills Weighting'!4293:4293-"`FU![/"</f>
        <v>#VALUE!</v>
      </c>
      <c r="HA32" t="e">
        <f>'Technical Skills Weighting'!4294:4294-"`FU![0"</f>
        <v>#VALUE!</v>
      </c>
      <c r="HB32" t="e">
        <f>'Technical Skills Weighting'!4295:4295-"`FU![1"</f>
        <v>#VALUE!</v>
      </c>
      <c r="HC32" t="e">
        <f>'Technical Skills Weighting'!4296:4296-"`FU![2"</f>
        <v>#VALUE!</v>
      </c>
      <c r="HD32" t="e">
        <f>'Technical Skills Weighting'!4297:4297-"`FU![3"</f>
        <v>#VALUE!</v>
      </c>
      <c r="HE32" t="e">
        <f>'Technical Skills Weighting'!4298:4298-"`FU![4"</f>
        <v>#VALUE!</v>
      </c>
      <c r="HF32" t="e">
        <f>'Technical Skills Weighting'!4299:4299-"`FU![5"</f>
        <v>#VALUE!</v>
      </c>
      <c r="HG32" t="e">
        <f>'Technical Skills Weighting'!4300:4300-"`FU![6"</f>
        <v>#VALUE!</v>
      </c>
      <c r="HH32" t="e">
        <f>'Technical Skills Weighting'!4301:4301-"`FU![7"</f>
        <v>#VALUE!</v>
      </c>
      <c r="HI32" t="e">
        <f>'Technical Skills Weighting'!4302:4302-"`FU![8"</f>
        <v>#VALUE!</v>
      </c>
      <c r="HJ32" t="e">
        <f>'Technical Skills Weighting'!4303:4303-"`FU![9"</f>
        <v>#VALUE!</v>
      </c>
      <c r="HK32" t="e">
        <f>'Technical Skills Weighting'!4304:4304-"`FU![:"</f>
        <v>#VALUE!</v>
      </c>
      <c r="HL32" t="e">
        <f>'Technical Skills Weighting'!4305:4305-"`FU![;"</f>
        <v>#VALUE!</v>
      </c>
      <c r="HM32" t="e">
        <f>'Technical Skills Weighting'!4306:4306-"`FU![&lt;"</f>
        <v>#VALUE!</v>
      </c>
      <c r="HN32" t="e">
        <f>'Technical Skills Weighting'!4307:4307-"`FU![="</f>
        <v>#VALUE!</v>
      </c>
      <c r="HO32" t="e">
        <f>'Technical Skills Weighting'!4308:4308-"`FU![&gt;"</f>
        <v>#VALUE!</v>
      </c>
      <c r="HP32" t="e">
        <f>'Technical Skills Weighting'!4309:4309-"`FU![?"</f>
        <v>#VALUE!</v>
      </c>
      <c r="HQ32" t="e">
        <f>'Technical Skills Weighting'!4310:4310-"`FU![@"</f>
        <v>#VALUE!</v>
      </c>
      <c r="HR32" t="e">
        <f>'Technical Skills Weighting'!4311:4311-"`FU![A"</f>
        <v>#VALUE!</v>
      </c>
      <c r="HS32" t="e">
        <f>'Technical Skills Weighting'!4312:4312-"`FU![B"</f>
        <v>#VALUE!</v>
      </c>
      <c r="HT32" t="e">
        <f>'Technical Skills Weighting'!4313:4313-"`FU![C"</f>
        <v>#VALUE!</v>
      </c>
      <c r="HU32" t="e">
        <f>'Technical Skills Weighting'!4314:4314-"`FU![D"</f>
        <v>#VALUE!</v>
      </c>
      <c r="HV32" t="e">
        <f>'Technical Skills Weighting'!4315:4315-"`FU![E"</f>
        <v>#VALUE!</v>
      </c>
      <c r="HW32" t="e">
        <f>'Technical Skills Weighting'!4316:4316-"`FU![F"</f>
        <v>#VALUE!</v>
      </c>
      <c r="HX32" t="e">
        <f>'Technical Skills Weighting'!4317:4317-"`FU![G"</f>
        <v>#VALUE!</v>
      </c>
      <c r="HY32" t="e">
        <f>'Technical Skills Weighting'!4318:4318-"`FU![H"</f>
        <v>#VALUE!</v>
      </c>
      <c r="HZ32" t="e">
        <f>'Technical Skills Weighting'!4319:4319-"`FU![I"</f>
        <v>#VALUE!</v>
      </c>
      <c r="IA32" t="e">
        <f>'Technical Skills Weighting'!4320:4320-"`FU![J"</f>
        <v>#VALUE!</v>
      </c>
      <c r="IB32" t="e">
        <f>'Technical Skills Weighting'!4321:4321-"`FU![K"</f>
        <v>#VALUE!</v>
      </c>
      <c r="IC32" t="e">
        <f>'Technical Skills Weighting'!4322:4322-"`FU![L"</f>
        <v>#VALUE!</v>
      </c>
      <c r="ID32" t="e">
        <f>'Technical Skills Weighting'!4323:4323-"`FU![M"</f>
        <v>#VALUE!</v>
      </c>
      <c r="IE32" t="e">
        <f>'Technical Skills Weighting'!4324:4324-"`FU![N"</f>
        <v>#VALUE!</v>
      </c>
      <c r="IF32" t="e">
        <f>'Technical Skills Weighting'!4325:4325-"`FU![O"</f>
        <v>#VALUE!</v>
      </c>
      <c r="IG32" t="e">
        <f>'Technical Skills Weighting'!4326:4326-"`FU![P"</f>
        <v>#VALUE!</v>
      </c>
      <c r="IH32" t="e">
        <f>'Technical Skills Weighting'!4327:4327-"`FU![Q"</f>
        <v>#VALUE!</v>
      </c>
      <c r="II32" t="e">
        <f>'Technical Skills Weighting'!4328:4328-"`FU![R"</f>
        <v>#VALUE!</v>
      </c>
      <c r="IJ32" t="e">
        <f>'Technical Skills Weighting'!4329:4329-"`FU![S"</f>
        <v>#VALUE!</v>
      </c>
      <c r="IK32" t="e">
        <f>'Technical Skills Weighting'!4330:4330-"`FU![T"</f>
        <v>#VALUE!</v>
      </c>
      <c r="IL32" t="e">
        <f>'Technical Skills Weighting'!4331:4331-"`FU![U"</f>
        <v>#VALUE!</v>
      </c>
      <c r="IM32" t="e">
        <f>'Technical Skills Weighting'!4332:4332-"`FU![V"</f>
        <v>#VALUE!</v>
      </c>
      <c r="IN32" t="e">
        <f>'Technical Skills Weighting'!4333:4333-"`FU![W"</f>
        <v>#VALUE!</v>
      </c>
      <c r="IO32" t="e">
        <f>'Technical Skills Weighting'!4334:4334-"`FU![X"</f>
        <v>#VALUE!</v>
      </c>
      <c r="IP32" t="e">
        <f>'Technical Skills Weighting'!4335:4335-"`FU![Y"</f>
        <v>#VALUE!</v>
      </c>
      <c r="IQ32" t="e">
        <f>'Technical Skills Weighting'!4336:4336-"`FU![Z"</f>
        <v>#VALUE!</v>
      </c>
      <c r="IR32" t="e">
        <f>'Technical Skills Weighting'!4337:4337-"`FU![["</f>
        <v>#VALUE!</v>
      </c>
      <c r="IS32" t="e">
        <f>'Technical Skills Weighting'!4338:4338-"`FU![\"</f>
        <v>#VALUE!</v>
      </c>
      <c r="IT32" t="e">
        <f>'Technical Skills Weighting'!4339:4339-"`FU![]"</f>
        <v>#VALUE!</v>
      </c>
      <c r="IU32" t="e">
        <f>'Technical Skills Weighting'!4340:4340-"`FU![^"</f>
        <v>#VALUE!</v>
      </c>
      <c r="IV32" t="e">
        <f>'Technical Skills Weighting'!4341:4341-"`FU![_"</f>
        <v>#VALUE!</v>
      </c>
    </row>
    <row r="33" spans="6:256" x14ac:dyDescent="0.25">
      <c r="F33" t="e">
        <f>'Technical Skills Weighting'!4342:4342-"`FU![`"</f>
        <v>#VALUE!</v>
      </c>
      <c r="G33" t="e">
        <f>'Technical Skills Weighting'!4343:4343-"`FU![a"</f>
        <v>#VALUE!</v>
      </c>
      <c r="H33" t="e">
        <f>'Technical Skills Weighting'!4344:4344-"`FU![b"</f>
        <v>#VALUE!</v>
      </c>
      <c r="I33" t="e">
        <f>'Technical Skills Weighting'!4345:4345-"`FU![c"</f>
        <v>#VALUE!</v>
      </c>
      <c r="J33" t="e">
        <f>'Technical Skills Weighting'!4346:4346-"`FU![d"</f>
        <v>#VALUE!</v>
      </c>
      <c r="K33" t="e">
        <f>'Technical Skills Weighting'!4347:4347-"`FU![e"</f>
        <v>#VALUE!</v>
      </c>
      <c r="L33" t="e">
        <f>'Technical Skills Weighting'!4348:4348-"`FU![f"</f>
        <v>#VALUE!</v>
      </c>
      <c r="M33" t="e">
        <f>'Technical Skills Weighting'!4349:4349-"`FU![g"</f>
        <v>#VALUE!</v>
      </c>
      <c r="N33" t="e">
        <f>'Technical Skills Weighting'!4350:4350-"`FU![h"</f>
        <v>#VALUE!</v>
      </c>
      <c r="O33" t="e">
        <f>'Technical Skills Weighting'!4351:4351-"`FU![i"</f>
        <v>#VALUE!</v>
      </c>
      <c r="P33" t="e">
        <f>'Technical Skills Weighting'!4352:4352-"`FU![j"</f>
        <v>#VALUE!</v>
      </c>
      <c r="Q33" t="e">
        <f>'Technical Skills Weighting'!4353:4353-"`FU![k"</f>
        <v>#VALUE!</v>
      </c>
      <c r="R33" t="e">
        <f>'Technical Skills Weighting'!4354:4354-"`FU![l"</f>
        <v>#VALUE!</v>
      </c>
      <c r="S33" t="e">
        <f>'Technical Skills Weighting'!4355:4355-"`FU![m"</f>
        <v>#VALUE!</v>
      </c>
      <c r="T33" t="e">
        <f>'Technical Skills Weighting'!4356:4356-"`FU![n"</f>
        <v>#VALUE!</v>
      </c>
      <c r="U33" t="e">
        <f>'Technical Skills Weighting'!4357:4357-"`FU![o"</f>
        <v>#VALUE!</v>
      </c>
      <c r="V33" t="e">
        <f>'Technical Skills Weighting'!4358:4358-"`FU![p"</f>
        <v>#VALUE!</v>
      </c>
      <c r="W33" t="e">
        <f>'Technical Skills Weighting'!4359:4359-"`FU![q"</f>
        <v>#VALUE!</v>
      </c>
      <c r="X33" t="e">
        <f>'Technical Skills Weighting'!4360:4360-"`FU![r"</f>
        <v>#VALUE!</v>
      </c>
      <c r="Y33" t="e">
        <f>'Technical Skills Weighting'!4361:4361-"`FU![s"</f>
        <v>#VALUE!</v>
      </c>
      <c r="Z33" t="e">
        <f>'Technical Skills Weighting'!4362:4362-"`FU![t"</f>
        <v>#VALUE!</v>
      </c>
      <c r="AA33" t="e">
        <f>'Technical Skills Weighting'!4363:4363-"`FU![u"</f>
        <v>#VALUE!</v>
      </c>
      <c r="AB33" t="e">
        <f>'Technical Skills Weighting'!4364:4364-"`FU![v"</f>
        <v>#VALUE!</v>
      </c>
      <c r="AC33" t="e">
        <f>'Technical Skills Weighting'!4365:4365-"`FU![w"</f>
        <v>#VALUE!</v>
      </c>
      <c r="AD33" t="e">
        <f>'Technical Skills Weighting'!4366:4366-"`FU![x"</f>
        <v>#VALUE!</v>
      </c>
      <c r="AE33" t="e">
        <f>'Technical Skills Weighting'!4367:4367-"`FU![y"</f>
        <v>#VALUE!</v>
      </c>
      <c r="AF33" t="e">
        <f>'Technical Skills Weighting'!4368:4368-"`FU![z"</f>
        <v>#VALUE!</v>
      </c>
      <c r="AG33" t="e">
        <f>'Technical Skills Weighting'!4369:4369-"`FU![{"</f>
        <v>#VALUE!</v>
      </c>
      <c r="AH33" t="e">
        <f>'Technical Skills Weighting'!4370:4370-"`FU![|"</f>
        <v>#VALUE!</v>
      </c>
      <c r="AI33" t="e">
        <f>'Technical Skills Weighting'!4371:4371-"`FU![}"</f>
        <v>#VALUE!</v>
      </c>
      <c r="AJ33" t="e">
        <f>'Technical Skills Weighting'!4372:4372-"`FU![~"</f>
        <v>#VALUE!</v>
      </c>
      <c r="AK33" t="e">
        <f>'Technical Skills Weighting'!4373:4373-"`FU!\#"</f>
        <v>#VALUE!</v>
      </c>
      <c r="AL33" t="e">
        <f>'Technical Skills Weighting'!4374:4374-"`FU!\$"</f>
        <v>#VALUE!</v>
      </c>
      <c r="AM33" t="e">
        <f>'Technical Skills Weighting'!4375:4375-"`FU!\%"</f>
        <v>#VALUE!</v>
      </c>
      <c r="AN33" t="e">
        <f>'Technical Skills Weighting'!4376:4376-"`FU!\&amp;"</f>
        <v>#VALUE!</v>
      </c>
      <c r="AO33" t="e">
        <f>'Technical Skills Weighting'!4377:4377-"`FU!\'"</f>
        <v>#VALUE!</v>
      </c>
      <c r="AP33" t="e">
        <f>'Technical Skills Weighting'!4378:4378-"`FU!\("</f>
        <v>#VALUE!</v>
      </c>
      <c r="AQ33" t="e">
        <f>'Technical Skills Weighting'!4379:4379-"`FU!\)"</f>
        <v>#VALUE!</v>
      </c>
      <c r="AR33" t="e">
        <f>'Technical Skills Weighting'!4380:4380-"`FU!\."</f>
        <v>#VALUE!</v>
      </c>
      <c r="AS33" t="e">
        <f>'Technical Skills Weighting'!4381:4381-"`FU!\/"</f>
        <v>#VALUE!</v>
      </c>
      <c r="AT33" t="e">
        <f>'Technical Skills Weighting'!4382:4382-"`FU!\0"</f>
        <v>#VALUE!</v>
      </c>
      <c r="AU33" t="e">
        <f>'Technical Skills Weighting'!4383:4383-"`FU!\1"</f>
        <v>#VALUE!</v>
      </c>
      <c r="AV33" t="e">
        <f>'Technical Skills Weighting'!4384:4384-"`FU!\2"</f>
        <v>#VALUE!</v>
      </c>
      <c r="AW33" t="e">
        <f>'Technical Skills Weighting'!4385:4385-"`FU!\3"</f>
        <v>#VALUE!</v>
      </c>
      <c r="AX33" t="e">
        <f>'Technical Skills Weighting'!4386:4386-"`FU!\4"</f>
        <v>#VALUE!</v>
      </c>
      <c r="AY33" t="e">
        <f>'Technical Skills Weighting'!4387:4387-"`FU!\5"</f>
        <v>#VALUE!</v>
      </c>
      <c r="AZ33" t="e">
        <f>'Technical Skills Weighting'!4388:4388-"`FU!\6"</f>
        <v>#VALUE!</v>
      </c>
      <c r="BA33" t="e">
        <f>'Technical Skills Weighting'!4389:4389-"`FU!\7"</f>
        <v>#VALUE!</v>
      </c>
      <c r="BB33" t="e">
        <f>'Technical Skills Weighting'!4390:4390-"`FU!\8"</f>
        <v>#VALUE!</v>
      </c>
      <c r="BC33" t="e">
        <f>'Technical Skills Weighting'!4391:4391-"`FU!\9"</f>
        <v>#VALUE!</v>
      </c>
      <c r="BD33" t="e">
        <f>'Technical Skills Weighting'!4392:4392-"`FU!\:"</f>
        <v>#VALUE!</v>
      </c>
      <c r="BE33" t="e">
        <f>'Technical Skills Weighting'!4393:4393-"`FU!\;"</f>
        <v>#VALUE!</v>
      </c>
      <c r="BF33" t="e">
        <f>'Technical Skills Weighting'!4394:4394-"`FU!\&lt;"</f>
        <v>#VALUE!</v>
      </c>
      <c r="BG33" t="e">
        <f>'Technical Skills Weighting'!4395:4395-"`FU!\="</f>
        <v>#VALUE!</v>
      </c>
      <c r="BH33" t="e">
        <f>'Technical Skills Weighting'!4396:4396-"`FU!\&gt;"</f>
        <v>#VALUE!</v>
      </c>
      <c r="BI33" t="e">
        <f>'Technical Skills Weighting'!4397:4397-"`FU!\?"</f>
        <v>#VALUE!</v>
      </c>
      <c r="BJ33" t="e">
        <f>'Technical Skills Weighting'!4398:4398-"`FU!\@"</f>
        <v>#VALUE!</v>
      </c>
      <c r="BK33" t="e">
        <f>'Technical Skills Weighting'!4399:4399-"`FU!\A"</f>
        <v>#VALUE!</v>
      </c>
      <c r="BL33" t="e">
        <f>'Technical Skills Weighting'!4400:4400-"`FU!\B"</f>
        <v>#VALUE!</v>
      </c>
      <c r="BM33" t="e">
        <f>'Technical Skills Weighting'!4401:4401-"`FU!\C"</f>
        <v>#VALUE!</v>
      </c>
      <c r="BN33" t="e">
        <f>'Technical Skills Weighting'!4402:4402-"`FU!\D"</f>
        <v>#VALUE!</v>
      </c>
      <c r="BO33" t="e">
        <f>'Technical Skills Weighting'!4403:4403-"`FU!\E"</f>
        <v>#VALUE!</v>
      </c>
      <c r="BP33" t="e">
        <f>'Technical Skills Weighting'!4404:4404-"`FU!\F"</f>
        <v>#VALUE!</v>
      </c>
      <c r="BQ33" t="e">
        <f>'Technical Skills Weighting'!4405:4405-"`FU!\G"</f>
        <v>#VALUE!</v>
      </c>
      <c r="BR33" t="e">
        <f>'Technical Skills Weighting'!4406:4406-"`FU!\H"</f>
        <v>#VALUE!</v>
      </c>
      <c r="BS33" t="e">
        <f>'Technical Skills Weighting'!4407:4407-"`FU!\I"</f>
        <v>#VALUE!</v>
      </c>
      <c r="BT33" t="e">
        <f>'Technical Skills Weighting'!4408:4408-"`FU!\J"</f>
        <v>#VALUE!</v>
      </c>
      <c r="BU33" t="e">
        <f>'Technical Skills Weighting'!4409:4409-"`FU!\K"</f>
        <v>#VALUE!</v>
      </c>
      <c r="BV33" t="e">
        <f>'Technical Skills Weighting'!4410:4410-"`FU!\L"</f>
        <v>#VALUE!</v>
      </c>
      <c r="BW33" t="e">
        <f>'Technical Skills Weighting'!4411:4411-"`FU!\M"</f>
        <v>#VALUE!</v>
      </c>
      <c r="BX33" t="e">
        <f>'Technical Skills Weighting'!4412:4412-"`FU!\N"</f>
        <v>#VALUE!</v>
      </c>
      <c r="BY33" t="e">
        <f>'Technical Skills Weighting'!4413:4413-"`FU!\O"</f>
        <v>#VALUE!</v>
      </c>
      <c r="BZ33" t="e">
        <f>'Technical Skills Weighting'!4414:4414-"`FU!\P"</f>
        <v>#VALUE!</v>
      </c>
      <c r="CA33" t="e">
        <f>'Technical Skills Weighting'!4415:4415-"`FU!\Q"</f>
        <v>#VALUE!</v>
      </c>
      <c r="CB33" t="e">
        <f>'Technical Skills Weighting'!4416:4416-"`FU!\R"</f>
        <v>#VALUE!</v>
      </c>
      <c r="CC33" t="e">
        <f>'Technical Skills Weighting'!4417:4417-"`FU!\S"</f>
        <v>#VALUE!</v>
      </c>
      <c r="CD33" t="e">
        <f>'Technical Skills Weighting'!4418:4418-"`FU!\T"</f>
        <v>#VALUE!</v>
      </c>
      <c r="CE33" t="e">
        <f>'Technical Skills Weighting'!4419:4419-"`FU!\U"</f>
        <v>#VALUE!</v>
      </c>
      <c r="CF33" t="e">
        <f>'Technical Skills Weighting'!4420:4420-"`FU!\V"</f>
        <v>#VALUE!</v>
      </c>
      <c r="CG33" t="e">
        <f>'Technical Skills Weighting'!4421:4421-"`FU!\W"</f>
        <v>#VALUE!</v>
      </c>
      <c r="CH33" t="e">
        <f>'Technical Skills Weighting'!4422:4422-"`FU!\X"</f>
        <v>#VALUE!</v>
      </c>
      <c r="CI33" t="e">
        <f>'Technical Skills Weighting'!4423:4423-"`FU!\Y"</f>
        <v>#VALUE!</v>
      </c>
      <c r="CJ33" t="e">
        <f>'Technical Skills Weighting'!4424:4424-"`FU!\Z"</f>
        <v>#VALUE!</v>
      </c>
      <c r="CK33" t="e">
        <f>'Technical Skills Weighting'!4425:4425-"`FU!\["</f>
        <v>#VALUE!</v>
      </c>
      <c r="CL33" t="e">
        <f>'Technical Skills Weighting'!4426:4426-"`FU!\\"</f>
        <v>#VALUE!</v>
      </c>
      <c r="CM33" t="e">
        <f>'Technical Skills Weighting'!4427:4427-"`FU!\]"</f>
        <v>#VALUE!</v>
      </c>
      <c r="CN33" t="e">
        <f>'Technical Skills Weighting'!4428:4428-"`FU!\^"</f>
        <v>#VALUE!</v>
      </c>
      <c r="CO33" t="e">
        <f>'Technical Skills Weighting'!4429:4429-"`FU!\_"</f>
        <v>#VALUE!</v>
      </c>
      <c r="CP33" t="e">
        <f>'Technical Skills Weighting'!4430:4430-"`FU!\`"</f>
        <v>#VALUE!</v>
      </c>
      <c r="CQ33" t="e">
        <f>'Technical Skills Weighting'!4431:4431-"`FU!\a"</f>
        <v>#VALUE!</v>
      </c>
      <c r="CR33" t="e">
        <f>'Technical Skills Weighting'!4432:4432-"`FU!\b"</f>
        <v>#VALUE!</v>
      </c>
      <c r="CS33" t="e">
        <f>'Technical Skills Weighting'!4433:4433-"`FU!\c"</f>
        <v>#VALUE!</v>
      </c>
      <c r="CT33" t="e">
        <f>'Technical Skills Weighting'!4434:4434-"`FU!\d"</f>
        <v>#VALUE!</v>
      </c>
      <c r="CU33" t="e">
        <f>'Technical Skills Weighting'!4435:4435-"`FU!\e"</f>
        <v>#VALUE!</v>
      </c>
      <c r="CV33" t="e">
        <f>'Technical Skills Weighting'!4436:4436-"`FU!\f"</f>
        <v>#VALUE!</v>
      </c>
      <c r="CW33" t="e">
        <f>'Technical Skills Weighting'!4437:4437-"`FU!\g"</f>
        <v>#VALUE!</v>
      </c>
      <c r="CX33" t="e">
        <f>'Technical Skills Weighting'!4438:4438-"`FU!\h"</f>
        <v>#VALUE!</v>
      </c>
      <c r="CY33" t="e">
        <f>'Technical Skills Weighting'!4439:4439-"`FU!\i"</f>
        <v>#VALUE!</v>
      </c>
      <c r="CZ33" t="e">
        <f>'Technical Skills Weighting'!4440:4440-"`FU!\j"</f>
        <v>#VALUE!</v>
      </c>
      <c r="DA33" t="e">
        <f>'Technical Skills Weighting'!4441:4441-"`FU!\k"</f>
        <v>#VALUE!</v>
      </c>
      <c r="DB33" t="e">
        <f>'Technical Skills Weighting'!4442:4442-"`FU!\l"</f>
        <v>#VALUE!</v>
      </c>
      <c r="DC33" t="e">
        <f>'Technical Skills Weighting'!4443:4443-"`FU!\m"</f>
        <v>#VALUE!</v>
      </c>
      <c r="DD33" t="e">
        <f>'Technical Skills Weighting'!4444:4444-"`FU!\n"</f>
        <v>#VALUE!</v>
      </c>
      <c r="DE33" t="e">
        <f>'Technical Skills Weighting'!4445:4445-"`FU!\o"</f>
        <v>#VALUE!</v>
      </c>
      <c r="DF33" t="e">
        <f>'Technical Skills Weighting'!4446:4446-"`FU!\p"</f>
        <v>#VALUE!</v>
      </c>
      <c r="DG33" t="e">
        <f>'Technical Skills Weighting'!4447:4447-"`FU!\q"</f>
        <v>#VALUE!</v>
      </c>
      <c r="DH33" t="e">
        <f>'Technical Skills Weighting'!4448:4448-"`FU!\r"</f>
        <v>#VALUE!</v>
      </c>
      <c r="DI33" t="e">
        <f>'Technical Skills Weighting'!4449:4449-"`FU!\s"</f>
        <v>#VALUE!</v>
      </c>
      <c r="DJ33" t="e">
        <f>'Technical Skills Weighting'!4450:4450-"`FU!\t"</f>
        <v>#VALUE!</v>
      </c>
      <c r="DK33" t="e">
        <f>'Technical Skills Weighting'!4451:4451-"`FU!\u"</f>
        <v>#VALUE!</v>
      </c>
      <c r="DL33" t="e">
        <f>'Technical Skills Weighting'!4452:4452-"`FU!\v"</f>
        <v>#VALUE!</v>
      </c>
      <c r="DM33" t="e">
        <f>'Technical Skills Weighting'!4453:4453-"`FU!\w"</f>
        <v>#VALUE!</v>
      </c>
      <c r="DN33" t="e">
        <f>'Technical Skills Weighting'!4454:4454-"`FU!\x"</f>
        <v>#VALUE!</v>
      </c>
      <c r="DO33" t="e">
        <f>'Technical Skills Weighting'!4455:4455-"`FU!\y"</f>
        <v>#VALUE!</v>
      </c>
      <c r="DP33" t="e">
        <f>'Technical Skills Weighting'!4456:4456-"`FU!\z"</f>
        <v>#VALUE!</v>
      </c>
      <c r="DQ33" t="e">
        <f>'Technical Skills Weighting'!4457:4457-"`FU!\{"</f>
        <v>#VALUE!</v>
      </c>
      <c r="DR33" t="e">
        <f>'Technical Skills Weighting'!4458:4458-"`FU!\|"</f>
        <v>#VALUE!</v>
      </c>
      <c r="DS33" t="e">
        <f>'Technical Skills Weighting'!4459:4459-"`FU!\}"</f>
        <v>#VALUE!</v>
      </c>
      <c r="DT33" t="e">
        <f>'Technical Skills Weighting'!4460:4460-"`FU!\~"</f>
        <v>#VALUE!</v>
      </c>
      <c r="DU33" t="e">
        <f>'Technical Skills Weighting'!4461:4461-"`FU!]#"</f>
        <v>#VALUE!</v>
      </c>
      <c r="DV33" t="e">
        <f>'Technical Skills Weighting'!4462:4462-"`FU!]$"</f>
        <v>#VALUE!</v>
      </c>
      <c r="DW33" t="e">
        <f>'Technical Skills Weighting'!4463:4463-"`FU!]%"</f>
        <v>#VALUE!</v>
      </c>
      <c r="DX33" t="e">
        <f>'Technical Skills Weighting'!4464:4464-"`FU!]&amp;"</f>
        <v>#VALUE!</v>
      </c>
      <c r="DY33" t="e">
        <f>'Technical Skills Weighting'!4465:4465-"`FU!]'"</f>
        <v>#VALUE!</v>
      </c>
      <c r="DZ33" t="e">
        <f>'Technical Skills Weighting'!4466:4466-"`FU!]("</f>
        <v>#VALUE!</v>
      </c>
      <c r="EA33" t="e">
        <f>'Technical Skills Weighting'!4467:4467-"`FU!])"</f>
        <v>#VALUE!</v>
      </c>
      <c r="EB33" t="e">
        <f>'Technical Skills Weighting'!4468:4468-"`FU!]."</f>
        <v>#VALUE!</v>
      </c>
      <c r="EC33" t="e">
        <f>'Technical Skills Weighting'!4469:4469-"`FU!]/"</f>
        <v>#VALUE!</v>
      </c>
      <c r="ED33" t="e">
        <f>'Technical Skills Weighting'!4470:4470-"`FU!]0"</f>
        <v>#VALUE!</v>
      </c>
      <c r="EE33" t="e">
        <f>'Technical Skills Weighting'!4471:4471-"`FU!]1"</f>
        <v>#VALUE!</v>
      </c>
      <c r="EF33" t="e">
        <f>'Technical Skills Weighting'!4472:4472-"`FU!]2"</f>
        <v>#VALUE!</v>
      </c>
      <c r="EG33" t="e">
        <f>'Technical Skills Weighting'!4473:4473-"`FU!]3"</f>
        <v>#VALUE!</v>
      </c>
      <c r="EH33" t="e">
        <f>'Technical Skills Weighting'!4474:4474-"`FU!]4"</f>
        <v>#VALUE!</v>
      </c>
      <c r="EI33" t="e">
        <f>'Technical Skills Weighting'!4475:4475-"`FU!]5"</f>
        <v>#VALUE!</v>
      </c>
      <c r="EJ33" t="e">
        <f>'Technical Skills Weighting'!4476:4476-"`FU!]6"</f>
        <v>#VALUE!</v>
      </c>
      <c r="EK33" t="e">
        <f>'Technical Skills Weighting'!4477:4477-"`FU!]7"</f>
        <v>#VALUE!</v>
      </c>
      <c r="EL33" t="e">
        <f>'Technical Skills Weighting'!4478:4478-"`FU!]8"</f>
        <v>#VALUE!</v>
      </c>
      <c r="EM33" t="e">
        <f>'Technical Skills Weighting'!4479:4479-"`FU!]9"</f>
        <v>#VALUE!</v>
      </c>
      <c r="EN33" t="e">
        <f>'Technical Skills Weighting'!4480:4480-"`FU!]:"</f>
        <v>#VALUE!</v>
      </c>
      <c r="EO33" t="e">
        <f>'Technical Skills Weighting'!4481:4481-"`FU!];"</f>
        <v>#VALUE!</v>
      </c>
      <c r="EP33" t="e">
        <f>'Technical Skills Weighting'!4482:4482-"`FU!]&lt;"</f>
        <v>#VALUE!</v>
      </c>
      <c r="EQ33" t="e">
        <f>'Technical Skills Weighting'!4483:4483-"`FU!]="</f>
        <v>#VALUE!</v>
      </c>
      <c r="ER33" t="e">
        <f>'Technical Skills Weighting'!4484:4484-"`FU!]&gt;"</f>
        <v>#VALUE!</v>
      </c>
      <c r="ES33" t="e">
        <f>'Technical Skills Weighting'!4485:4485-"`FU!]?"</f>
        <v>#VALUE!</v>
      </c>
      <c r="ET33" t="e">
        <f>'Technical Skills Weighting'!4486:4486-"`FU!]@"</f>
        <v>#VALUE!</v>
      </c>
      <c r="EU33" t="e">
        <f>'Technical Skills Weighting'!4487:4487-"`FU!]A"</f>
        <v>#VALUE!</v>
      </c>
      <c r="EV33" t="e">
        <f>'Technical Skills Weighting'!4488:4488-"`FU!]B"</f>
        <v>#VALUE!</v>
      </c>
      <c r="EW33" t="e">
        <f>'Technical Skills Weighting'!4489:4489-"`FU!]C"</f>
        <v>#VALUE!</v>
      </c>
      <c r="EX33" t="e">
        <f>'Technical Skills Weighting'!4490:4490-"`FU!]D"</f>
        <v>#VALUE!</v>
      </c>
      <c r="EY33" t="e">
        <f>'Technical Skills Weighting'!4491:4491-"`FU!]E"</f>
        <v>#VALUE!</v>
      </c>
      <c r="EZ33" t="e">
        <f>'Technical Skills Weighting'!4492:4492-"`FU!]F"</f>
        <v>#VALUE!</v>
      </c>
      <c r="FA33" t="e">
        <f>'Technical Skills Weighting'!4493:4493-"`FU!]G"</f>
        <v>#VALUE!</v>
      </c>
      <c r="FB33" t="e">
        <f>'Technical Skills Weighting'!4494:4494-"`FU!]H"</f>
        <v>#VALUE!</v>
      </c>
      <c r="FC33" t="e">
        <f>'Technical Skills Weighting'!4495:4495-"`FU!]I"</f>
        <v>#VALUE!</v>
      </c>
      <c r="FD33" t="e">
        <f>'Technical Skills Weighting'!4496:4496-"`FU!]J"</f>
        <v>#VALUE!</v>
      </c>
      <c r="FE33" t="e">
        <f>'Technical Skills Weighting'!4497:4497-"`FU!]K"</f>
        <v>#VALUE!</v>
      </c>
      <c r="FF33" t="e">
        <f>'Technical Skills Weighting'!4498:4498-"`FU!]L"</f>
        <v>#VALUE!</v>
      </c>
      <c r="FG33" t="e">
        <f>'Technical Skills Weighting'!4499:4499-"`FU!]M"</f>
        <v>#VALUE!</v>
      </c>
      <c r="FH33" t="e">
        <f>'Technical Skills Weighting'!4500:4500-"`FU!]N"</f>
        <v>#VALUE!</v>
      </c>
      <c r="FI33" t="e">
        <f>'Technical Skills Weighting'!4501:4501-"`FU!]O"</f>
        <v>#VALUE!</v>
      </c>
      <c r="FJ33" t="e">
        <f>'Technical Skills Weighting'!4502:4502-"`FU!]P"</f>
        <v>#VALUE!</v>
      </c>
      <c r="FK33" t="e">
        <f>'Technical Skills Weighting'!4503:4503-"`FU!]Q"</f>
        <v>#VALUE!</v>
      </c>
      <c r="FL33" t="e">
        <f>'Technical Skills Weighting'!4504:4504-"`FU!]R"</f>
        <v>#VALUE!</v>
      </c>
      <c r="FM33" t="e">
        <f>'Technical Skills Weighting'!4505:4505-"`FU!]S"</f>
        <v>#VALUE!</v>
      </c>
      <c r="FN33" t="e">
        <f>'Technical Skills Weighting'!4506:4506-"`FU!]T"</f>
        <v>#VALUE!</v>
      </c>
      <c r="FO33" t="e">
        <f>'Technical Skills Weighting'!4507:4507-"`FU!]U"</f>
        <v>#VALUE!</v>
      </c>
      <c r="FP33" t="e">
        <f>'Technical Skills Weighting'!4508:4508-"`FU!]V"</f>
        <v>#VALUE!</v>
      </c>
      <c r="FQ33" t="e">
        <f>'Technical Skills Weighting'!4509:4509-"`FU!]W"</f>
        <v>#VALUE!</v>
      </c>
      <c r="FR33" t="e">
        <f>'Technical Skills Weighting'!4510:4510-"`FU!]X"</f>
        <v>#VALUE!</v>
      </c>
      <c r="FS33" t="e">
        <f>'Technical Skills Weighting'!4511:4511-"`FU!]Y"</f>
        <v>#VALUE!</v>
      </c>
      <c r="FT33" t="e">
        <f>'Technical Skills Weighting'!4512:4512-"`FU!]Z"</f>
        <v>#VALUE!</v>
      </c>
      <c r="FU33" t="e">
        <f>'Technical Skills Weighting'!4513:4513-"`FU!]["</f>
        <v>#VALUE!</v>
      </c>
      <c r="FV33" t="e">
        <f>'Technical Skills Weighting'!4514:4514-"`FU!]\"</f>
        <v>#VALUE!</v>
      </c>
      <c r="FW33" t="e">
        <f>'Technical Skills Weighting'!4515:4515-"`FU!]]"</f>
        <v>#VALUE!</v>
      </c>
      <c r="FX33" t="e">
        <f>'Technical Skills Weighting'!4516:4516-"`FU!]^"</f>
        <v>#VALUE!</v>
      </c>
      <c r="FY33" t="e">
        <f>'Technical Skills Weighting'!4517:4517-"`FU!]_"</f>
        <v>#VALUE!</v>
      </c>
      <c r="FZ33" t="e">
        <f>'Technical Skills Weighting'!4518:4518-"`FU!]`"</f>
        <v>#VALUE!</v>
      </c>
      <c r="GA33" t="e">
        <f>'Technical Skills Weighting'!4519:4519-"`FU!]a"</f>
        <v>#VALUE!</v>
      </c>
      <c r="GB33" t="e">
        <f>'Technical Skills Weighting'!4520:4520-"`FU!]b"</f>
        <v>#VALUE!</v>
      </c>
      <c r="GC33" t="e">
        <f>'Technical Skills Weighting'!4521:4521-"`FU!]c"</f>
        <v>#VALUE!</v>
      </c>
      <c r="GD33" t="e">
        <f>'Technical Skills Weighting'!4522:4522-"`FU!]d"</f>
        <v>#VALUE!</v>
      </c>
      <c r="GE33" t="e">
        <f>'Technical Skills Weighting'!4523:4523-"`FU!]e"</f>
        <v>#VALUE!</v>
      </c>
      <c r="GF33" t="e">
        <f>'Technical Skills Weighting'!4524:4524-"`FU!]f"</f>
        <v>#VALUE!</v>
      </c>
      <c r="GG33" t="e">
        <f>'Technical Skills Weighting'!4525:4525-"`FU!]g"</f>
        <v>#VALUE!</v>
      </c>
      <c r="GH33" t="e">
        <f>'Technical Skills Weighting'!4526:4526-"`FU!]h"</f>
        <v>#VALUE!</v>
      </c>
      <c r="GI33" t="e">
        <f>'Technical Skills Weighting'!4527:4527-"`FU!]i"</f>
        <v>#VALUE!</v>
      </c>
      <c r="GJ33" t="e">
        <f>'Technical Skills Weighting'!4528:4528-"`FU!]j"</f>
        <v>#VALUE!</v>
      </c>
      <c r="GK33" t="e">
        <f>'Technical Skills Weighting'!4529:4529-"`FU!]k"</f>
        <v>#VALUE!</v>
      </c>
      <c r="GL33" t="e">
        <f>'Technical Skills Weighting'!4530:4530-"`FU!]l"</f>
        <v>#VALUE!</v>
      </c>
      <c r="GM33" t="e">
        <f>'Technical Skills Weighting'!4531:4531-"`FU!]m"</f>
        <v>#VALUE!</v>
      </c>
      <c r="GN33" t="e">
        <f>'Technical Skills Weighting'!4532:4532-"`FU!]n"</f>
        <v>#VALUE!</v>
      </c>
      <c r="GO33" t="e">
        <f>'Technical Skills Weighting'!4533:4533-"`FU!]o"</f>
        <v>#VALUE!</v>
      </c>
      <c r="GP33" t="e">
        <f>'Technical Skills Weighting'!4534:4534-"`FU!]p"</f>
        <v>#VALUE!</v>
      </c>
      <c r="GQ33" t="e">
        <f>'Technical Skills Weighting'!4535:4535-"`FU!]q"</f>
        <v>#VALUE!</v>
      </c>
      <c r="GR33" t="e">
        <f>'Technical Skills Weighting'!4536:4536-"`FU!]r"</f>
        <v>#VALUE!</v>
      </c>
      <c r="GS33" t="e">
        <f>'Technical Skills Weighting'!4537:4537-"`FU!]s"</f>
        <v>#VALUE!</v>
      </c>
      <c r="GT33" t="e">
        <f>'Technical Skills Weighting'!4538:4538-"`FU!]t"</f>
        <v>#VALUE!</v>
      </c>
      <c r="GU33" t="e">
        <f>'Technical Skills Weighting'!4539:4539-"`FU!]u"</f>
        <v>#VALUE!</v>
      </c>
      <c r="GV33" t="e">
        <f>'Technical Skills Weighting'!4540:4540-"`FU!]v"</f>
        <v>#VALUE!</v>
      </c>
      <c r="GW33" t="e">
        <f>'Technical Skills Weighting'!4541:4541-"`FU!]w"</f>
        <v>#VALUE!</v>
      </c>
      <c r="GX33" t="e">
        <f>'Technical Skills Weighting'!4542:4542-"`FU!]x"</f>
        <v>#VALUE!</v>
      </c>
      <c r="GY33" t="e">
        <f>'Technical Skills Weighting'!4543:4543-"`FU!]y"</f>
        <v>#VALUE!</v>
      </c>
      <c r="GZ33" t="e">
        <f>'Technical Skills Weighting'!4544:4544-"`FU!]z"</f>
        <v>#VALUE!</v>
      </c>
      <c r="HA33" t="e">
        <f>'Technical Skills Weighting'!4545:4545-"`FU!]{"</f>
        <v>#VALUE!</v>
      </c>
      <c r="HB33" t="e">
        <f>'Technical Skills Weighting'!4546:4546-"`FU!]|"</f>
        <v>#VALUE!</v>
      </c>
      <c r="HC33" t="e">
        <f>'Technical Skills Weighting'!4547:4547-"`FU!]}"</f>
        <v>#VALUE!</v>
      </c>
      <c r="HD33" t="e">
        <f>'Technical Skills Weighting'!4548:4548-"`FU!]~"</f>
        <v>#VALUE!</v>
      </c>
      <c r="HE33" t="e">
        <f>'Technical Skills Weighting'!4549:4549-"`FU!^#"</f>
        <v>#VALUE!</v>
      </c>
      <c r="HF33" t="e">
        <f>'Technical Skills Weighting'!4550:4550-"`FU!^$"</f>
        <v>#VALUE!</v>
      </c>
      <c r="HG33" t="e">
        <f>'Technical Skills Weighting'!4551:4551-"`FU!^%"</f>
        <v>#VALUE!</v>
      </c>
      <c r="HH33" t="e">
        <f>'Technical Skills Weighting'!4552:4552-"`FU!^&amp;"</f>
        <v>#VALUE!</v>
      </c>
      <c r="HI33" t="e">
        <f>'Technical Skills Weighting'!4553:4553-"`FU!^'"</f>
        <v>#VALUE!</v>
      </c>
      <c r="HJ33" t="e">
        <f>'Technical Skills Weighting'!4554:4554-"`FU!^("</f>
        <v>#VALUE!</v>
      </c>
      <c r="HK33" t="e">
        <f>'Technical Skills Weighting'!4555:4555-"`FU!^)"</f>
        <v>#VALUE!</v>
      </c>
      <c r="HL33" t="e">
        <f>'Technical Skills Weighting'!4556:4556-"`FU!^."</f>
        <v>#VALUE!</v>
      </c>
      <c r="HM33" t="e">
        <f>'Technical Skills Weighting'!4557:4557-"`FU!^/"</f>
        <v>#VALUE!</v>
      </c>
      <c r="HN33" t="e">
        <f>'Technical Skills Weighting'!4558:4558-"`FU!^0"</f>
        <v>#VALUE!</v>
      </c>
      <c r="HO33" t="e">
        <f>'Technical Skills Weighting'!4559:4559-"`FU!^1"</f>
        <v>#VALUE!</v>
      </c>
      <c r="HP33" t="e">
        <f>'Technical Skills Weighting'!4560:4560-"`FU!^2"</f>
        <v>#VALUE!</v>
      </c>
      <c r="HQ33" t="e">
        <f>'Technical Skills Weighting'!4561:4561-"`FU!^3"</f>
        <v>#VALUE!</v>
      </c>
      <c r="HR33" t="e">
        <f>'Technical Skills Weighting'!4562:4562-"`FU!^4"</f>
        <v>#VALUE!</v>
      </c>
      <c r="HS33" t="e">
        <f>'Technical Skills Weighting'!4563:4563-"`FU!^5"</f>
        <v>#VALUE!</v>
      </c>
      <c r="HT33" t="e">
        <f>'Technical Skills Weighting'!4564:4564-"`FU!^6"</f>
        <v>#VALUE!</v>
      </c>
      <c r="HU33" t="e">
        <f>'Technical Skills Weighting'!4565:4565-"`FU!^7"</f>
        <v>#VALUE!</v>
      </c>
      <c r="HV33" t="e">
        <f>'Technical Skills Weighting'!4566:4566-"`FU!^8"</f>
        <v>#VALUE!</v>
      </c>
      <c r="HW33" t="e">
        <f>'Technical Skills Weighting'!4567:4567-"`FU!^9"</f>
        <v>#VALUE!</v>
      </c>
      <c r="HX33" t="e">
        <f>'Technical Skills Weighting'!4568:4568-"`FU!^:"</f>
        <v>#VALUE!</v>
      </c>
      <c r="HY33" t="e">
        <f>'Technical Skills Weighting'!4569:4569-"`FU!^;"</f>
        <v>#VALUE!</v>
      </c>
      <c r="HZ33" t="e">
        <f>'Technical Skills Weighting'!4570:4570-"`FU!^&lt;"</f>
        <v>#VALUE!</v>
      </c>
      <c r="IA33" t="e">
        <f>'Technical Skills Weighting'!4571:4571-"`FU!^="</f>
        <v>#VALUE!</v>
      </c>
      <c r="IB33" t="e">
        <f>'Technical Skills Weighting'!4572:4572-"`FU!^&gt;"</f>
        <v>#VALUE!</v>
      </c>
      <c r="IC33" t="e">
        <f>'Technical Skills Weighting'!4573:4573-"`FU!^?"</f>
        <v>#VALUE!</v>
      </c>
      <c r="ID33" t="e">
        <f>'Technical Skills Weighting'!4574:4574-"`FU!^@"</f>
        <v>#VALUE!</v>
      </c>
      <c r="IE33" t="e">
        <f>'Technical Skills Weighting'!4575:4575-"`FU!^A"</f>
        <v>#VALUE!</v>
      </c>
      <c r="IF33" t="e">
        <f>'Technical Skills Weighting'!4576:4576-"`FU!^B"</f>
        <v>#VALUE!</v>
      </c>
      <c r="IG33" t="e">
        <f>'Technical Skills Weighting'!4577:4577-"`FU!^C"</f>
        <v>#VALUE!</v>
      </c>
      <c r="IH33" t="e">
        <f>'Technical Skills Weighting'!4578:4578-"`FU!^D"</f>
        <v>#VALUE!</v>
      </c>
      <c r="II33" t="e">
        <f>'Technical Skills Weighting'!4579:4579-"`FU!^E"</f>
        <v>#VALUE!</v>
      </c>
      <c r="IJ33" t="e">
        <f>'Technical Skills Weighting'!4580:4580-"`FU!^F"</f>
        <v>#VALUE!</v>
      </c>
      <c r="IK33" t="e">
        <f>'Technical Skills Weighting'!4581:4581-"`FU!^G"</f>
        <v>#VALUE!</v>
      </c>
      <c r="IL33" t="e">
        <f>'Technical Skills Weighting'!4582:4582-"`FU!^H"</f>
        <v>#VALUE!</v>
      </c>
      <c r="IM33" t="e">
        <f>'Technical Skills Weighting'!4583:4583-"`FU!^I"</f>
        <v>#VALUE!</v>
      </c>
      <c r="IN33" t="e">
        <f>'Technical Skills Weighting'!4584:4584-"`FU!^J"</f>
        <v>#VALUE!</v>
      </c>
      <c r="IO33" t="e">
        <f>'Technical Skills Weighting'!4585:4585-"`FU!^K"</f>
        <v>#VALUE!</v>
      </c>
      <c r="IP33" t="e">
        <f>'Technical Skills Weighting'!4586:4586-"`FU!^L"</f>
        <v>#VALUE!</v>
      </c>
      <c r="IQ33" t="e">
        <f>'Technical Skills Weighting'!4587:4587-"`FU!^M"</f>
        <v>#VALUE!</v>
      </c>
      <c r="IR33" t="e">
        <f>'Technical Skills Weighting'!4588:4588-"`FU!^N"</f>
        <v>#VALUE!</v>
      </c>
      <c r="IS33" t="e">
        <f>'Technical Skills Weighting'!4589:4589-"`FU!^O"</f>
        <v>#VALUE!</v>
      </c>
      <c r="IT33" t="e">
        <f>'Technical Skills Weighting'!4590:4590-"`FU!^P"</f>
        <v>#VALUE!</v>
      </c>
      <c r="IU33" t="e">
        <f>'Technical Skills Weighting'!4591:4591-"`FU!^Q"</f>
        <v>#VALUE!</v>
      </c>
      <c r="IV33" t="e">
        <f>'Technical Skills Weighting'!4592:4592-"`FU!^R"</f>
        <v>#VALUE!</v>
      </c>
    </row>
    <row r="34" spans="6:256" x14ac:dyDescent="0.25">
      <c r="F34" t="e">
        <f>'Technical Skills Weighting'!4593:4593-"`FU!^S"</f>
        <v>#VALUE!</v>
      </c>
      <c r="G34" t="e">
        <f>'Technical Skills Weighting'!4594:4594-"`FU!^T"</f>
        <v>#VALUE!</v>
      </c>
      <c r="H34" t="e">
        <f>'Technical Skills Weighting'!4595:4595-"`FU!^U"</f>
        <v>#VALUE!</v>
      </c>
      <c r="I34" t="e">
        <f>'Technical Skills Weighting'!4596:4596-"`FU!^V"</f>
        <v>#VALUE!</v>
      </c>
      <c r="J34" t="e">
        <f>'Technical Skills Weighting'!4597:4597-"`FU!^W"</f>
        <v>#VALUE!</v>
      </c>
      <c r="K34" t="e">
        <f>'Technical Skills Weighting'!4598:4598-"`FU!^X"</f>
        <v>#VALUE!</v>
      </c>
      <c r="L34" t="e">
        <f>'Technical Skills Weighting'!4599:4599-"`FU!^Y"</f>
        <v>#VALUE!</v>
      </c>
      <c r="M34" t="e">
        <f>'Technical Skills Weighting'!4600:4600-"`FU!^Z"</f>
        <v>#VALUE!</v>
      </c>
      <c r="N34" t="e">
        <f>'Technical Skills Weighting'!4601:4601-"`FU!^["</f>
        <v>#VALUE!</v>
      </c>
      <c r="O34" t="e">
        <f>'Technical Skills Weighting'!4602:4602-"`FU!^\"</f>
        <v>#VALUE!</v>
      </c>
      <c r="P34" t="e">
        <f>'Technical Skills Weighting'!4603:4603-"`FU!^]"</f>
        <v>#VALUE!</v>
      </c>
      <c r="Q34" t="e">
        <f>'Technical Skills Weighting'!4604:4604-"`FU!^^"</f>
        <v>#VALUE!</v>
      </c>
      <c r="R34" t="e">
        <f>'Technical Skills Weighting'!4605:4605-"`FU!^_"</f>
        <v>#VALUE!</v>
      </c>
      <c r="S34" t="e">
        <f>'Technical Skills Weighting'!4606:4606-"`FU!^`"</f>
        <v>#VALUE!</v>
      </c>
      <c r="T34" t="e">
        <f>'Technical Skills Weighting'!4607:4607-"`FU!^a"</f>
        <v>#VALUE!</v>
      </c>
      <c r="U34" t="e">
        <f>'Technical Skills Weighting'!4608:4608-"`FU!^b"</f>
        <v>#VALUE!</v>
      </c>
      <c r="V34" t="e">
        <f>'Technical Skills Weighting'!4609:4609-"`FU!^c"</f>
        <v>#VALUE!</v>
      </c>
      <c r="W34" t="e">
        <f>'Technical Skills Weighting'!4610:4610-"`FU!^d"</f>
        <v>#VALUE!</v>
      </c>
      <c r="X34" t="e">
        <f>'Technical Skills Weighting'!4611:4611-"`FU!^e"</f>
        <v>#VALUE!</v>
      </c>
      <c r="Y34" t="e">
        <f>'Technical Skills Weighting'!4612:4612-"`FU!^f"</f>
        <v>#VALUE!</v>
      </c>
      <c r="Z34" t="e">
        <f>'Technical Skills Weighting'!4613:4613-"`FU!^g"</f>
        <v>#VALUE!</v>
      </c>
      <c r="AA34" t="e">
        <f>'Technical Skills Weighting'!4614:4614-"`FU!^h"</f>
        <v>#VALUE!</v>
      </c>
      <c r="AB34" t="e">
        <f>'Technical Skills Weighting'!4615:4615-"`FU!^i"</f>
        <v>#VALUE!</v>
      </c>
      <c r="AC34" t="e">
        <f>'Technical Skills Weighting'!4616:4616-"`FU!^j"</f>
        <v>#VALUE!</v>
      </c>
      <c r="AD34" t="e">
        <f>'Technical Skills Weighting'!4617:4617-"`FU!^k"</f>
        <v>#VALUE!</v>
      </c>
      <c r="AE34" t="e">
        <f>'Technical Skills Weighting'!4618:4618-"`FU!^l"</f>
        <v>#VALUE!</v>
      </c>
      <c r="AF34" t="e">
        <f>'Technical Skills Weighting'!4619:4619-"`FU!^m"</f>
        <v>#VALUE!</v>
      </c>
      <c r="AG34" t="e">
        <f>'Technical Skills Weighting'!4620:4620-"`FU!^n"</f>
        <v>#VALUE!</v>
      </c>
      <c r="AH34" t="e">
        <f>'Technical Skills Weighting'!4621:4621-"`FU!^o"</f>
        <v>#VALUE!</v>
      </c>
      <c r="AI34" t="e">
        <f>'Technical Skills Weighting'!4622:4622-"`FU!^p"</f>
        <v>#VALUE!</v>
      </c>
      <c r="AJ34" t="e">
        <f>'Technical Skills Weighting'!4623:4623-"`FU!^q"</f>
        <v>#VALUE!</v>
      </c>
      <c r="AK34" t="e">
        <f>'Technical Skills Weighting'!4624:4624-"`FU!^r"</f>
        <v>#VALUE!</v>
      </c>
      <c r="AL34" t="e">
        <f>'Technical Skills Weighting'!4625:4625-"`FU!^s"</f>
        <v>#VALUE!</v>
      </c>
      <c r="AM34" t="e">
        <f>'Technical Skills Weighting'!4626:4626-"`FU!^t"</f>
        <v>#VALUE!</v>
      </c>
      <c r="AN34" t="e">
        <f>'Technical Skills Weighting'!4627:4627-"`FU!^u"</f>
        <v>#VALUE!</v>
      </c>
      <c r="AO34" t="e">
        <f>'Technical Skills Weighting'!4628:4628-"`FU!^v"</f>
        <v>#VALUE!</v>
      </c>
      <c r="AP34" t="e">
        <f>'Technical Skills Weighting'!4629:4629-"`FU!^w"</f>
        <v>#VALUE!</v>
      </c>
      <c r="AQ34" t="e">
        <f>'Technical Skills Weighting'!4630:4630-"`FU!^x"</f>
        <v>#VALUE!</v>
      </c>
      <c r="AR34" t="e">
        <f>'Technical Skills Weighting'!4631:4631-"`FU!^y"</f>
        <v>#VALUE!</v>
      </c>
      <c r="AS34" t="e">
        <f>'Technical Skills Weighting'!4632:4632-"`FU!^z"</f>
        <v>#VALUE!</v>
      </c>
      <c r="AT34" t="e">
        <f>'Technical Skills Weighting'!4633:4633-"`FU!^{"</f>
        <v>#VALUE!</v>
      </c>
      <c r="AU34" t="e">
        <f>'Technical Skills Weighting'!4634:4634-"`FU!^|"</f>
        <v>#VALUE!</v>
      </c>
      <c r="AV34" t="e">
        <f>'Technical Skills Weighting'!4635:4635-"`FU!^}"</f>
        <v>#VALUE!</v>
      </c>
      <c r="AW34" t="e">
        <f>'Technical Skills Weighting'!4636:4636-"`FU!^~"</f>
        <v>#VALUE!</v>
      </c>
      <c r="AX34" t="e">
        <f>'Technical Skills Weighting'!4637:4637-"`FU!_#"</f>
        <v>#VALUE!</v>
      </c>
      <c r="AY34" t="e">
        <f>'Technical Skills Weighting'!4638:4638-"`FU!_$"</f>
        <v>#VALUE!</v>
      </c>
      <c r="AZ34" t="e">
        <f>'Technical Skills Weighting'!4639:4639-"`FU!_%"</f>
        <v>#VALUE!</v>
      </c>
      <c r="BA34" t="e">
        <f>'Technical Skills Weighting'!4640:4640-"`FU!_&amp;"</f>
        <v>#VALUE!</v>
      </c>
      <c r="BB34" t="e">
        <f>'Technical Skills Weighting'!4641:4641-"`FU!_'"</f>
        <v>#VALUE!</v>
      </c>
      <c r="BC34" t="e">
        <f>'Technical Skills Weighting'!4642:4642-"`FU!_("</f>
        <v>#VALUE!</v>
      </c>
      <c r="BD34" t="e">
        <f>'Technical Skills Weighting'!4643:4643-"`FU!_)"</f>
        <v>#VALUE!</v>
      </c>
      <c r="BE34" t="e">
        <f>'Technical Skills Weighting'!4644:4644-"`FU!_."</f>
        <v>#VALUE!</v>
      </c>
      <c r="BF34" t="e">
        <f>'Technical Skills Weighting'!4645:4645-"`FU!_/"</f>
        <v>#VALUE!</v>
      </c>
      <c r="BG34" t="e">
        <f>'Technical Skills Weighting'!4646:4646-"`FU!_0"</f>
        <v>#VALUE!</v>
      </c>
      <c r="BH34" t="e">
        <f>'Technical Skills Weighting'!4647:4647-"`FU!_1"</f>
        <v>#VALUE!</v>
      </c>
      <c r="BI34" t="e">
        <f>'Technical Skills Weighting'!4648:4648-"`FU!_2"</f>
        <v>#VALUE!</v>
      </c>
      <c r="BJ34" t="e">
        <f>'Technical Skills Weighting'!4649:4649-"`FU!_3"</f>
        <v>#VALUE!</v>
      </c>
      <c r="BK34" t="e">
        <f>'Technical Skills Weighting'!4650:4650-"`FU!_4"</f>
        <v>#VALUE!</v>
      </c>
      <c r="BL34" t="e">
        <f>'Technical Skills Weighting'!4651:4651-"`FU!_5"</f>
        <v>#VALUE!</v>
      </c>
      <c r="BM34" t="e">
        <f>'Technical Skills Weighting'!4652:4652-"`FU!_6"</f>
        <v>#VALUE!</v>
      </c>
      <c r="BN34" t="e">
        <f>'Technical Skills Weighting'!4653:4653-"`FU!_7"</f>
        <v>#VALUE!</v>
      </c>
      <c r="BO34" t="e">
        <f>'Technical Skills Weighting'!4654:4654-"`FU!_8"</f>
        <v>#VALUE!</v>
      </c>
      <c r="BP34" t="e">
        <f>'Technical Skills Weighting'!4655:4655-"`FU!_9"</f>
        <v>#VALUE!</v>
      </c>
      <c r="BQ34" t="e">
        <f>'Technical Skills Weighting'!4656:4656-"`FU!_:"</f>
        <v>#VALUE!</v>
      </c>
      <c r="BR34" t="e">
        <f>'Technical Skills Weighting'!4657:4657-"`FU!_;"</f>
        <v>#VALUE!</v>
      </c>
      <c r="BS34" t="e">
        <f>'Technical Skills Weighting'!4658:4658-"`FU!_&lt;"</f>
        <v>#VALUE!</v>
      </c>
      <c r="BT34" t="e">
        <f>'Technical Skills Weighting'!4659:4659-"`FU!_="</f>
        <v>#VALUE!</v>
      </c>
      <c r="BU34" t="e">
        <f>'Technical Skills Weighting'!4660:4660-"`FU!_&gt;"</f>
        <v>#VALUE!</v>
      </c>
      <c r="BV34" t="e">
        <f>'Technical Skills Weighting'!4661:4661-"`FU!_?"</f>
        <v>#VALUE!</v>
      </c>
      <c r="BW34" t="e">
        <f>'Technical Skills Weighting'!4662:4662-"`FU!_@"</f>
        <v>#VALUE!</v>
      </c>
      <c r="BX34" t="e">
        <f>'Technical Skills Weighting'!4663:4663-"`FU!_A"</f>
        <v>#VALUE!</v>
      </c>
      <c r="BY34" t="e">
        <f>'Technical Skills Weighting'!4664:4664-"`FU!_B"</f>
        <v>#VALUE!</v>
      </c>
      <c r="BZ34" t="e">
        <f>'Technical Skills Weighting'!4665:4665-"`FU!_C"</f>
        <v>#VALUE!</v>
      </c>
      <c r="CA34" t="e">
        <f>'Technical Skills Weighting'!4666:4666-"`FU!_D"</f>
        <v>#VALUE!</v>
      </c>
      <c r="CB34" t="e">
        <f>'Technical Skills Weighting'!4667:4667-"`FU!_E"</f>
        <v>#VALUE!</v>
      </c>
      <c r="CC34" t="e">
        <f>'Technical Skills Weighting'!4668:4668-"`FU!_F"</f>
        <v>#VALUE!</v>
      </c>
      <c r="CD34" t="e">
        <f>'Technical Skills Weighting'!4669:4669-"`FU!_G"</f>
        <v>#VALUE!</v>
      </c>
      <c r="CE34" t="e">
        <f>'Technical Skills Weighting'!4670:4670-"`FU!_H"</f>
        <v>#VALUE!</v>
      </c>
      <c r="CF34" t="e">
        <f>'Technical Skills Weighting'!4671:4671-"`FU!_I"</f>
        <v>#VALUE!</v>
      </c>
      <c r="CG34" t="e">
        <f>'Technical Skills Weighting'!4672:4672-"`FU!_J"</f>
        <v>#VALUE!</v>
      </c>
      <c r="CH34" t="e">
        <f>'Technical Skills Weighting'!4673:4673-"`FU!_K"</f>
        <v>#VALUE!</v>
      </c>
      <c r="CI34" t="e">
        <f>'Technical Skills Weighting'!4674:4674-"`FU!_L"</f>
        <v>#VALUE!</v>
      </c>
      <c r="CJ34" t="e">
        <f>'Technical Skills Weighting'!4675:4675-"`FU!_M"</f>
        <v>#VALUE!</v>
      </c>
      <c r="CK34" t="e">
        <f>'Technical Skills Weighting'!4676:4676-"`FU!_N"</f>
        <v>#VALUE!</v>
      </c>
      <c r="CL34" t="e">
        <f>'Technical Skills Weighting'!4677:4677-"`FU!_O"</f>
        <v>#VALUE!</v>
      </c>
      <c r="CM34" t="e">
        <f>'Technical Skills Weighting'!4678:4678-"`FU!_P"</f>
        <v>#VALUE!</v>
      </c>
      <c r="CN34" t="e">
        <f>'Technical Skills Weighting'!4679:4679-"`FU!_Q"</f>
        <v>#VALUE!</v>
      </c>
      <c r="CO34" t="e">
        <f>'Technical Skills Weighting'!4680:4680-"`FU!_R"</f>
        <v>#VALUE!</v>
      </c>
      <c r="CP34" t="e">
        <f>'Technical Skills Weighting'!4681:4681-"`FU!_S"</f>
        <v>#VALUE!</v>
      </c>
      <c r="CQ34" t="e">
        <f>'Technical Skills Weighting'!4682:4682-"`FU!_T"</f>
        <v>#VALUE!</v>
      </c>
      <c r="CR34" t="e">
        <f>'Technical Skills Weighting'!4683:4683-"`FU!_U"</f>
        <v>#VALUE!</v>
      </c>
      <c r="CS34" t="e">
        <f>'Technical Skills Weighting'!4684:4684-"`FU!_V"</f>
        <v>#VALUE!</v>
      </c>
      <c r="CT34" t="e">
        <f>'Technical Skills Weighting'!4685:4685-"`FU!_W"</f>
        <v>#VALUE!</v>
      </c>
      <c r="CU34" t="e">
        <f>'Technical Skills Weighting'!4686:4686-"`FU!_X"</f>
        <v>#VALUE!</v>
      </c>
      <c r="CV34" t="e">
        <f>'Technical Skills Weighting'!4687:4687-"`FU!_Y"</f>
        <v>#VALUE!</v>
      </c>
      <c r="CW34" t="e">
        <f>'Technical Skills Weighting'!4688:4688-"`FU!_Z"</f>
        <v>#VALUE!</v>
      </c>
      <c r="CX34" t="e">
        <f>'Technical Skills Weighting'!4689:4689-"`FU!_["</f>
        <v>#VALUE!</v>
      </c>
      <c r="CY34" t="e">
        <f>'Technical Skills Weighting'!4690:4690-"`FU!_\"</f>
        <v>#VALUE!</v>
      </c>
      <c r="CZ34" t="e">
        <f>'Technical Skills Weighting'!4691:4691-"`FU!_]"</f>
        <v>#VALUE!</v>
      </c>
      <c r="DA34" t="e">
        <f>'Technical Skills Weighting'!4692:4692-"`FU!_^"</f>
        <v>#VALUE!</v>
      </c>
      <c r="DB34" t="e">
        <f>'Technical Skills Weighting'!4693:4693-"`FU!__"</f>
        <v>#VALUE!</v>
      </c>
      <c r="DC34" t="e">
        <f>'Technical Skills Weighting'!4694:4694-"`FU!_`"</f>
        <v>#VALUE!</v>
      </c>
      <c r="DD34" t="e">
        <f>'Technical Skills Weighting'!4695:4695-"`FU!_a"</f>
        <v>#VALUE!</v>
      </c>
      <c r="DE34" t="e">
        <f>'Technical Skills Weighting'!4696:4696-"`FU!_b"</f>
        <v>#VALUE!</v>
      </c>
      <c r="DF34" t="e">
        <f>'Technical Skills Weighting'!4697:4697-"`FU!_c"</f>
        <v>#VALUE!</v>
      </c>
      <c r="DG34" t="e">
        <f>'Technical Skills Weighting'!4698:4698-"`FU!_d"</f>
        <v>#VALUE!</v>
      </c>
      <c r="DH34" t="e">
        <f>'Technical Skills Weighting'!4699:4699-"`FU!_e"</f>
        <v>#VALUE!</v>
      </c>
      <c r="DI34" t="e">
        <f>'Technical Skills Weighting'!4700:4700-"`FU!_f"</f>
        <v>#VALUE!</v>
      </c>
      <c r="DJ34" t="e">
        <f>'Technical Skills Weighting'!4701:4701-"`FU!_g"</f>
        <v>#VALUE!</v>
      </c>
      <c r="DK34" t="e">
        <f>'Technical Skills Weighting'!4702:4702-"`FU!_h"</f>
        <v>#VALUE!</v>
      </c>
      <c r="DL34" t="e">
        <f>'Technical Skills Weighting'!4703:4703-"`FU!_i"</f>
        <v>#VALUE!</v>
      </c>
      <c r="DM34" t="e">
        <f>'Technical Skills Weighting'!4704:4704-"`FU!_j"</f>
        <v>#VALUE!</v>
      </c>
      <c r="DN34" t="e">
        <f>'Technical Skills Weighting'!4705:4705-"`FU!_k"</f>
        <v>#VALUE!</v>
      </c>
      <c r="DO34" t="e">
        <f>'Technical Skills Weighting'!4706:4706-"`FU!_l"</f>
        <v>#VALUE!</v>
      </c>
      <c r="DP34" t="e">
        <f>'Technical Skills Weighting'!4707:4707-"`FU!_m"</f>
        <v>#VALUE!</v>
      </c>
      <c r="DQ34" t="e">
        <f>'Technical Skills Weighting'!4708:4708-"`FU!_n"</f>
        <v>#VALUE!</v>
      </c>
      <c r="DR34" t="e">
        <f>'Technical Skills Weighting'!4709:4709-"`FU!_o"</f>
        <v>#VALUE!</v>
      </c>
      <c r="DS34" t="e">
        <f>'Technical Skills Weighting'!4710:4710-"`FU!_p"</f>
        <v>#VALUE!</v>
      </c>
      <c r="DT34" t="e">
        <f>'Technical Skills Weighting'!4711:4711-"`FU!_q"</f>
        <v>#VALUE!</v>
      </c>
      <c r="DU34" t="e">
        <f>'Technical Skills Weighting'!4712:4712-"`FU!_r"</f>
        <v>#VALUE!</v>
      </c>
      <c r="DV34" t="e">
        <f>'Technical Skills Weighting'!4713:4713-"`FU!_s"</f>
        <v>#VALUE!</v>
      </c>
      <c r="DW34" t="e">
        <f>'Technical Skills Weighting'!4714:4714-"`FU!_t"</f>
        <v>#VALUE!</v>
      </c>
      <c r="DX34" t="e">
        <f>'Technical Skills Weighting'!4715:4715-"`FU!_u"</f>
        <v>#VALUE!</v>
      </c>
      <c r="DY34" t="e">
        <f>'Technical Skills Weighting'!4716:4716-"`FU!_v"</f>
        <v>#VALUE!</v>
      </c>
      <c r="DZ34" t="e">
        <f>'Technical Skills Weighting'!4717:4717-"`FU!_w"</f>
        <v>#VALUE!</v>
      </c>
      <c r="EA34" t="e">
        <f>'Technical Skills Weighting'!4718:4718-"`FU!_x"</f>
        <v>#VALUE!</v>
      </c>
      <c r="EB34" t="e">
        <f>'Technical Skills Weighting'!4719:4719-"`FU!_y"</f>
        <v>#VALUE!</v>
      </c>
      <c r="EC34" t="e">
        <f>'Technical Skills Weighting'!4720:4720-"`FU!_z"</f>
        <v>#VALUE!</v>
      </c>
      <c r="ED34" t="e">
        <f>'Technical Skills Weighting'!4721:4721-"`FU!_{"</f>
        <v>#VALUE!</v>
      </c>
      <c r="EE34" t="e">
        <f>'Technical Skills Weighting'!4722:4722-"`FU!_|"</f>
        <v>#VALUE!</v>
      </c>
      <c r="EF34" t="e">
        <f>'Technical Skills Weighting'!4723:4723-"`FU!_}"</f>
        <v>#VALUE!</v>
      </c>
      <c r="EG34" t="e">
        <f>'Technical Skills Weighting'!4724:4724-"`FU!_~"</f>
        <v>#VALUE!</v>
      </c>
      <c r="EH34" t="e">
        <f>'Technical Skills Weighting'!4725:4725-"`FU!`#"</f>
        <v>#VALUE!</v>
      </c>
      <c r="EI34" t="e">
        <f>'Technical Skills Weighting'!4726:4726-"`FU!`$"</f>
        <v>#VALUE!</v>
      </c>
      <c r="EJ34" t="e">
        <f>'Technical Skills Weighting'!4727:4727-"`FU!`%"</f>
        <v>#VALUE!</v>
      </c>
      <c r="EK34" t="e">
        <f>'Technical Skills Weighting'!4728:4728-"`FU!`&amp;"</f>
        <v>#VALUE!</v>
      </c>
      <c r="EL34" t="e">
        <f>'Technical Skills Weighting'!4729:4729-"`FU!`'"</f>
        <v>#VALUE!</v>
      </c>
      <c r="EM34" t="e">
        <f>'Technical Skills Weighting'!4730:4730-"`FU!`("</f>
        <v>#VALUE!</v>
      </c>
      <c r="EN34" t="e">
        <f>'Technical Skills Weighting'!4731:4731-"`FU!`)"</f>
        <v>#VALUE!</v>
      </c>
      <c r="EO34" t="e">
        <f>'Technical Skills Weighting'!4732:4732-"`FU!`."</f>
        <v>#VALUE!</v>
      </c>
      <c r="EP34" t="e">
        <f>'Technical Skills Weighting'!4733:4733-"`FU!`/"</f>
        <v>#VALUE!</v>
      </c>
      <c r="EQ34" t="e">
        <f>'Technical Skills Weighting'!4734:4734-"`FU!`0"</f>
        <v>#VALUE!</v>
      </c>
      <c r="ER34" t="e">
        <f>'Technical Skills Weighting'!4735:4735-"`FU!`1"</f>
        <v>#VALUE!</v>
      </c>
      <c r="ES34" t="e">
        <f>'Technical Skills Weighting'!4736:4736-"`FU!`2"</f>
        <v>#VALUE!</v>
      </c>
      <c r="ET34" t="e">
        <f>'Technical Skills Weighting'!4737:4737-"`FU!`3"</f>
        <v>#VALUE!</v>
      </c>
      <c r="EU34" t="e">
        <f>'Technical Skills Weighting'!4738:4738-"`FU!`4"</f>
        <v>#VALUE!</v>
      </c>
      <c r="EV34" t="e">
        <f>'Technical Skills Weighting'!4739:4739-"`FU!`5"</f>
        <v>#VALUE!</v>
      </c>
      <c r="EW34" t="e">
        <f>'Technical Skills Weighting'!4740:4740-"`FU!`6"</f>
        <v>#VALUE!</v>
      </c>
      <c r="EX34" t="e">
        <f>'Technical Skills Weighting'!4741:4741-"`FU!`7"</f>
        <v>#VALUE!</v>
      </c>
      <c r="EY34" t="e">
        <f>'Technical Skills Weighting'!4742:4742-"`FU!`8"</f>
        <v>#VALUE!</v>
      </c>
      <c r="EZ34" t="e">
        <f>'Technical Skills Weighting'!4743:4743-"`FU!`9"</f>
        <v>#VALUE!</v>
      </c>
      <c r="FA34" t="e">
        <f>'Technical Skills Weighting'!4744:4744-"`FU!`:"</f>
        <v>#VALUE!</v>
      </c>
      <c r="FB34" t="e">
        <f>'Technical Skills Weighting'!4745:4745-"`FU!`;"</f>
        <v>#VALUE!</v>
      </c>
      <c r="FC34" t="e">
        <f>'Technical Skills Weighting'!4746:4746-"`FU!`&lt;"</f>
        <v>#VALUE!</v>
      </c>
      <c r="FD34" t="e">
        <f>'Technical Skills Weighting'!4747:4747-"`FU!`="</f>
        <v>#VALUE!</v>
      </c>
      <c r="FE34" t="e">
        <f>'Technical Skills Weighting'!4748:4748-"`FU!`&gt;"</f>
        <v>#VALUE!</v>
      </c>
      <c r="FF34" t="e">
        <f>'Technical Skills Weighting'!4749:4749-"`FU!`?"</f>
        <v>#VALUE!</v>
      </c>
      <c r="FG34" t="e">
        <f>'Technical Skills Weighting'!4750:4750-"`FU!`@"</f>
        <v>#VALUE!</v>
      </c>
      <c r="FH34" t="e">
        <f>'Technical Skills Weighting'!4751:4751-"`FU!`A"</f>
        <v>#VALUE!</v>
      </c>
      <c r="FI34" t="e">
        <f>'Technical Skills Weighting'!4752:4752-"`FU!`B"</f>
        <v>#VALUE!</v>
      </c>
      <c r="FJ34" t="e">
        <f>'Technical Skills Weighting'!4753:4753-"`FU!`C"</f>
        <v>#VALUE!</v>
      </c>
      <c r="FK34" t="e">
        <f>'Technical Skills Weighting'!4754:4754-"`FU!`D"</f>
        <v>#VALUE!</v>
      </c>
      <c r="FL34" t="e">
        <f>'Technical Skills Weighting'!4755:4755-"`FU!`E"</f>
        <v>#VALUE!</v>
      </c>
      <c r="FM34" t="e">
        <f>'Technical Skills Weighting'!4756:4756-"`FU!`F"</f>
        <v>#VALUE!</v>
      </c>
      <c r="FN34" t="e">
        <f>'Technical Skills Weighting'!4757:4757-"`FU!`G"</f>
        <v>#VALUE!</v>
      </c>
      <c r="FO34" t="e">
        <f>'Technical Skills Weighting'!4758:4758-"`FU!`H"</f>
        <v>#VALUE!</v>
      </c>
      <c r="FP34" t="e">
        <f>'Technical Skills Weighting'!4759:4759-"`FU!`I"</f>
        <v>#VALUE!</v>
      </c>
      <c r="FQ34" t="e">
        <f>'Technical Skills Weighting'!4760:4760-"`FU!`J"</f>
        <v>#VALUE!</v>
      </c>
      <c r="FR34" t="e">
        <f>'Technical Skills Weighting'!4761:4761-"`FU!`K"</f>
        <v>#VALUE!</v>
      </c>
      <c r="FS34" t="e">
        <f>'Technical Skills Weighting'!4762:4762-"`FU!`L"</f>
        <v>#VALUE!</v>
      </c>
      <c r="FT34" t="e">
        <f>'Technical Skills Weighting'!4763:4763-"`FU!`M"</f>
        <v>#VALUE!</v>
      </c>
      <c r="FU34" t="e">
        <f>'Technical Skills Weighting'!4764:4764-"`FU!`N"</f>
        <v>#VALUE!</v>
      </c>
      <c r="FV34" t="e">
        <f>'Technical Skills Weighting'!4765:4765-"`FU!`O"</f>
        <v>#VALUE!</v>
      </c>
      <c r="FW34" t="e">
        <f>'Technical Skills Weighting'!4766:4766-"`FU!`P"</f>
        <v>#VALUE!</v>
      </c>
      <c r="FX34" t="e">
        <f>'Technical Skills Weighting'!4767:4767-"`FU!`Q"</f>
        <v>#VALUE!</v>
      </c>
      <c r="FY34" t="e">
        <f>'Technical Skills Weighting'!4768:4768-"`FU!`R"</f>
        <v>#VALUE!</v>
      </c>
      <c r="FZ34" t="e">
        <f>'Technical Skills Weighting'!4769:4769-"`FU!`S"</f>
        <v>#VALUE!</v>
      </c>
      <c r="GA34" t="e">
        <f>'Technical Skills Weighting'!4770:4770-"`FU!`T"</f>
        <v>#VALUE!</v>
      </c>
      <c r="GB34" t="e">
        <f>'Technical Skills Weighting'!4771:4771-"`FU!`U"</f>
        <v>#VALUE!</v>
      </c>
      <c r="GC34" t="e">
        <f>'Technical Skills Weighting'!4772:4772-"`FU!`V"</f>
        <v>#VALUE!</v>
      </c>
      <c r="GD34" t="e">
        <f>'Technical Skills Weighting'!4773:4773-"`FU!`W"</f>
        <v>#VALUE!</v>
      </c>
      <c r="GE34" t="e">
        <f>'Technical Skills Weighting'!4774:4774-"`FU!`X"</f>
        <v>#VALUE!</v>
      </c>
      <c r="GF34" t="e">
        <f>'Technical Skills Weighting'!4775:4775-"`FU!`Y"</f>
        <v>#VALUE!</v>
      </c>
      <c r="GG34" t="e">
        <f>'Technical Skills Weighting'!4776:4776-"`FU!`Z"</f>
        <v>#VALUE!</v>
      </c>
      <c r="GH34" t="e">
        <f>'Technical Skills Weighting'!4777:4777-"`FU!`["</f>
        <v>#VALUE!</v>
      </c>
      <c r="GI34" t="e">
        <f>'Technical Skills Weighting'!4778:4778-"`FU!`\"</f>
        <v>#VALUE!</v>
      </c>
      <c r="GJ34" t="e">
        <f>'Technical Skills Weighting'!4779:4779-"`FU!`]"</f>
        <v>#VALUE!</v>
      </c>
      <c r="GK34" t="e">
        <f>'Technical Skills Weighting'!4780:4780-"`FU!`^"</f>
        <v>#VALUE!</v>
      </c>
      <c r="GL34" t="e">
        <f>'Technical Skills Weighting'!4781:4781-"`FU!`_"</f>
        <v>#VALUE!</v>
      </c>
      <c r="GM34" t="e">
        <f>'Technical Skills Weighting'!4782:4782-"`FU!``"</f>
        <v>#VALUE!</v>
      </c>
      <c r="GN34" t="e">
        <f>'Technical Skills Weighting'!4783:4783-"`FU!`a"</f>
        <v>#VALUE!</v>
      </c>
      <c r="GO34" t="e">
        <f>'Technical Skills Weighting'!4784:4784-"`FU!`b"</f>
        <v>#VALUE!</v>
      </c>
      <c r="GP34" t="e">
        <f>'Technical Skills Weighting'!4785:4785-"`FU!`c"</f>
        <v>#VALUE!</v>
      </c>
      <c r="GQ34" t="e">
        <f>'Technical Skills Weighting'!4786:4786-"`FU!`d"</f>
        <v>#VALUE!</v>
      </c>
      <c r="GR34" t="e">
        <f>'Technical Skills Weighting'!4787:4787-"`FU!`e"</f>
        <v>#VALUE!</v>
      </c>
      <c r="GS34" t="e">
        <f>'Technical Skills Weighting'!4788:4788-"`FU!`f"</f>
        <v>#VALUE!</v>
      </c>
      <c r="GT34" t="e">
        <f>'Technical Skills Weighting'!4789:4789-"`FU!`g"</f>
        <v>#VALUE!</v>
      </c>
      <c r="GU34" t="e">
        <f>'Technical Skills Weighting'!4790:4790-"`FU!`h"</f>
        <v>#VALUE!</v>
      </c>
      <c r="GV34" t="e">
        <f>'Technical Skills Weighting'!4791:4791-"`FU!`i"</f>
        <v>#VALUE!</v>
      </c>
      <c r="GW34" t="e">
        <f>'Technical Skills Weighting'!4792:4792-"`FU!`j"</f>
        <v>#VALUE!</v>
      </c>
      <c r="GX34" t="e">
        <f>'Technical Skills Weighting'!4793:4793-"`FU!`k"</f>
        <v>#VALUE!</v>
      </c>
      <c r="GY34" t="e">
        <f>'Technical Skills Weighting'!4794:4794-"`FU!`l"</f>
        <v>#VALUE!</v>
      </c>
      <c r="GZ34" t="e">
        <f>'Technical Skills Weighting'!4795:4795-"`FU!`m"</f>
        <v>#VALUE!</v>
      </c>
      <c r="HA34" t="e">
        <f>'Technical Skills Weighting'!4796:4796-"`FU!`n"</f>
        <v>#VALUE!</v>
      </c>
      <c r="HB34" t="e">
        <f>'Technical Skills Weighting'!4797:4797-"`FU!`o"</f>
        <v>#VALUE!</v>
      </c>
      <c r="HC34" t="e">
        <f>'Technical Skills Weighting'!4798:4798-"`FU!`p"</f>
        <v>#VALUE!</v>
      </c>
      <c r="HD34" t="e">
        <f>'Technical Skills Weighting'!4799:4799-"`FU!`q"</f>
        <v>#VALUE!</v>
      </c>
      <c r="HE34" t="e">
        <f>'Technical Skills Weighting'!4800:4800-"`FU!`r"</f>
        <v>#VALUE!</v>
      </c>
      <c r="HF34" t="e">
        <f>'Technical Skills Weighting'!4801:4801-"`FU!`s"</f>
        <v>#VALUE!</v>
      </c>
      <c r="HG34" t="e">
        <f>'Technical Skills Weighting'!4802:4802-"`FU!`t"</f>
        <v>#VALUE!</v>
      </c>
      <c r="HH34" t="e">
        <f>'Technical Skills Weighting'!4803:4803-"`FU!`u"</f>
        <v>#VALUE!</v>
      </c>
      <c r="HI34" t="e">
        <f>'Technical Skills Weighting'!4804:4804-"`FU!`v"</f>
        <v>#VALUE!</v>
      </c>
      <c r="HJ34" t="e">
        <f>'Technical Skills Weighting'!4805:4805-"`FU!`w"</f>
        <v>#VALUE!</v>
      </c>
      <c r="HK34" t="e">
        <f>'Technical Skills Weighting'!4806:4806-"`FU!`x"</f>
        <v>#VALUE!</v>
      </c>
      <c r="HL34" t="e">
        <f>'Technical Skills Weighting'!4807:4807-"`FU!`y"</f>
        <v>#VALUE!</v>
      </c>
      <c r="HM34" t="e">
        <f>'Technical Skills Weighting'!4808:4808-"`FU!`z"</f>
        <v>#VALUE!</v>
      </c>
      <c r="HN34" t="e">
        <f>'Technical Skills Weighting'!4809:4809-"`FU!`{"</f>
        <v>#VALUE!</v>
      </c>
      <c r="HO34" t="e">
        <f>'Technical Skills Weighting'!4810:4810-"`FU!`|"</f>
        <v>#VALUE!</v>
      </c>
      <c r="HP34" t="e">
        <f>'Technical Skills Weighting'!4811:4811-"`FU!`}"</f>
        <v>#VALUE!</v>
      </c>
      <c r="HQ34" t="e">
        <f>'Technical Skills Weighting'!4812:4812-"`FU!`~"</f>
        <v>#VALUE!</v>
      </c>
      <c r="HR34" t="e">
        <f>'Technical Skills Weighting'!4813:4813-"`FU!a#"</f>
        <v>#VALUE!</v>
      </c>
      <c r="HS34" t="e">
        <f>'Technical Skills Weighting'!4814:4814-"`FU!a$"</f>
        <v>#VALUE!</v>
      </c>
      <c r="HT34" t="e">
        <f>'Technical Skills Weighting'!4815:4815-"`FU!a%"</f>
        <v>#VALUE!</v>
      </c>
      <c r="HU34" t="e">
        <f>'Technical Skills Weighting'!4816:4816-"`FU!a&amp;"</f>
        <v>#VALUE!</v>
      </c>
      <c r="HV34" t="e">
        <f>'Technical Skills Weighting'!4817:4817-"`FU!a'"</f>
        <v>#VALUE!</v>
      </c>
      <c r="HW34" t="e">
        <f>'Technical Skills Weighting'!4818:4818-"`FU!a("</f>
        <v>#VALUE!</v>
      </c>
      <c r="HX34" t="e">
        <f>'Technical Skills Weighting'!4819:4819-"`FU!a)"</f>
        <v>#VALUE!</v>
      </c>
      <c r="HY34" t="e">
        <f>'Technical Skills Weighting'!4820:4820-"`FU!a."</f>
        <v>#VALUE!</v>
      </c>
      <c r="HZ34" t="e">
        <f>'Technical Skills Weighting'!4821:4821-"`FU!a/"</f>
        <v>#VALUE!</v>
      </c>
      <c r="IA34" t="e">
        <f>'Technical Skills Weighting'!4822:4822-"`FU!a0"</f>
        <v>#VALUE!</v>
      </c>
      <c r="IB34" t="e">
        <f>'Technical Skills Weighting'!4823:4823-"`FU!a1"</f>
        <v>#VALUE!</v>
      </c>
      <c r="IC34" t="e">
        <f>'Technical Skills Weighting'!4824:4824-"`FU!a2"</f>
        <v>#VALUE!</v>
      </c>
      <c r="ID34" t="e">
        <f>'Technical Skills Weighting'!4825:4825-"`FU!a3"</f>
        <v>#VALUE!</v>
      </c>
      <c r="IE34" t="e">
        <f>'Technical Skills Weighting'!4826:4826-"`FU!a4"</f>
        <v>#VALUE!</v>
      </c>
      <c r="IF34" t="e">
        <f>'Technical Skills Weighting'!4827:4827-"`FU!a5"</f>
        <v>#VALUE!</v>
      </c>
      <c r="IG34" t="e">
        <f>'Technical Skills Weighting'!4828:4828-"`FU!a6"</f>
        <v>#VALUE!</v>
      </c>
      <c r="IH34" t="e">
        <f>'Technical Skills Weighting'!4829:4829-"`FU!a7"</f>
        <v>#VALUE!</v>
      </c>
      <c r="II34" t="e">
        <f>'Technical Skills Weighting'!4830:4830-"`FU!a8"</f>
        <v>#VALUE!</v>
      </c>
      <c r="IJ34" t="e">
        <f>'Technical Skills Weighting'!4831:4831-"`FU!a9"</f>
        <v>#VALUE!</v>
      </c>
      <c r="IK34" t="e">
        <f>'Technical Skills Weighting'!4832:4832-"`FU!a:"</f>
        <v>#VALUE!</v>
      </c>
      <c r="IL34" t="e">
        <f>'Technical Skills Weighting'!4833:4833-"`FU!a;"</f>
        <v>#VALUE!</v>
      </c>
      <c r="IM34" t="e">
        <f>'Technical Skills Weighting'!4834:4834-"`FU!a&lt;"</f>
        <v>#VALUE!</v>
      </c>
      <c r="IN34" t="e">
        <f>'Technical Skills Weighting'!4835:4835-"`FU!a="</f>
        <v>#VALUE!</v>
      </c>
      <c r="IO34" t="e">
        <f>'Technical Skills Weighting'!4836:4836-"`FU!a&gt;"</f>
        <v>#VALUE!</v>
      </c>
      <c r="IP34" t="e">
        <f>'Technical Skills Weighting'!4837:4837-"`FU!a?"</f>
        <v>#VALUE!</v>
      </c>
      <c r="IQ34" t="e">
        <f>'Technical Skills Weighting'!#REF!+"`FU!a@"</f>
        <v>#REF!</v>
      </c>
      <c r="IR34" t="e">
        <f>'Technical Skills Weighting'!#REF!+"`FU!aA"</f>
        <v>#REF!</v>
      </c>
      <c r="IS34" t="e">
        <f>'Technical Skills Weighting'!#REF!+"`FU!aB"</f>
        <v>#REF!</v>
      </c>
      <c r="IT34" t="e">
        <f>'Technical Skills Weighting'!#REF!+"`FU!aC"</f>
        <v>#REF!</v>
      </c>
      <c r="IU34" t="e">
        <f>'Technical Skills Weighting'!#REF!+"`FU!aD"</f>
        <v>#REF!</v>
      </c>
      <c r="IV34" t="e">
        <f>'Technical Skills Weighting'!#REF!+"`FU!aE"</f>
        <v>#REF!</v>
      </c>
    </row>
    <row r="35" spans="6:256" x14ac:dyDescent="0.25">
      <c r="F35" t="e">
        <f>'Technical Skills Weighting'!#REF!+"`FU!aF"</f>
        <v>#REF!</v>
      </c>
      <c r="G35" t="e">
        <f>'Technical Skills Weighting'!#REF!+"`FU!aG"</f>
        <v>#REF!</v>
      </c>
      <c r="H35" t="e">
        <f>'Technical Skills Weighting'!#REF!+"`FU!aH"</f>
        <v>#REF!</v>
      </c>
      <c r="I35" t="e">
        <f>'Technical Skills Weighting'!#REF!+"`FU!aI"</f>
        <v>#REF!</v>
      </c>
      <c r="J35" t="e">
        <f>'Technical Skills Weighting'!#REF!+"`FU!aJ"</f>
        <v>#REF!</v>
      </c>
      <c r="K35" t="e">
        <f>'Technical Skills Weighting'!#REF!+"`FU!aK"</f>
        <v>#REF!</v>
      </c>
      <c r="L35" t="e">
        <f>'Technical Skills Weighting'!#REF!+"`FU!aL"</f>
        <v>#REF!</v>
      </c>
      <c r="M35" t="e">
        <f>'Technical Skills Weighting'!#REF!+"`FU!aM"</f>
        <v>#REF!</v>
      </c>
      <c r="N35" t="e">
        <f>'Technical Skills Weighting'!#REF!+"`FU!aN"</f>
        <v>#REF!</v>
      </c>
      <c r="O35" t="e">
        <f>'Technical Skills Weighting'!#REF!+"`FU!aO"</f>
        <v>#REF!</v>
      </c>
      <c r="P35" t="e">
        <f>'Technical Skills Weighting'!#REF!+"`FU!aP"</f>
        <v>#REF!</v>
      </c>
      <c r="Q35" t="e">
        <f>'Technical Skills Weighting'!#REF!+"`FU!aQ"</f>
        <v>#REF!</v>
      </c>
      <c r="R35" t="e">
        <f>'Technical Skills Weighting'!#REF!+"`FU!aR"</f>
        <v>#REF!</v>
      </c>
      <c r="S35" t="e">
        <f>'Technical Skills Weighting'!#REF!+"`FU!aS"</f>
        <v>#REF!</v>
      </c>
      <c r="T35" t="e">
        <f>'Technical Skills Weighting'!#REF!+"`FU!aT"</f>
        <v>#REF!</v>
      </c>
      <c r="U35" t="e">
        <f>'Technical Skills Weighting'!#REF!+"`FU!aU"</f>
        <v>#REF!</v>
      </c>
      <c r="V35" t="e">
        <f>'Technical Skills Weighting'!#REF!+"`FU!aV"</f>
        <v>#REF!</v>
      </c>
      <c r="W35" t="e">
        <f>'Technical Skills Weighting'!#REF!+"`FU!aW"</f>
        <v>#REF!</v>
      </c>
      <c r="X35" t="e">
        <f>'Technical Skills Weighting'!#REF!+"`FU!aX"</f>
        <v>#REF!</v>
      </c>
      <c r="Y35" t="e">
        <f>'Technical Skills Weighting'!#REF!+"`FU!aY"</f>
        <v>#REF!</v>
      </c>
      <c r="Z35" t="e">
        <f>'Technical Skills Weighting'!#REF!+"`FU!aZ"</f>
        <v>#REF!</v>
      </c>
      <c r="AA35" t="e">
        <f>'Technical Skills Weighting'!#REF!+"`FU!a["</f>
        <v>#REF!</v>
      </c>
      <c r="AB35" t="e">
        <f>'Technical Skills Weighting'!#REF!+"`FU!a\"</f>
        <v>#REF!</v>
      </c>
      <c r="AC35" t="e">
        <f>'Technical Skills Weighting'!#REF!+"`FU!a]"</f>
        <v>#REF!</v>
      </c>
      <c r="AD35" t="e">
        <f>'Technical Skills Weighting'!#REF!+"`FU!a^"</f>
        <v>#REF!</v>
      </c>
      <c r="AE35" t="e">
        <f>'Technical Skills Weighting'!#REF!+"`FU!a_"</f>
        <v>#REF!</v>
      </c>
      <c r="AF35" t="e">
        <f>'Technical Skills Weighting'!#REF!+"`FU!a`"</f>
        <v>#REF!</v>
      </c>
      <c r="AG35" t="e">
        <f>'Technical Skills Weighting'!#REF!+"`FU!aa"</f>
        <v>#REF!</v>
      </c>
      <c r="AH35" t="e">
        <f>'Technical Skills Weighting'!#REF!+"`FU!ab"</f>
        <v>#REF!</v>
      </c>
      <c r="AI35" t="e">
        <f>'Technical Skills Weighting'!#REF!+"`FU!ac"</f>
        <v>#REF!</v>
      </c>
      <c r="AJ35" t="e">
        <f>'Technical Skills Weighting'!#REF!+"`FU!ad"</f>
        <v>#REF!</v>
      </c>
      <c r="AK35" t="e">
        <f>'Technical Skills Weighting'!#REF!+"`FU!ae"</f>
        <v>#REF!</v>
      </c>
      <c r="AL35" t="e">
        <f>'Technical Skills Weighting'!#REF!+"`FU!af"</f>
        <v>#REF!</v>
      </c>
      <c r="AM35" t="e">
        <f>'Technical Skills Weighting'!#REF!+"`FU!ag"</f>
        <v>#REF!</v>
      </c>
      <c r="AN35" t="e">
        <f>'Technical Skills Weighting'!#REF!+"`FU!ah"</f>
        <v>#REF!</v>
      </c>
      <c r="AO35" t="e">
        <f>'Technical Skills Weighting'!#REF!+"`FU!ai"</f>
        <v>#REF!</v>
      </c>
      <c r="AP35" t="e">
        <f>'Technical Skills Weighting'!#REF!+"`FU!aj"</f>
        <v>#REF!</v>
      </c>
      <c r="AQ35" t="e">
        <f>'Technical Skills Weighting'!#REF!+"`FU!ak"</f>
        <v>#REF!</v>
      </c>
      <c r="AR35" t="e">
        <f>'Technical Skills Weighting'!#REF!+"`FU!al"</f>
        <v>#REF!</v>
      </c>
      <c r="AS35" t="e">
        <f>'Technical Skills Weighting'!#REF!+"`FU!am"</f>
        <v>#REF!</v>
      </c>
      <c r="AT35" t="e">
        <f>'Technical Skills Weighting'!#REF!+"`FU!an"</f>
        <v>#REF!</v>
      </c>
      <c r="AU35" t="e">
        <f>'Technical Skills Weighting'!#REF!+"`FU!ao"</f>
        <v>#REF!</v>
      </c>
      <c r="AV35" t="e">
        <f>'Technical Skills Weighting'!#REF!+"`FU!ap"</f>
        <v>#REF!</v>
      </c>
      <c r="AW35" t="e">
        <f>'Technical Skills Weighting'!#REF!+"`FU!aq"</f>
        <v>#REF!</v>
      </c>
      <c r="AX35" t="e">
        <f>'Technical Skills Weighting'!#REF!+"`FU!ar"</f>
        <v>#REF!</v>
      </c>
      <c r="AY35" t="e">
        <f>'Technical Skills Weighting'!#REF!+"`FU!as"</f>
        <v>#REF!</v>
      </c>
      <c r="AZ35" t="e">
        <f>'Technical Skills Weighting'!#REF!+"`FU!at"</f>
        <v>#REF!</v>
      </c>
      <c r="BA35" t="e">
        <f>'Technical Skills Weighting'!#REF!+"`FU!au"</f>
        <v>#REF!</v>
      </c>
      <c r="BB35" t="e">
        <f>'Technical Skills Weighting'!#REF!+"`FU!av"</f>
        <v>#REF!</v>
      </c>
      <c r="BC35" t="e">
        <f>'Technical Skills Weighting'!#REF!+"`FU!aw"</f>
        <v>#REF!</v>
      </c>
      <c r="BD35" t="e">
        <f>'Technical Skills Weighting'!#REF!+"`FU!ax"</f>
        <v>#REF!</v>
      </c>
      <c r="BE35" t="e">
        <f>'Technical Skills Weighting'!#REF!+"`FU!ay"</f>
        <v>#REF!</v>
      </c>
      <c r="BF35" t="e">
        <f>'Technical Skills Weighting'!#REF!+"`FU!az"</f>
        <v>#REF!</v>
      </c>
      <c r="BG35" t="e">
        <f>'Technical Skills Weighting'!#REF!+"`FU!a{"</f>
        <v>#REF!</v>
      </c>
      <c r="BH35" t="e">
        <f>'Technical Skills Weighting'!#REF!+"`FU!a|"</f>
        <v>#REF!</v>
      </c>
      <c r="BI35" t="e">
        <f>'Technical Skills Weighting'!#REF!+"`FU!a}"</f>
        <v>#REF!</v>
      </c>
      <c r="BJ35" t="e">
        <f>'Technical Skills Weighting'!#REF!+"`FU!a~"</f>
        <v>#REF!</v>
      </c>
      <c r="BK35" t="e">
        <f>'Technical Skills Weighting'!#REF!+"`FU!b#"</f>
        <v>#REF!</v>
      </c>
      <c r="BL35" t="e">
        <f>'Technical Skills Weighting'!#REF!+"`FU!b$"</f>
        <v>#REF!</v>
      </c>
      <c r="BM35" t="e">
        <f>'Technical Skills Weighting'!#REF!+"`FU!b%"</f>
        <v>#REF!</v>
      </c>
      <c r="BN35" t="e">
        <f>'Technical Skills Weighting'!#REF!+"`FU!b&amp;"</f>
        <v>#REF!</v>
      </c>
      <c r="BO35" t="e">
        <f>'Technical Skills Weighting'!#REF!+"`FU!b'"</f>
        <v>#REF!</v>
      </c>
      <c r="BP35" t="e">
        <f>'Technical Skills Weighting'!#REF!+"`FU!b("</f>
        <v>#REF!</v>
      </c>
      <c r="BQ35" t="e">
        <f>'Technical Skills Weighting'!#REF!+"`FU!b)"</f>
        <v>#REF!</v>
      </c>
      <c r="BR35" t="e">
        <f>'Technical Skills Weighting'!#REF!+"`FU!b."</f>
        <v>#REF!</v>
      </c>
      <c r="BS35" t="e">
        <f>'Technical Skills Weighting'!#REF!+"`FU!b/"</f>
        <v>#REF!</v>
      </c>
      <c r="BT35" t="e">
        <f>'Technical Skills Weighting'!#REF!+"`FU!b0"</f>
        <v>#REF!</v>
      </c>
      <c r="BU35" t="e">
        <f>'Technical Skills Weighting'!#REF!+"`FU!b1"</f>
        <v>#REF!</v>
      </c>
      <c r="BV35" t="e">
        <f>'Technical Skills Weighting'!#REF!+"`FU!b2"</f>
        <v>#REF!</v>
      </c>
      <c r="BW35" t="e">
        <f>'Technical Skills Weighting'!#REF!+"`FU!b3"</f>
        <v>#REF!</v>
      </c>
      <c r="BX35" t="e">
        <f>'Technical Skills Weighting'!#REF!+"`FU!b4"</f>
        <v>#REF!</v>
      </c>
      <c r="BY35" t="e">
        <f>'Technical Skills Weighting'!#REF!+"`FU!b5"</f>
        <v>#REF!</v>
      </c>
      <c r="BZ35" t="e">
        <f>'Technical Skills Weighting'!#REF!+"`FU!b6"</f>
        <v>#REF!</v>
      </c>
      <c r="CA35" t="e">
        <f>'Technical Skills Weighting'!#REF!+"`FU!b7"</f>
        <v>#REF!</v>
      </c>
      <c r="CB35" t="e">
        <f>'Technical Skills Weighting'!#REF!+"`FU!b8"</f>
        <v>#REF!</v>
      </c>
      <c r="CC35" t="e">
        <f>'Technical Skills Weighting'!#REF!+"`FU!b9"</f>
        <v>#REF!</v>
      </c>
      <c r="CD35" t="e">
        <f>'Technical Skills Weighting'!#REF!+"`FU!b:"</f>
        <v>#REF!</v>
      </c>
      <c r="CE35" t="e">
        <f>'Technical Skills Weighting'!#REF!+"`FU!b;"</f>
        <v>#REF!</v>
      </c>
      <c r="CF35" t="e">
        <f>'Technical Skills Weighting'!#REF!+"`FU!b&lt;"</f>
        <v>#REF!</v>
      </c>
      <c r="CG35" t="e">
        <f>'Technical Skills Weighting'!#REF!+"`FU!b="</f>
        <v>#REF!</v>
      </c>
      <c r="CH35" t="e">
        <f>'Technical Skills Weighting'!#REF!+"`FU!b&gt;"</f>
        <v>#REF!</v>
      </c>
      <c r="CI35" t="e">
        <f>'Technical Skills Weighting'!#REF!+"`FU!b?"</f>
        <v>#REF!</v>
      </c>
      <c r="CJ35" t="e">
        <f>'Technical Skills Weighting'!#REF!+"`FU!b@"</f>
        <v>#REF!</v>
      </c>
      <c r="CK35" t="e">
        <f>'Technical Skills Weighting'!#REF!+"`FU!bA"</f>
        <v>#REF!</v>
      </c>
      <c r="CL35" t="e">
        <f>'Technical Skills Weighting'!#REF!+"`FU!bB"</f>
        <v>#REF!</v>
      </c>
      <c r="CM35" t="e">
        <f>'Technical Skills Weighting'!#REF!+"`FU!bC"</f>
        <v>#REF!</v>
      </c>
      <c r="CN35" t="e">
        <f>'Technical Skills Weighting'!#REF!+"`FU!bD"</f>
        <v>#REF!</v>
      </c>
      <c r="CO35" t="e">
        <f>'Technical Skills Weighting'!#REF!+"`FU!bE"</f>
        <v>#REF!</v>
      </c>
      <c r="CP35" t="e">
        <f>'Technical Skills Weighting'!#REF!+"`FU!bF"</f>
        <v>#REF!</v>
      </c>
      <c r="CQ35" t="e">
        <f>'Technical Skills Weighting'!#REF!+"`FU!bG"</f>
        <v>#REF!</v>
      </c>
      <c r="CR35" t="e">
        <f>'Technical Skills Weighting'!#REF!+"`FU!bH"</f>
        <v>#REF!</v>
      </c>
      <c r="CS35" t="e">
        <f>'Technical Skills Weighting'!#REF!+"`FU!bI"</f>
        <v>#REF!</v>
      </c>
      <c r="CT35" t="e">
        <f>'Technical Skills Weighting'!#REF!+"`FU!bJ"</f>
        <v>#REF!</v>
      </c>
      <c r="CU35" t="e">
        <f>'Technical Skills Weighting'!#REF!+"`FU!bK"</f>
        <v>#REF!</v>
      </c>
      <c r="CV35" t="e">
        <f>'Technical Skills Weighting'!#REF!+"`FU!bL"</f>
        <v>#REF!</v>
      </c>
      <c r="CW35" t="e">
        <f>'Technical Skills Weighting'!#REF!+"`FU!bM"</f>
        <v>#REF!</v>
      </c>
      <c r="CX35" t="e">
        <f>'Technical Skills Weighting'!#REF!+"`FU!bN"</f>
        <v>#REF!</v>
      </c>
      <c r="CY35" t="e">
        <f>'Technical Skills Weighting'!#REF!+"`FU!bO"</f>
        <v>#REF!</v>
      </c>
      <c r="CZ35" t="e">
        <f>'Technical Skills Weighting'!#REF!+"`FU!bP"</f>
        <v>#REF!</v>
      </c>
      <c r="DA35" t="e">
        <f>'Technical Skills Weighting'!#REF!+"`FU!bQ"</f>
        <v>#REF!</v>
      </c>
      <c r="DB35" t="e">
        <f>'Technical Skills Weighting'!#REF!+"`FU!bR"</f>
        <v>#REF!</v>
      </c>
      <c r="DC35" t="e">
        <f>'Technical Skills Weighting'!#REF!+"`FU!bS"</f>
        <v>#REF!</v>
      </c>
      <c r="DD35" t="e">
        <f>'Technical Skills Weighting'!#REF!+"`FU!bT"</f>
        <v>#REF!</v>
      </c>
      <c r="DE35" t="e">
        <f>'Technical Skills Weighting'!#REF!+"`FU!bU"</f>
        <v>#REF!</v>
      </c>
      <c r="DF35" t="e">
        <f>'Technical Skills Weighting'!#REF!+"`FU!bV"</f>
        <v>#REF!</v>
      </c>
      <c r="DG35" t="e">
        <f>'Technical Skills Weighting'!#REF!+"`FU!bW"</f>
        <v>#REF!</v>
      </c>
      <c r="DH35" t="e">
        <f>'Technical Skills Weighting'!#REF!+"`FU!bX"</f>
        <v>#REF!</v>
      </c>
      <c r="DI35" t="e">
        <f>'Technical Skills Weighting'!#REF!+"`FU!bY"</f>
        <v>#REF!</v>
      </c>
      <c r="DJ35" t="e">
        <f>'Technical Skills Weighting'!#REF!+"`FU!bZ"</f>
        <v>#REF!</v>
      </c>
      <c r="DK35" t="e">
        <f>'Technical Skills Weighting'!#REF!+"`FU!b["</f>
        <v>#REF!</v>
      </c>
      <c r="DL35" t="e">
        <f>'Technical Skills Weighting'!#REF!+"`FU!b\"</f>
        <v>#REF!</v>
      </c>
      <c r="DM35" t="e">
        <f>'Technical Skills Weighting'!#REF!+"`FU!b]"</f>
        <v>#REF!</v>
      </c>
      <c r="DN35" t="e">
        <f>'Technical Skills Weighting'!#REF!+"`FU!b^"</f>
        <v>#REF!</v>
      </c>
      <c r="DO35" t="e">
        <f>'Technical Skills Weighting'!#REF!+"`FU!b_"</f>
        <v>#REF!</v>
      </c>
      <c r="DP35" t="e">
        <f>'Technical Skills Weighting'!#REF!+"`FU!b`"</f>
        <v>#REF!</v>
      </c>
      <c r="DQ35" t="e">
        <f>'Technical Skills Weighting'!#REF!+"`FU!ba"</f>
        <v>#REF!</v>
      </c>
      <c r="DR35" t="e">
        <f>'Technical Skills Weighting'!#REF!+"`FU!bb"</f>
        <v>#REF!</v>
      </c>
      <c r="DS35" t="e">
        <f>'Technical Skills Weighting'!#REF!+"`FU!bc"</f>
        <v>#REF!</v>
      </c>
      <c r="DT35" t="e">
        <f>'Technical Skills Weighting'!#REF!+"`FU!bd"</f>
        <v>#REF!</v>
      </c>
      <c r="DU35" t="e">
        <f>'Technical Skills Weighting'!#REF!+"`FU!be"</f>
        <v>#REF!</v>
      </c>
      <c r="DV35" t="e">
        <f>'Technical Skills Weighting'!#REF!+"`FU!bf"</f>
        <v>#REF!</v>
      </c>
      <c r="DW35" t="e">
        <f>'Technical Skills Weighting'!#REF!+"`FU!bg"</f>
        <v>#REF!</v>
      </c>
      <c r="DX35" t="e">
        <f>'Technical Skills Weighting'!#REF!+"`FU!bh"</f>
        <v>#REF!</v>
      </c>
      <c r="DY35" t="e">
        <f>'Technical Skills Weighting'!#REF!+"`FU!bi"</f>
        <v>#REF!</v>
      </c>
      <c r="DZ35" t="e">
        <f>'Technical Skills Weighting'!#REF!+"`FU!bj"</f>
        <v>#REF!</v>
      </c>
      <c r="EA35" t="e">
        <f>'Technical Skills Weighting'!#REF!+"`FU!bk"</f>
        <v>#REF!</v>
      </c>
      <c r="EB35" t="e">
        <f>'Technical Skills Weighting'!#REF!+"`FU!bl"</f>
        <v>#REF!</v>
      </c>
      <c r="EC35" t="e">
        <f>'Technical Skills Weighting'!#REF!+"`FU!bm"</f>
        <v>#REF!</v>
      </c>
      <c r="ED35" t="e">
        <f>'Technical Skills Weighting'!#REF!+"`FU!bn"</f>
        <v>#REF!</v>
      </c>
      <c r="EE35" t="e">
        <f>'Technical Skills Weighting'!#REF!+"`FU!bo"</f>
        <v>#REF!</v>
      </c>
      <c r="EF35" t="e">
        <f>'Technical Skills Weighting'!#REF!+"`FU!bp"</f>
        <v>#REF!</v>
      </c>
      <c r="EG35" t="e">
        <f>'Technical Skills Weighting'!#REF!+"`FU!bq"</f>
        <v>#REF!</v>
      </c>
      <c r="EH35" t="e">
        <f>'Technical Skills Weighting'!C11+"`FU!br"</f>
        <v>#VALUE!</v>
      </c>
      <c r="EI35" t="e">
        <f>'Technical Skills Weighting'!C12+"`FU!bs"</f>
        <v>#VALUE!</v>
      </c>
      <c r="EJ35" t="e">
        <f>'Technical Skills Weighting'!C13+"`FU!bt"</f>
        <v>#VALUE!</v>
      </c>
      <c r="EK35" t="e">
        <f>'Technical Skills Weighting'!C14+"`FU!bu"</f>
        <v>#VALUE!</v>
      </c>
      <c r="EL35" t="e">
        <f>'Technical Skills Weighting'!C15+"`FU!bv"</f>
        <v>#VALUE!</v>
      </c>
      <c r="EM35" t="e">
        <f>'Technical Skills Weighting'!C16+"`FU!bw"</f>
        <v>#VALUE!</v>
      </c>
      <c r="EN35" t="e">
        <f>'Technical Skills Weighting'!C17+"`FU!bx"</f>
        <v>#VALUE!</v>
      </c>
      <c r="EO35" t="e">
        <f>'Technical Skills Weighting'!C18+"`FU!by"</f>
        <v>#VALUE!</v>
      </c>
      <c r="EP35" t="e">
        <f>'Technical Skills Weighting'!C19+"`FU!bz"</f>
        <v>#VALUE!</v>
      </c>
      <c r="EQ35" t="e">
        <f>'Technical Skills Weighting'!C20+"`FU!b{"</f>
        <v>#VALUE!</v>
      </c>
      <c r="ER35" t="e">
        <f>'Technical Skills Weighting'!C21+"`FU!b|"</f>
        <v>#VALUE!</v>
      </c>
      <c r="ES35" t="e">
        <f>'Technical Skills Weighting'!C22+"`FU!b}"</f>
        <v>#VALUE!</v>
      </c>
      <c r="ET35" t="e">
        <f>'Technical Skills Weighting'!C23+"`FU!b~"</f>
        <v>#VALUE!</v>
      </c>
      <c r="EU35" t="e">
        <f>'Technical Skills Weighting'!C24+"`FU!c#"</f>
        <v>#VALUE!</v>
      </c>
      <c r="EV35" t="e">
        <f>'Technical Skills Weighting'!C25+"`FU!c$"</f>
        <v>#VALUE!</v>
      </c>
      <c r="EW35" t="e">
        <f>'Technical Skills Weighting'!C26+"`FU!c%"</f>
        <v>#VALUE!</v>
      </c>
      <c r="EX35" t="e">
        <f>'Technical Skills Weighting'!C27+"`FU!c&amp;"</f>
        <v>#VALUE!</v>
      </c>
      <c r="EY35" t="e">
        <f>'Technical Skills Weighting'!C28+"`FU!c'"</f>
        <v>#VALUE!</v>
      </c>
      <c r="EZ35" t="e">
        <f>'Technical Skills Weighting'!C29+"`FU!c("</f>
        <v>#VALUE!</v>
      </c>
      <c r="FA35" t="e">
        <f>'Technical Skills Weighting'!C30+"`FU!c)"</f>
        <v>#VALUE!</v>
      </c>
      <c r="FB35" t="e">
        <f>'Technical Skills Weighting'!C31+"`FU!c."</f>
        <v>#VALUE!</v>
      </c>
      <c r="FC35" t="e">
        <f>'Technical Skills Weighting'!C32+"`FU!c/"</f>
        <v>#VALUE!</v>
      </c>
      <c r="FD35" t="e">
        <f>'Technical Skills Weighting'!C33+"`FU!c0"</f>
        <v>#VALUE!</v>
      </c>
      <c r="FE35" t="e">
        <f>'Technical Skills Weighting'!C34+"`FU!c1"</f>
        <v>#VALUE!</v>
      </c>
      <c r="FF35" t="e">
        <f>'Technical Skills Weighting'!C35+"`FU!c2"</f>
        <v>#VALUE!</v>
      </c>
      <c r="FG35" t="e">
        <f>'Technical Skills Weighting'!C36+"`FU!c3"</f>
        <v>#VALUE!</v>
      </c>
      <c r="FH35" t="e">
        <f>'Technical Skills Weighting'!C38+"`FU!c4"</f>
        <v>#VALUE!</v>
      </c>
      <c r="FI35" t="e">
        <f>'Technical Skills Weighting'!C37+"`FU!c5"</f>
        <v>#VALUE!</v>
      </c>
      <c r="FJ35" t="e">
        <f>'Technical Skills Weighting'!C39+"`FU!c6"</f>
        <v>#VALUE!</v>
      </c>
      <c r="FK35" t="e">
        <f>'Technical Skills Weighting'!C40+"`FU!c7"</f>
        <v>#VALUE!</v>
      </c>
      <c r="FL35" t="e">
        <f>'Technical Skills Weighting'!C41+"`FU!c8"</f>
        <v>#VALUE!</v>
      </c>
      <c r="FM35" t="e">
        <f>'Technical Skills Weighting'!C42+"`FU!c9"</f>
        <v>#VALUE!</v>
      </c>
      <c r="FN35" t="e">
        <f>'Technical Skills Weighting'!C43+"`FU!c:"</f>
        <v>#VALUE!</v>
      </c>
      <c r="FO35" t="e">
        <f>'Technical Skills Weighting'!C44+"`FU!c;"</f>
        <v>#VALUE!</v>
      </c>
      <c r="FP35" t="e">
        <f>'Technical Skills Weighting'!C45+"`FU!c&lt;"</f>
        <v>#VALUE!</v>
      </c>
      <c r="FQ35" t="e">
        <f>'Technical Skills Weighting'!C46+"`FU!c="</f>
        <v>#VALUE!</v>
      </c>
      <c r="FR35" t="e">
        <f>'Technical Skills Weighting'!C47+"`FU!c&gt;"</f>
        <v>#VALUE!</v>
      </c>
      <c r="FS35" t="e">
        <f>'Technical Skills Weighting'!C48+"`FU!c?"</f>
        <v>#VALUE!</v>
      </c>
      <c r="FT35" t="e">
        <f>'Technical Skills Weighting'!C49+"`FU!c@"</f>
        <v>#VALUE!</v>
      </c>
      <c r="FU35" t="e">
        <f>'Technical Skills Weighting'!C50+"`FU!cA"</f>
        <v>#VALUE!</v>
      </c>
      <c r="FV35" t="e">
        <f>'Technical Skills Weighting'!C51+"`FU!cB"</f>
        <v>#VALUE!</v>
      </c>
      <c r="FW35" t="e">
        <f>'Technical Skills Weighting'!C52+"`FU!cC"</f>
        <v>#VALUE!</v>
      </c>
      <c r="FX35" t="e">
        <f>'Technical Skills Weighting'!C53+"`FU!cD"</f>
        <v>#VALUE!</v>
      </c>
      <c r="FY35" t="e">
        <f>'Technical Skills Weighting'!#REF!+"`FU!cE"</f>
        <v>#REF!</v>
      </c>
      <c r="FZ35" t="e">
        <f>'Technical Skills Weighting'!#REF!+"`FU!cF"</f>
        <v>#REF!</v>
      </c>
      <c r="GA35" t="e">
        <f>'Technical Skills Weighting'!#REF!+"`FU!cG"</f>
        <v>#REF!</v>
      </c>
      <c r="GB35" t="e">
        <f>'Technical Skills Weighting'!F2+"`FU!cH"</f>
        <v>#VALUE!</v>
      </c>
      <c r="GC35" t="e">
        <f>'Technical Skills Weighting'!G2+"`FU!cI"</f>
        <v>#VALUE!</v>
      </c>
      <c r="GD35" t="e">
        <f>'Technical Skills Weighting'!H2+"`FU!cJ"</f>
        <v>#VALUE!</v>
      </c>
      <c r="GE35" t="e">
        <f>'Technical Skills Weighting'!I2+"`FU!cK"</f>
        <v>#VALUE!</v>
      </c>
      <c r="GF35" t="e">
        <f>'Technical Skills Weighting'!J2+"`FU!cL"</f>
        <v>#VALUE!</v>
      </c>
      <c r="GG35" t="e">
        <f>'Technical Skills Weighting'!K2+"`FU!cM"</f>
        <v>#VALUE!</v>
      </c>
      <c r="GH35" t="e">
        <f>'Technical Skills Weighting'!L2+"`FU!cN"</f>
        <v>#VALUE!</v>
      </c>
      <c r="GI35" t="e">
        <f>'Technical Skills Weighting'!M2+"`FU!cO"</f>
        <v>#VALUE!</v>
      </c>
      <c r="GJ35" t="e">
        <f>'Technical Skills Weighting'!N2+"`FU!cP"</f>
        <v>#VALUE!</v>
      </c>
      <c r="GK35" t="e">
        <f>'Technical Skills Weighting'!O2+"`FU!cQ"</f>
        <v>#VALUE!</v>
      </c>
      <c r="GL35" t="e">
        <f>'Technical Skills Weighting'!P2+"`FU!cR"</f>
        <v>#VALUE!</v>
      </c>
      <c r="GM35" t="e">
        <f>'Technical Skills Weighting'!Q2+"`FU!cS"</f>
        <v>#VALUE!</v>
      </c>
      <c r="GN35" t="e">
        <f>'Technical Skills Weighting'!R2+"`FU!cT"</f>
        <v>#VALUE!</v>
      </c>
      <c r="GO35" t="e">
        <f>'Technical Skills Weighting'!S2+"`FU!cU"</f>
        <v>#VALUE!</v>
      </c>
      <c r="GP35" t="e">
        <f>'Technical Skills Weighting'!T2+"`FU!cV"</f>
        <v>#VALUE!</v>
      </c>
      <c r="GQ35" t="e">
        <f>'Technical Skills Weighting'!U2+"`FU!cW"</f>
        <v>#VALUE!</v>
      </c>
      <c r="GR35" t="e">
        <f>'Technical Skills Weighting'!V2+"`FU!cX"</f>
        <v>#VALUE!</v>
      </c>
      <c r="GS35" t="e">
        <f>'Technical Skills Weighting'!W2+"`FU!cY"</f>
        <v>#VALUE!</v>
      </c>
      <c r="GT35" t="e">
        <f>'Technical Skills Weighting'!X2+"`FU!cZ"</f>
        <v>#VALUE!</v>
      </c>
      <c r="GU35" t="e">
        <f>'Technical Skills Weighting'!Y2+"`FU!c["</f>
        <v>#VALUE!</v>
      </c>
      <c r="GV35" t="e">
        <f>'Technical Skills Weighting'!Z2+"`FU!c\"</f>
        <v>#VALUE!</v>
      </c>
      <c r="GW35" t="e">
        <f>'Technical Skills Weighting'!AA2+"`FU!c]"</f>
        <v>#VALUE!</v>
      </c>
      <c r="GX35" t="e">
        <f>'Technical Skills Weighting'!AB2+"`FU!c^"</f>
        <v>#VALUE!</v>
      </c>
      <c r="GY35" t="e">
        <f>'Technical Skills Weighting'!AC2+"`FU!c_"</f>
        <v>#VALUE!</v>
      </c>
      <c r="GZ35" t="e">
        <f>'Technical Skills Weighting'!AD2+"`FU!c`"</f>
        <v>#VALUE!</v>
      </c>
      <c r="HA35" t="e">
        <f>'Technical Skills Weighting'!AE2+"`FU!ca"</f>
        <v>#VALUE!</v>
      </c>
      <c r="HB35" t="e">
        <f>'Technical Skills Weighting'!AF2+"`FU!cb"</f>
        <v>#VALUE!</v>
      </c>
      <c r="HC35" t="e">
        <f>'Technical Skills Weighting'!AG2+"`FU!cc"</f>
        <v>#VALUE!</v>
      </c>
      <c r="HD35" t="e">
        <f>'Technical Skills Weighting'!AH2+"`FU!cd"</f>
        <v>#VALUE!</v>
      </c>
      <c r="HE35" t="e">
        <f>'Technical Skills Weighting'!AI2+"`FU!ce"</f>
        <v>#VALUE!</v>
      </c>
      <c r="HF35" t="e">
        <f>'Technical Skills Weighting'!AJ2+"`FU!cf"</f>
        <v>#VALUE!</v>
      </c>
      <c r="HG35" t="e">
        <f>'Technical Skills Weighting'!AK2+"`FU!cg"</f>
        <v>#VALUE!</v>
      </c>
      <c r="HH35" t="e">
        <f>'Technical Skills Weighting'!AL2+"`FU!ch"</f>
        <v>#VALUE!</v>
      </c>
      <c r="HI35" t="e">
        <f>'Technical Skills Weighting'!AM2+"`FU!ci"</f>
        <v>#VALUE!</v>
      </c>
      <c r="HJ35" t="e">
        <f>'Technical Skills Weighting'!AN2+"`FU!cj"</f>
        <v>#VALUE!</v>
      </c>
      <c r="HK35" t="e">
        <f>'Technical Skills Weighting'!AO2+"`FU!ck"</f>
        <v>#VALUE!</v>
      </c>
      <c r="HL35" t="e">
        <f>'Technical Skills Weighting'!AP2+"`FU!cl"</f>
        <v>#VALUE!</v>
      </c>
      <c r="HM35" t="e">
        <f>'Technical Skills Weighting'!AQ2+"`FU!cm"</f>
        <v>#VALUE!</v>
      </c>
      <c r="HN35" t="e">
        <f>'Technical Skills Weighting'!AR2+"`FU!cn"</f>
        <v>#VALUE!</v>
      </c>
      <c r="HO35" t="e">
        <f>'Technical Skills Weighting'!AS2+"`FU!co"</f>
        <v>#VALUE!</v>
      </c>
      <c r="HP35" t="e">
        <f>'Technical Skills Weighting'!AT2+"`FU!cp"</f>
        <v>#VALUE!</v>
      </c>
      <c r="HQ35" t="e">
        <f>'Technical Skills Weighting'!AU2+"`FU!cq"</f>
        <v>#VALUE!</v>
      </c>
      <c r="HR35" t="e">
        <f>'Technical Skills Weighting'!AV2+"`FU!cr"</f>
        <v>#VALUE!</v>
      </c>
      <c r="HS35" t="e">
        <f>'Technical Skills Weighting'!AW2+"`FU!cs"</f>
        <v>#VALUE!</v>
      </c>
      <c r="HT35" t="e">
        <f>'Technical Skills Weighting'!AX2+"`FU!ct"</f>
        <v>#VALUE!</v>
      </c>
      <c r="HU35" t="e">
        <f>'Technical Skills Weighting'!AY2+"`FU!cu"</f>
        <v>#VALUE!</v>
      </c>
      <c r="HV35" t="e">
        <f>'Technical Skills Weighting'!AZ2+"`FU!cv"</f>
        <v>#VALUE!</v>
      </c>
      <c r="HW35" t="e">
        <f>'Technical Skills Weighting'!BA2+"`FU!cw"</f>
        <v>#VALUE!</v>
      </c>
      <c r="HX35" t="e">
        <f>'Technical Skills Weighting'!BB2+"`FU!cx"</f>
        <v>#VALUE!</v>
      </c>
      <c r="HY35" t="e">
        <f>'Technical Skills Weighting'!BC2+"`FU!cy"</f>
        <v>#VALUE!</v>
      </c>
      <c r="HZ35" t="e">
        <f>'Technical Skills Weighting'!BD2+"`FU!cz"</f>
        <v>#VALUE!</v>
      </c>
      <c r="IA35" t="e">
        <f>'Technical Skills Weighting'!BE2+"`FU!c{"</f>
        <v>#VALUE!</v>
      </c>
      <c r="IB35" t="e">
        <f>'Technical Skills Weighting'!BF2+"`FU!c|"</f>
        <v>#VALUE!</v>
      </c>
      <c r="IC35" t="e">
        <f>'Technical Skills Weighting'!BG2+"`FU!c}"</f>
        <v>#VALUE!</v>
      </c>
      <c r="ID35" t="e">
        <f>'Technical Skills Weighting'!BH2+"`FU!c~"</f>
        <v>#VALUE!</v>
      </c>
      <c r="IE35" t="e">
        <f>'Technical Skills Weighting'!BI2+"`FU!d#"</f>
        <v>#VALUE!</v>
      </c>
      <c r="IF35" t="e">
        <f>'Technical Skills Weighting'!BJ2+"`FU!d$"</f>
        <v>#VALUE!</v>
      </c>
      <c r="IG35" t="e">
        <f>'Technical Skills Weighting'!BK2+"`FU!d%"</f>
        <v>#VALUE!</v>
      </c>
      <c r="IH35" t="e">
        <f>'Technical Skills Weighting'!BL2+"`FU!d&amp;"</f>
        <v>#VALUE!</v>
      </c>
      <c r="II35" t="e">
        <f>'Technical Skills Weighting'!BM2+"`FU!d'"</f>
        <v>#VALUE!</v>
      </c>
      <c r="IJ35" t="e">
        <f>'Technical Skills Weighting'!BN2+"`FU!d("</f>
        <v>#VALUE!</v>
      </c>
      <c r="IK35" t="e">
        <f>'Technical Skills Weighting'!BO2+"`FU!d)"</f>
        <v>#VALUE!</v>
      </c>
      <c r="IL35" t="e">
        <f>'Technical Skills Weighting'!BP2+"`FU!d."</f>
        <v>#VALUE!</v>
      </c>
      <c r="IM35" t="e">
        <f>'Technical Skills Weighting'!BQ2+"`FU!d/"</f>
        <v>#VALUE!</v>
      </c>
      <c r="IN35" t="e">
        <f>'Technical Skills Weighting'!BR2+"`FU!d0"</f>
        <v>#VALUE!</v>
      </c>
      <c r="IO35" t="e">
        <f>'Technical Skills Weighting'!BS2+"`FU!d1"</f>
        <v>#VALUE!</v>
      </c>
      <c r="IP35" t="e">
        <f>'Technical Skills Weighting'!BT2+"`FU!d2"</f>
        <v>#VALUE!</v>
      </c>
      <c r="IQ35" t="e">
        <f>'Technical Skills Weighting'!BU2+"`FU!d3"</f>
        <v>#VALUE!</v>
      </c>
      <c r="IR35" t="e">
        <f>'Technical Skills Weighting'!BV2+"`FU!d4"</f>
        <v>#VALUE!</v>
      </c>
      <c r="IS35" t="e">
        <f>'Technical Skills Weighting'!BW2+"`FU!d5"</f>
        <v>#VALUE!</v>
      </c>
      <c r="IT35" t="e">
        <f>'Technical Skills Weighting'!BX2+"`FU!d6"</f>
        <v>#VALUE!</v>
      </c>
      <c r="IU35" t="e">
        <f>'Technical Skills Weighting'!BY2+"`FU!d7"</f>
        <v>#VALUE!</v>
      </c>
      <c r="IV35" t="e">
        <f>'Technical Skills Weighting'!BZ2+"`FU!d8"</f>
        <v>#VALUE!</v>
      </c>
    </row>
    <row r="36" spans="6:256" x14ac:dyDescent="0.25">
      <c r="F36" t="e">
        <f>'Technical Skills Weighting'!CA2+"`FU!d9"</f>
        <v>#VALUE!</v>
      </c>
      <c r="G36" t="e">
        <f>'Technical Skills Weighting'!CB2+"`FU!d:"</f>
        <v>#VALUE!</v>
      </c>
      <c r="H36" t="e">
        <f>'Technical Skills Weighting'!CC2+"`FU!d;"</f>
        <v>#VALUE!</v>
      </c>
      <c r="I36" t="e">
        <f>'Technical Skills Weighting'!CD2+"`FU!d&lt;"</f>
        <v>#VALUE!</v>
      </c>
      <c r="J36" t="e">
        <f>'Technical Skills Weighting'!CE2+"`FU!d="</f>
        <v>#VALUE!</v>
      </c>
      <c r="K36" t="e">
        <f>'Technical Skills Weighting'!CF2+"`FU!d&gt;"</f>
        <v>#VALUE!</v>
      </c>
      <c r="L36" t="e">
        <f>'Technical Skills Weighting'!CG2+"`FU!d?"</f>
        <v>#VALUE!</v>
      </c>
      <c r="M36" t="e">
        <f>'Technical Skills Weighting'!CH2+"`FU!d@"</f>
        <v>#VALUE!</v>
      </c>
      <c r="N36" t="e">
        <f>'Technical Skills Weighting'!CI2+"`FU!dA"</f>
        <v>#VALUE!</v>
      </c>
      <c r="O36" t="e">
        <f>'Technical Skills Weighting'!CJ2+"`FU!dB"</f>
        <v>#VALUE!</v>
      </c>
      <c r="P36" t="e">
        <f>'Technical Skills Weighting'!CK2+"`FU!dC"</f>
        <v>#VALUE!</v>
      </c>
      <c r="Q36" t="e">
        <f>'Technical Skills Weighting'!CL2+"`FU!dD"</f>
        <v>#VALUE!</v>
      </c>
      <c r="R36" t="e">
        <f>'Technical Skills Weighting'!CM2+"`FU!dE"</f>
        <v>#VALUE!</v>
      </c>
      <c r="S36" t="e">
        <f>'Technical Skills Weighting'!CN2+"`FU!dF"</f>
        <v>#VALUE!</v>
      </c>
      <c r="T36" t="e">
        <f>'Technical Skills Weighting'!CO2+"`FU!dG"</f>
        <v>#VALUE!</v>
      </c>
      <c r="U36" t="e">
        <f>'Technical Skills Weighting'!CP2+"`FU!dH"</f>
        <v>#VALUE!</v>
      </c>
      <c r="V36" t="e">
        <f>'Technical Skills Weighting'!CQ2+"`FU!dI"</f>
        <v>#VALUE!</v>
      </c>
      <c r="W36" t="e">
        <f>'Technical Skills Weighting'!CR2+"`FU!dJ"</f>
        <v>#VALUE!</v>
      </c>
      <c r="X36" t="e">
        <f>'Technical Skills Weighting'!CS2+"`FU!dK"</f>
        <v>#VALUE!</v>
      </c>
      <c r="Y36" t="e">
        <f>'Technical Skills Weighting'!CT2+"`FU!dL"</f>
        <v>#VALUE!</v>
      </c>
      <c r="Z36" t="e">
        <f>'Technical Skills Weighting'!CU2+"`FU!dM"</f>
        <v>#VALUE!</v>
      </c>
      <c r="AA36" t="e">
        <f>'Technical Skills Weighting'!CV2+"`FU!dN"</f>
        <v>#VALUE!</v>
      </c>
      <c r="AB36" t="e">
        <f>'Technical Skills Weighting'!CW2+"`FU!dO"</f>
        <v>#VALUE!</v>
      </c>
      <c r="AC36" t="e">
        <f>'Technical Skills Weighting'!CX2+"`FU!dP"</f>
        <v>#VALUE!</v>
      </c>
      <c r="AD36" t="e">
        <f>'Technical Skills Weighting'!CY2+"`FU!dQ"</f>
        <v>#VALUE!</v>
      </c>
      <c r="AE36" t="e">
        <f>'Technical Skills Weighting'!CZ2+"`FU!dR"</f>
        <v>#VALUE!</v>
      </c>
      <c r="AF36" t="e">
        <f>'Technical Skills Weighting'!DA2+"`FU!dS"</f>
        <v>#VALUE!</v>
      </c>
      <c r="AG36" t="e">
        <f>'Technical Skills Weighting'!DB2+"`FU!dT"</f>
        <v>#VALUE!</v>
      </c>
      <c r="AH36" t="e">
        <f>'Technical Skills Weighting'!DC2+"`FU!dU"</f>
        <v>#VALUE!</v>
      </c>
      <c r="AI36" t="e">
        <f>'Technical Skills Weighting'!DD2+"`FU!dV"</f>
        <v>#VALUE!</v>
      </c>
      <c r="AJ36" t="e">
        <f>'Technical Skills Weighting'!DE2+"`FU!dW"</f>
        <v>#VALUE!</v>
      </c>
      <c r="AK36" t="e">
        <f>'Technical Skills Weighting'!DF2+"`FU!dX"</f>
        <v>#VALUE!</v>
      </c>
      <c r="AL36" t="e">
        <f>'Technical Skills Weighting'!DG2+"`FU!dY"</f>
        <v>#VALUE!</v>
      </c>
      <c r="AM36" t="e">
        <f>'Technical Skills Weighting'!DH2+"`FU!dZ"</f>
        <v>#VALUE!</v>
      </c>
      <c r="AN36" t="e">
        <f>'Technical Skills Weighting'!DI2+"`FU!d["</f>
        <v>#VALUE!</v>
      </c>
      <c r="AO36" t="e">
        <f>'Technical Skills Weighting'!DJ2+"`FU!d\"</f>
        <v>#VALUE!</v>
      </c>
      <c r="AP36" t="e">
        <f>'Technical Skills Weighting'!DK2+"`FU!d]"</f>
        <v>#VALUE!</v>
      </c>
      <c r="AQ36" t="e">
        <f>'Technical Skills Weighting'!DL2+"`FU!d^"</f>
        <v>#VALUE!</v>
      </c>
      <c r="AR36" t="e">
        <f>'Technical Skills Weighting'!DM2+"`FU!d_"</f>
        <v>#VALUE!</v>
      </c>
      <c r="AS36" t="e">
        <f>'Technical Skills Weighting'!DN2+"`FU!d`"</f>
        <v>#VALUE!</v>
      </c>
      <c r="AT36" t="e">
        <f>'Technical Skills Weighting'!DO2+"`FU!da"</f>
        <v>#VALUE!</v>
      </c>
      <c r="AU36" t="e">
        <f>'Technical Skills Weighting'!DP2+"`FU!db"</f>
        <v>#VALUE!</v>
      </c>
      <c r="AV36" t="e">
        <f>'Technical Skills Weighting'!DQ2+"`FU!dc"</f>
        <v>#VALUE!</v>
      </c>
      <c r="AW36" t="e">
        <f>'Technical Skills Weighting'!DR2+"`FU!dd"</f>
        <v>#VALUE!</v>
      </c>
      <c r="AX36" t="e">
        <f>'Technical Skills Weighting'!DS2+"`FU!de"</f>
        <v>#VALUE!</v>
      </c>
      <c r="AY36" t="e">
        <f>'Technical Skills Weighting'!DT2+"`FU!df"</f>
        <v>#VALUE!</v>
      </c>
      <c r="AZ36" t="e">
        <f>'Technical Skills Weighting'!DU2+"`FU!dg"</f>
        <v>#VALUE!</v>
      </c>
      <c r="BA36" t="e">
        <f>'Technical Skills Weighting'!DV2+"`FU!dh"</f>
        <v>#VALUE!</v>
      </c>
      <c r="BB36" t="e">
        <f>'Technical Skills Weighting'!DW2+"`FU!di"</f>
        <v>#VALUE!</v>
      </c>
      <c r="BC36" t="e">
        <f>'Technical Skills Weighting'!DX2+"`FU!dj"</f>
        <v>#VALUE!</v>
      </c>
      <c r="BD36" t="e">
        <f>'Technical Skills Weighting'!DY2+"`FU!dk"</f>
        <v>#VALUE!</v>
      </c>
      <c r="BE36" t="e">
        <f>'Technical Skills Weighting'!DZ2+"`FU!dl"</f>
        <v>#VALUE!</v>
      </c>
      <c r="BF36" t="e">
        <f>'Technical Skills Weighting'!EA2+"`FU!dm"</f>
        <v>#VALUE!</v>
      </c>
      <c r="BG36" t="e">
        <f>'Technical Skills Weighting'!EB2+"`FU!dn"</f>
        <v>#VALUE!</v>
      </c>
      <c r="BH36" t="e">
        <f>'Technical Skills Weighting'!EC2+"`FU!do"</f>
        <v>#VALUE!</v>
      </c>
      <c r="BI36" t="e">
        <f>'Technical Skills Weighting'!ED2+"`FU!dp"</f>
        <v>#VALUE!</v>
      </c>
      <c r="BJ36" t="e">
        <f>'Technical Skills Weighting'!EE2+"`FU!dq"</f>
        <v>#VALUE!</v>
      </c>
      <c r="BK36" t="e">
        <f>'Technical Skills Weighting'!EF2+"`FU!dr"</f>
        <v>#VALUE!</v>
      </c>
      <c r="BL36" t="e">
        <f>'Technical Skills Weighting'!EG2+"`FU!ds"</f>
        <v>#VALUE!</v>
      </c>
      <c r="BM36" t="e">
        <f>'Technical Skills Weighting'!EH2+"`FU!dt"</f>
        <v>#VALUE!</v>
      </c>
      <c r="BN36" t="e">
        <f>'Technical Skills Weighting'!EI2+"`FU!du"</f>
        <v>#VALUE!</v>
      </c>
      <c r="BO36" t="e">
        <f>'Technical Skills Weighting'!EJ2+"`FU!dv"</f>
        <v>#VALUE!</v>
      </c>
      <c r="BP36" t="e">
        <f>'Technical Skills Weighting'!EK2+"`FU!dw"</f>
        <v>#VALUE!</v>
      </c>
      <c r="BQ36" t="e">
        <f>'Technical Skills Weighting'!EL2+"`FU!dx"</f>
        <v>#VALUE!</v>
      </c>
      <c r="BR36" t="e">
        <f>'Technical Skills Weighting'!EM2+"`FU!dy"</f>
        <v>#VALUE!</v>
      </c>
      <c r="BS36" t="e">
        <f>'Technical Skills Weighting'!EN2+"`FU!dz"</f>
        <v>#VALUE!</v>
      </c>
      <c r="BT36" t="e">
        <f>'Technical Skills Weighting'!EO2+"`FU!d{"</f>
        <v>#VALUE!</v>
      </c>
      <c r="BU36" t="e">
        <f>'Technical Skills Weighting'!EP2+"`FU!d|"</f>
        <v>#VALUE!</v>
      </c>
      <c r="BV36" t="e">
        <f>'Technical Skills Weighting'!#REF!+"`FU!d}"</f>
        <v>#REF!</v>
      </c>
      <c r="BW36" t="e">
        <f>'Technical Skills Weighting'!#REF!+"`FU!d~"</f>
        <v>#REF!</v>
      </c>
      <c r="BX36" t="e">
        <f>'Technical Skills Weighting'!#REF!+"`FU!e#"</f>
        <v>#REF!</v>
      </c>
      <c r="BY36" t="e">
        <f>'Technical Skills Weighting'!#REF!+"`FU!e$"</f>
        <v>#REF!</v>
      </c>
      <c r="BZ36" t="e">
        <f>'Technical Skills Weighting'!B12+"`FU!e%"</f>
        <v>#VALUE!</v>
      </c>
      <c r="CA36" t="e">
        <f>'Technical Skills Weighting'!B13+"`FU!e&amp;"</f>
        <v>#VALUE!</v>
      </c>
      <c r="CB36" t="e">
        <f>'Technical Skills Weighting'!B14+"`FU!e'"</f>
        <v>#VALUE!</v>
      </c>
      <c r="CC36" t="e">
        <f>'Technical Skills Weighting'!B15+"`FU!e("</f>
        <v>#VALUE!</v>
      </c>
      <c r="CD36" t="e">
        <f>'Technical Skills Weighting'!B16+"`FU!e)"</f>
        <v>#VALUE!</v>
      </c>
      <c r="CE36" t="e">
        <f>'Technical Skills Weighting'!B17+"`FU!e."</f>
        <v>#VALUE!</v>
      </c>
      <c r="CF36" t="e">
        <f>'Technical Skills Weighting'!B18+"`FU!e/"</f>
        <v>#VALUE!</v>
      </c>
      <c r="CG36" t="e">
        <f>'Technical Skills Weighting'!B19+"`FU!e0"</f>
        <v>#VALUE!</v>
      </c>
      <c r="CH36" t="e">
        <f>'Technical Skills Weighting'!B20+"`FU!e1"</f>
        <v>#VALUE!</v>
      </c>
      <c r="CI36" t="e">
        <f>'Technical Skills Weighting'!B21+"`FU!e2"</f>
        <v>#VALUE!</v>
      </c>
      <c r="CJ36" t="e">
        <f>'Technical Skills Weighting'!B22+"`FU!e3"</f>
        <v>#VALUE!</v>
      </c>
      <c r="CK36" t="e">
        <f>'Technical Skills Weighting'!B23+"`FU!e4"</f>
        <v>#VALUE!</v>
      </c>
      <c r="CL36" t="e">
        <f>'Technical Skills Weighting'!B24+"`FU!e5"</f>
        <v>#VALUE!</v>
      </c>
      <c r="CM36" t="e">
        <f>'Technical Skills Weighting'!B25+"`FU!e6"</f>
        <v>#VALUE!</v>
      </c>
      <c r="CN36" t="e">
        <f>'Technical Skills Weighting'!B26+"`FU!e7"</f>
        <v>#VALUE!</v>
      </c>
      <c r="CO36" t="e">
        <f>'Technical Skills Weighting'!B27+"`FU!e8"</f>
        <v>#VALUE!</v>
      </c>
      <c r="CP36" t="e">
        <f>'Technical Skills Weighting'!B28+"`FU!e9"</f>
        <v>#VALUE!</v>
      </c>
      <c r="CQ36" t="e">
        <f>'Technical Skills Weighting'!B29+"`FU!e:"</f>
        <v>#VALUE!</v>
      </c>
      <c r="CR36" t="e">
        <f>'Technical Skills Weighting'!B30+"`FU!e;"</f>
        <v>#VALUE!</v>
      </c>
      <c r="CS36" t="e">
        <f>'Technical Skills Weighting'!B31+"`FU!e&lt;"</f>
        <v>#VALUE!</v>
      </c>
      <c r="CT36" t="e">
        <f>'Technical Skills Weighting'!B32+"`FU!e="</f>
        <v>#VALUE!</v>
      </c>
      <c r="CU36" t="e">
        <f>'Technical Skills Weighting'!B33+"`FU!e&gt;"</f>
        <v>#VALUE!</v>
      </c>
      <c r="CV36" t="e">
        <f>'Technical Skills Weighting'!B34+"`FU!e?"</f>
        <v>#VALUE!</v>
      </c>
      <c r="CW36" t="e">
        <f>'Technical Skills Weighting'!B35+"`FU!e@"</f>
        <v>#VALUE!</v>
      </c>
      <c r="CX36" t="e">
        <f>'Technical Skills Weighting'!B36+"`FU!eA"</f>
        <v>#VALUE!</v>
      </c>
      <c r="CY36" t="e">
        <f>'Technical Skills Weighting'!B37+"`FU!eB"</f>
        <v>#VALUE!</v>
      </c>
      <c r="CZ36" t="e">
        <f>'Technical Skills Weighting'!B38+"`FU!eC"</f>
        <v>#VALUE!</v>
      </c>
      <c r="DA36" t="e">
        <f>'Technical Skills Weighting'!B39+"`FU!eD"</f>
        <v>#VALUE!</v>
      </c>
      <c r="DB36" t="e">
        <f>'Technical Skills Weighting'!B40+"`FU!eE"</f>
        <v>#VALUE!</v>
      </c>
      <c r="DC36" t="e">
        <f>'Technical Skills Weighting'!B41+"`FU!eF"</f>
        <v>#VALUE!</v>
      </c>
      <c r="DD36" t="e">
        <f>'Technical Skills Weighting'!B42+"`FU!eG"</f>
        <v>#VALUE!</v>
      </c>
      <c r="DE36" t="e">
        <f>'Technical Skills Weighting'!B43+"`FU!eH"</f>
        <v>#VALUE!</v>
      </c>
      <c r="DF36" t="e">
        <f>'Technical Skills Weighting'!B44+"`FU!eI"</f>
        <v>#VALUE!</v>
      </c>
      <c r="DG36" t="e">
        <f>'Technical Skills Weighting'!B45+"`FU!eJ"</f>
        <v>#VALUE!</v>
      </c>
      <c r="DH36" t="e">
        <f>'Technical Skills Weighting'!B46+"`FU!eK"</f>
        <v>#VALUE!</v>
      </c>
      <c r="DI36" t="e">
        <f>'Technical Skills Weighting'!B47+"`FU!eL"</f>
        <v>#VALUE!</v>
      </c>
      <c r="DJ36" t="e">
        <f>'Technical Skills Weighting'!B48+"`FU!eM"</f>
        <v>#VALUE!</v>
      </c>
      <c r="DK36" t="e">
        <f>'Technical Skills Weighting'!B49+"`FU!eN"</f>
        <v>#VALUE!</v>
      </c>
      <c r="DL36" t="e">
        <f>'Technical Skills Weighting'!B50+"`FU!eO"</f>
        <v>#VALUE!</v>
      </c>
      <c r="DM36" t="e">
        <f>'Technical Skills Weighting'!B51+"`FU!eP"</f>
        <v>#VALUE!</v>
      </c>
      <c r="DN36" t="e">
        <f>'Technical Skills Weighting'!B52+"`FU!eQ"</f>
        <v>#VALUE!</v>
      </c>
      <c r="DO36" t="e">
        <f>'Technical Skills Weighting'!B53+"`FU!eR"</f>
        <v>#VALUE!</v>
      </c>
      <c r="DP36" t="e">
        <f>'Technical Skills Weighting'!#REF!+"`FU!eS"</f>
        <v>#REF!</v>
      </c>
      <c r="DQ36" t="e">
        <f>'Technical Skills Weighting'!#REF!+"`FU!eT"</f>
        <v>#REF!</v>
      </c>
      <c r="DR36" t="e">
        <f>'Technical Skills Weighting'!#REF!+"`FU!eU"</f>
        <v>#REF!</v>
      </c>
      <c r="DS36" t="e">
        <f>'Technical Skills Weighting'!#REF!+"`FU!eV"</f>
        <v>#REF!</v>
      </c>
      <c r="DT36" t="e">
        <f>'Technical Skills Weighting'!#REF!+"`FU!eW"</f>
        <v>#REF!</v>
      </c>
      <c r="DU36" t="e">
        <f>'Technical Skills Weighting'!#REF!+"`FU!eX"</f>
        <v>#REF!</v>
      </c>
      <c r="DV36" t="e">
        <f>'Technical Skills Weighting'!#REF!+"`FU!eY"</f>
        <v>#REF!</v>
      </c>
      <c r="DW36" t="e">
        <f>'Technical Skills Weighting'!#REF!+"`FU!eZ"</f>
        <v>#REF!</v>
      </c>
      <c r="DX36" t="e">
        <f>'Technical Skills Weighting'!#REF!+"`FU!e["</f>
        <v>#REF!</v>
      </c>
      <c r="DY36" t="e">
        <f>'Technical Skills Weighting'!#REF!+"`FU!e\"</f>
        <v>#REF!</v>
      </c>
      <c r="DZ36" t="e">
        <f>'Technical Skills Weighting'!#REF!+"`FU!e]"</f>
        <v>#REF!</v>
      </c>
      <c r="EA36" t="e">
        <f>'Technical Skills Weighting'!#REF!+"`FU!e^"</f>
        <v>#REF!</v>
      </c>
      <c r="EB36" t="e">
        <f>'Technical Skills Weighting'!#REF!+"`FU!e_"</f>
        <v>#REF!</v>
      </c>
      <c r="EC36" t="e">
        <f>'Technical Skills Weighting'!#REF!+"`FU!e`"</f>
        <v>#REF!</v>
      </c>
      <c r="ED36" t="e">
        <f>'Technical Skills Weighting'!#REF!+"`FU!ea"</f>
        <v>#REF!</v>
      </c>
      <c r="EE36" t="e">
        <f>'Technical Skills Weighting'!#REF!+"`FU!eb"</f>
        <v>#REF!</v>
      </c>
      <c r="EF36" t="e">
        <f>'Technical Skills Weighting'!#REF!+"`FU!ec"</f>
        <v>#REF!</v>
      </c>
      <c r="EG36" t="e">
        <f>'Technical Skills Weighting'!#REF!+"`FU!ed"</f>
        <v>#REF!</v>
      </c>
      <c r="EH36" t="e">
        <f>'Technical Skills Weighting'!#REF!+"`FU!ee"</f>
        <v>#REF!</v>
      </c>
      <c r="EI36" t="e">
        <f>'Technical Skills Weighting'!#REF!+"`FU!ef"</f>
        <v>#REF!</v>
      </c>
      <c r="EJ36" t="e">
        <f>'Technical Skills Weighting'!#REF!+"`FU!eg"</f>
        <v>#REF!</v>
      </c>
      <c r="EK36" t="e">
        <f>'Technical Skills Weighting'!#REF!+"`FU!eh"</f>
        <v>#REF!</v>
      </c>
      <c r="EL36" t="e">
        <f>'Technical Skills Weighting'!#REF!+"`FU!ei"</f>
        <v>#REF!</v>
      </c>
      <c r="EM36" t="e">
        <f>'Technical Skills Weighting'!#REF!+"`FU!ej"</f>
        <v>#REF!</v>
      </c>
      <c r="EN36" t="e">
        <f>'Technical Skills Weighting'!#REF!+"`FU!ek"</f>
        <v>#REF!</v>
      </c>
      <c r="EO36" t="e">
        <f>'Technical Skills Weighting'!#REF!+"`FU!el"</f>
        <v>#REF!</v>
      </c>
      <c r="EP36" t="e">
        <f>'Technical Skills Weighting'!#REF!+"`FU!em"</f>
        <v>#REF!</v>
      </c>
      <c r="EQ36" t="e">
        <f>'Technical Skills Weighting'!#REF!+"`FU!en"</f>
        <v>#REF!</v>
      </c>
      <c r="ER36" t="e">
        <f>'Technical Skills Weighting'!#REF!+"`FU!eo"</f>
        <v>#REF!</v>
      </c>
      <c r="ES36" t="e">
        <f>'Technical Skills Weighting'!#REF!+"`FU!ep"</f>
        <v>#REF!</v>
      </c>
      <c r="ET36" t="e">
        <f>'Technical Skills Weighting'!#REF!+"`FU!eq"</f>
        <v>#REF!</v>
      </c>
      <c r="EU36" t="e">
        <f>'Technical Skills Weighting'!#REF!+"`FU!er"</f>
        <v>#REF!</v>
      </c>
      <c r="EV36" t="e">
        <f>'Technical Skills Weighting'!#REF!+"`FU!es"</f>
        <v>#REF!</v>
      </c>
      <c r="EW36" t="e">
        <f>'Technical Skills Weighting'!#REF!+"`FU!et"</f>
        <v>#REF!</v>
      </c>
      <c r="EX36" t="e">
        <f>'Technical Skills Weighting'!#REF!+"`FU!eu"</f>
        <v>#REF!</v>
      </c>
      <c r="EY36" t="e">
        <f>'Technical Skills Weighting'!#REF!+"`FU!ev"</f>
        <v>#REF!</v>
      </c>
      <c r="EZ36" t="e">
        <f>'Technical Skills Weighting'!#REF!+"`FU!ew"</f>
        <v>#REF!</v>
      </c>
      <c r="FA36" t="e">
        <f>'Technical Skills Weighting'!#REF!+"`FU!ex"</f>
        <v>#REF!</v>
      </c>
      <c r="FB36" t="e">
        <f>'Technical Skills Weighting'!#REF!+"`FU!ey"</f>
        <v>#REF!</v>
      </c>
      <c r="FC36" t="e">
        <f>'Technical Skills Weighting'!#REF!+"`FU!ez"</f>
        <v>#REF!</v>
      </c>
      <c r="FD36" t="e">
        <f>'Technical Skills Weighting'!#REF!+"`FU!e{"</f>
        <v>#REF!</v>
      </c>
      <c r="FE36" t="e">
        <f>'Technical Skills Weighting'!#REF!+"`FU!e|"</f>
        <v>#REF!</v>
      </c>
      <c r="FF36" t="e">
        <f>'Technical Skills Weighting'!#REF!+"`FU!e}"</f>
        <v>#REF!</v>
      </c>
      <c r="FG36" t="e">
        <f>'Technical Skills Weighting'!#REF!+"`FU!e~"</f>
        <v>#REF!</v>
      </c>
      <c r="FH36" t="e">
        <f>'Technical Skills Weighting'!#REF!+"`FU!f#"</f>
        <v>#REF!</v>
      </c>
      <c r="FI36" t="e">
        <f>'Technical Skills Weighting'!#REF!+"`FU!f$"</f>
        <v>#REF!</v>
      </c>
      <c r="FJ36" t="e">
        <f>'Technical Skills Weighting'!#REF!+"`FU!f%"</f>
        <v>#REF!</v>
      </c>
      <c r="FK36" t="e">
        <f>'Technical Skills Weighting'!#REF!+"`FU!f&amp;"</f>
        <v>#REF!</v>
      </c>
      <c r="FL36" t="e">
        <f>'Technical Skills Weighting'!#REF!+"`FU!f'"</f>
        <v>#REF!</v>
      </c>
      <c r="FM36" t="e">
        <f>'Technical Skills Weighting'!#REF!+"`FU!f("</f>
        <v>#REF!</v>
      </c>
      <c r="FN36" t="e">
        <f>'Technical Skills Weighting'!#REF!+"`FU!f)"</f>
        <v>#REF!</v>
      </c>
      <c r="FO36" t="e">
        <f>'Technical Skills Weighting'!#REF!+"`FU!f."</f>
        <v>#REF!</v>
      </c>
      <c r="FP36" t="e">
        <f>'Technical Skills Weighting'!#REF!+"`FU!f/"</f>
        <v>#REF!</v>
      </c>
      <c r="FQ36" t="e">
        <f>'Technical Skills Weighting'!#REF!+"`FU!f0"</f>
        <v>#REF!</v>
      </c>
      <c r="FR36" t="e">
        <f>'Technical Skills Weighting'!#REF!+"`FU!f1"</f>
        <v>#REF!</v>
      </c>
      <c r="FS36" t="e">
        <f>'Technical Skills Weighting'!#REF!+"`FU!f2"</f>
        <v>#REF!</v>
      </c>
      <c r="FT36" t="e">
        <f>'Technical Skills Weighting'!#REF!+"`FU!f3"</f>
        <v>#REF!</v>
      </c>
      <c r="FU36" t="e">
        <f>'Technical Skills Weighting'!#REF!+"`FU!f4"</f>
        <v>#REF!</v>
      </c>
      <c r="FV36" t="e">
        <f>'Technical Skills Weighting'!#REF!+"`FU!f5"</f>
        <v>#REF!</v>
      </c>
      <c r="FW36" t="e">
        <f>'Technical Skills Weighting'!#REF!+"`FU!f6"</f>
        <v>#REF!</v>
      </c>
      <c r="FX36" t="e">
        <f>'Technical Skills Weighting'!#REF!+"`FU!f7"</f>
        <v>#REF!</v>
      </c>
      <c r="FY36" t="e">
        <f>'Technical Skills Weighting'!#REF!+"`FU!f8"</f>
        <v>#REF!</v>
      </c>
      <c r="FZ36" t="e">
        <f>'Technical Skills Weighting'!#REF!+"`FU!f9"</f>
        <v>#REF!</v>
      </c>
      <c r="GA36" t="e">
        <f>'Technical Skills Weighting'!#REF!+"`FU!f:"</f>
        <v>#REF!</v>
      </c>
      <c r="GB36" t="e">
        <f>'Technical Skills Weighting'!#REF!+"`FU!f;"</f>
        <v>#REF!</v>
      </c>
      <c r="GC36" t="e">
        <f>'Technical Skills Weighting'!#REF!+"`FU!f&lt;"</f>
        <v>#REF!</v>
      </c>
      <c r="GD36" t="e">
        <f>'Technical Skills Weighting'!#REF!+"`FU!f="</f>
        <v>#REF!</v>
      </c>
      <c r="GE36" t="e">
        <f>'Technical Skills Weighting'!#REF!+"`FU!f&gt;"</f>
        <v>#REF!</v>
      </c>
      <c r="GF36" t="e">
        <f>'Technical Skills Weighting'!#REF!+"`FU!f?"</f>
        <v>#REF!</v>
      </c>
      <c r="GG36" t="e">
        <f>'Technical Skills Weighting'!#REF!+"`FU!f@"</f>
        <v>#REF!</v>
      </c>
      <c r="GH36" t="e">
        <f>'Technical Skills Weighting'!#REF!+"`FU!fA"</f>
        <v>#REF!</v>
      </c>
      <c r="GI36" t="e">
        <f>'Technical Skills Weighting'!#REF!+"`FU!fB"</f>
        <v>#REF!</v>
      </c>
      <c r="GJ36" t="e">
        <f>'Technical Skills Weighting'!#REF!+"`FU!fC"</f>
        <v>#REF!</v>
      </c>
      <c r="GK36" t="e">
        <f>'Technical Skills Weighting'!#REF!+"`FU!fD"</f>
        <v>#REF!</v>
      </c>
      <c r="GL36" t="e">
        <f>'Technical Skills Weighting'!#REF!+"`FU!fE"</f>
        <v>#REF!</v>
      </c>
      <c r="GM36" t="e">
        <f>'Technical Skills Weighting'!#REF!+"`FU!fF"</f>
        <v>#REF!</v>
      </c>
      <c r="GN36" t="e">
        <f>'Technical Skills Weighting'!#REF!+"`FU!fG"</f>
        <v>#REF!</v>
      </c>
      <c r="GO36" t="e">
        <f>'Technical Skills Weighting'!#REF!+"`FU!fH"</f>
        <v>#REF!</v>
      </c>
      <c r="GP36" t="e">
        <f>'Technical Skills Weighting'!#REF!+"`FU!fI"</f>
        <v>#REF!</v>
      </c>
      <c r="GQ36" t="e">
        <f>'Technical Skills Weighting'!#REF!+"`FU!fJ"</f>
        <v>#REF!</v>
      </c>
      <c r="GR36" t="e">
        <f>'Technical Skills Weighting'!#REF!+"`FU!fK"</f>
        <v>#REF!</v>
      </c>
      <c r="GS36" t="e">
        <f>'Technical Skills Weighting'!#REF!+"`FU!fL"</f>
        <v>#REF!</v>
      </c>
      <c r="GT36" t="e">
        <f>'Technical Skills Weighting'!#REF!+"`FU!fM"</f>
        <v>#REF!</v>
      </c>
      <c r="GU36" t="e">
        <f>'Technical Skills Weighting'!#REF!+"`FU!fN"</f>
        <v>#REF!</v>
      </c>
      <c r="GV36" t="e">
        <f>'Technical Skills Weighting'!#REF!+"`FU!fO"</f>
        <v>#REF!</v>
      </c>
      <c r="GW36" t="e">
        <f>'Technical Skills Weighting'!#REF!+"`FU!fP"</f>
        <v>#REF!</v>
      </c>
      <c r="GX36" t="e">
        <f>'Technical Skills Weighting'!#REF!+"`FU!fQ"</f>
        <v>#REF!</v>
      </c>
      <c r="GY36" t="e">
        <f>'Technical Skills Weighting'!#REF!+"`FU!fR"</f>
        <v>#REF!</v>
      </c>
      <c r="GZ36" t="e">
        <f>'Technical Skills Weighting'!#REF!+"`FU!fS"</f>
        <v>#REF!</v>
      </c>
      <c r="HA36" t="e">
        <f>'Technical Skills Weighting'!#REF!+"`FU!fT"</f>
        <v>#REF!</v>
      </c>
      <c r="HB36" t="e">
        <f>'Technical Skills Weighting'!#REF!+"`FU!fU"</f>
        <v>#REF!</v>
      </c>
      <c r="HC36" t="e">
        <f>'Technical Skills Weighting'!#REF!+"`FU!fV"</f>
        <v>#REF!</v>
      </c>
      <c r="HD36" t="e">
        <f>'Technical Skills Weighting'!#REF!+"`FU!fW"</f>
        <v>#REF!</v>
      </c>
      <c r="HE36" t="e">
        <f>'Technical Skills Weighting'!#REF!+"`FU!fX"</f>
        <v>#REF!</v>
      </c>
      <c r="HF36" t="e">
        <f>'Technical Skills Weighting'!#REF!+"`FU!fY"</f>
        <v>#REF!</v>
      </c>
      <c r="HG36" t="e">
        <f>'Technical Skills Weighting'!#REF!+"`FU!fZ"</f>
        <v>#REF!</v>
      </c>
      <c r="HH36" t="e">
        <f>'Technical Skills Weighting'!#REF!+"`FU!f["</f>
        <v>#REF!</v>
      </c>
      <c r="HI36" t="e">
        <f>'Technical Skills Weighting'!#REF!+"`FU!f\"</f>
        <v>#REF!</v>
      </c>
      <c r="HJ36" t="e">
        <f>'Technical Skills Weighting'!#REF!+"`FU!f]"</f>
        <v>#REF!</v>
      </c>
      <c r="HK36" t="e">
        <f>'Technical Skills Weighting'!#REF!+"`FU!f^"</f>
        <v>#REF!</v>
      </c>
      <c r="HL36" t="e">
        <f>'Technical Skills Weighting'!#REF!+"`FU!f_"</f>
        <v>#REF!</v>
      </c>
      <c r="HM36" t="e">
        <f>'Technical Skills Weighting'!#REF!+"`FU!f`"</f>
        <v>#REF!</v>
      </c>
      <c r="HN36" t="e">
        <f>'Technical Skills Weighting'!#REF!+"`FU!fa"</f>
        <v>#REF!</v>
      </c>
      <c r="HO36" t="e">
        <f>'Technical Skills Weighting'!#REF!+"`FU!fb"</f>
        <v>#REF!</v>
      </c>
      <c r="HP36" t="e">
        <f>'Technical Skills Weighting'!#REF!+"`FU!fc"</f>
        <v>#REF!</v>
      </c>
      <c r="HQ36" t="e">
        <f>'Technical Skills Weighting'!#REF!+"`FU!fd"</f>
        <v>#REF!</v>
      </c>
      <c r="HR36" t="e">
        <f>'Technical Skills Weighting'!#REF!+"`FU!fe"</f>
        <v>#REF!</v>
      </c>
      <c r="HS36" t="e">
        <f>'Technical Skills Weighting'!#REF!+"`FU!ff"</f>
        <v>#REF!</v>
      </c>
      <c r="HT36" t="e">
        <f>'Technical Skills Weighting'!#REF!+"`FU!fg"</f>
        <v>#REF!</v>
      </c>
      <c r="HU36" t="e">
        <f>'Technical Skills Weighting'!#REF!+"`FU!fh"</f>
        <v>#REF!</v>
      </c>
      <c r="HV36" t="e">
        <f>'Technical Skills Weighting'!#REF!+"`FU!fi"</f>
        <v>#REF!</v>
      </c>
      <c r="HW36" t="e">
        <f>'Technical Skills Weighting'!#REF!+"`FU!fj"</f>
        <v>#REF!</v>
      </c>
      <c r="HX36" t="e">
        <f>'Technical Skills Weighting'!#REF!+"`FU!fk"</f>
        <v>#REF!</v>
      </c>
      <c r="HY36" t="e">
        <f>'Technical Skills Weighting'!#REF!+"`FU!fl"</f>
        <v>#REF!</v>
      </c>
      <c r="HZ36" t="e">
        <f>'Technical Skills Weighting'!#REF!+"`FU!fm"</f>
        <v>#REF!</v>
      </c>
      <c r="IA36" t="e">
        <f>'Technical Skills Weighting'!#REF!+"`FU!fn"</f>
        <v>#REF!</v>
      </c>
      <c r="IB36" t="e">
        <f>'Technical Skills Weighting'!#REF!+"`FU!fo"</f>
        <v>#REF!</v>
      </c>
      <c r="IC36" t="e">
        <f>'Technical Skills Weighting'!#REF!+"`FU!fp"</f>
        <v>#REF!</v>
      </c>
      <c r="ID36" t="e">
        <f>'Technical Skills Weighting'!#REF!+"`FU!fq"</f>
        <v>#REF!</v>
      </c>
      <c r="IE36" t="e">
        <f>'Technical Skills Weighting'!#REF!+"`FU!fr"</f>
        <v>#REF!</v>
      </c>
      <c r="IF36" t="e">
        <f>'Technical Skills Weighting'!#REF!+"`FU!fs"</f>
        <v>#REF!</v>
      </c>
      <c r="IG36" t="e">
        <f>'Technical Skills Weighting'!#REF!+"`FU!ft"</f>
        <v>#REF!</v>
      </c>
      <c r="IH36" t="e">
        <f>'Technical Skills Weighting'!#REF!+"`FU!fu"</f>
        <v>#REF!</v>
      </c>
      <c r="II36" t="e">
        <f>'Technical Skills Weighting'!#REF!+"`FU!fv"</f>
        <v>#REF!</v>
      </c>
      <c r="IJ36" t="e">
        <f>'Technical Skills Weighting'!#REF!+"`FU!fw"</f>
        <v>#REF!</v>
      </c>
      <c r="IK36" t="e">
        <f>'Technical Skills Weighting'!#REF!+"`FU!fx"</f>
        <v>#REF!</v>
      </c>
      <c r="IL36" t="e">
        <f>'Technical Skills Weighting'!#REF!+"`FU!fy"</f>
        <v>#REF!</v>
      </c>
      <c r="IM36" t="e">
        <f>'Technical Skills Weighting'!#REF!+"`FU!fz"</f>
        <v>#REF!</v>
      </c>
      <c r="IN36" t="e">
        <f>'Technical Skills Weighting'!#REF!+"`FU!f{"</f>
        <v>#REF!</v>
      </c>
      <c r="IO36" t="e">
        <f>'Technical Skills Weighting'!#REF!+"`FU!f|"</f>
        <v>#REF!</v>
      </c>
      <c r="IP36" t="e">
        <f>'Technical Skills Weighting'!#REF!+"`FU!f}"</f>
        <v>#REF!</v>
      </c>
      <c r="IQ36" t="e">
        <f>'Technical Skills Weighting'!#REF!+"`FU!f~"</f>
        <v>#REF!</v>
      </c>
      <c r="IR36" t="e">
        <f>'Technical Skills Weighting'!#REF!+"`FU!g#"</f>
        <v>#REF!</v>
      </c>
      <c r="IS36" t="e">
        <f>'Technical Skills Weighting'!#REF!+"`FU!g$"</f>
        <v>#REF!</v>
      </c>
      <c r="IT36" t="e">
        <f>'Technical Skills Weighting'!#REF!+"`FU!g%"</f>
        <v>#REF!</v>
      </c>
      <c r="IU36" t="e">
        <f>'Technical Skills Weighting'!#REF!+"`FU!g&amp;"</f>
        <v>#REF!</v>
      </c>
      <c r="IV36" t="e">
        <f>'Technical Skills Weighting'!#REF!+"`FU!g'"</f>
        <v>#REF!</v>
      </c>
    </row>
    <row r="37" spans="6:256" x14ac:dyDescent="0.25">
      <c r="F37" t="e">
        <f>'Technical Skills Weighting'!#REF!+"`FU!g("</f>
        <v>#REF!</v>
      </c>
      <c r="G37" t="e">
        <f>'Technical Skills Weighting'!#REF!+"`FU!g)"</f>
        <v>#REF!</v>
      </c>
      <c r="H37" t="e">
        <f>'Technical Skills Weighting'!#REF!+"`FU!g."</f>
        <v>#REF!</v>
      </c>
      <c r="I37" t="e">
        <f>'Technical Skills Weighting'!#REF!+"`FU!g/"</f>
        <v>#REF!</v>
      </c>
      <c r="J37" t="e">
        <f>'Technical Skills Weighting'!#REF!+"`FU!g0"</f>
        <v>#REF!</v>
      </c>
      <c r="K37" t="e">
        <f>'Technical Skills Weighting'!#REF!+"`FU!g1"</f>
        <v>#REF!</v>
      </c>
      <c r="L37" t="e">
        <f>'Technical Skills Weighting'!#REF!+"`FU!g2"</f>
        <v>#REF!</v>
      </c>
      <c r="M37" t="e">
        <f>'Technical Skills Weighting'!A6+"`FU!g3"</f>
        <v>#VALUE!</v>
      </c>
      <c r="N37" t="e">
        <f>'Technical Skills Weighting'!B6+"`FU!g4"</f>
        <v>#VALUE!</v>
      </c>
      <c r="O37" t="e">
        <f>'Technical Skills Weighting'!#REF!+"`FU!g5"</f>
        <v>#REF!</v>
      </c>
      <c r="P37" t="e">
        <f>'Technical Skills Weighting'!#REF!+"`FU!g6"</f>
        <v>#REF!</v>
      </c>
      <c r="Q37" t="e">
        <f>'Technical Skills Weighting'!#REF!+"`FU!g7"</f>
        <v>#REF!</v>
      </c>
      <c r="R37" t="e">
        <f>'Technical Skills Weighting'!#REF!+"`FU!g8"</f>
        <v>#REF!</v>
      </c>
      <c r="S37" t="e">
        <f>'Technical Skills Weighting'!#REF!+"`FU!g9"</f>
        <v>#REF!</v>
      </c>
      <c r="T37" t="e">
        <f>'Technical Skills Weighting'!#REF!+"`FU!g:"</f>
        <v>#REF!</v>
      </c>
      <c r="U37" t="e">
        <f>'Technical Skills Weighting'!#REF!+"`FU!g;"</f>
        <v>#REF!</v>
      </c>
      <c r="V37" t="e">
        <f>'Technical Skills Weighting'!#REF!+"`FU!g&lt;"</f>
        <v>#REF!</v>
      </c>
      <c r="W37" t="e">
        <f>'Technical Skills Weighting'!#REF!+"`FU!g="</f>
        <v>#REF!</v>
      </c>
      <c r="X37" t="e">
        <f>'Technical Skills Weighting'!#REF!+"`FU!g&gt;"</f>
        <v>#REF!</v>
      </c>
      <c r="Y37" t="e">
        <f>'Technical Skills Weighting'!#REF!+"`FU!g?"</f>
        <v>#REF!</v>
      </c>
      <c r="Z37" t="e">
        <f>'Technical Skills Weighting'!#REF!+"`FU!g@"</f>
        <v>#REF!</v>
      </c>
      <c r="AA37" t="e">
        <f>'Technical Skills Weighting'!#REF!+"`FU!gA"</f>
        <v>#REF!</v>
      </c>
      <c r="AB37" t="e">
        <f>'Technical Skills Weighting'!#REF!+"`FU!gB"</f>
        <v>#REF!</v>
      </c>
      <c r="AC37" t="e">
        <f>'Technical Skills Weighting'!#REF!+"`FU!gC"</f>
        <v>#REF!</v>
      </c>
      <c r="AD37" t="e">
        <f>'Technical Skills Weighting'!#REF!+"`FU!gD"</f>
        <v>#REF!</v>
      </c>
      <c r="AE37" t="e">
        <f>'Technical Skills Weighting'!#REF!+"`FU!gE"</f>
        <v>#REF!</v>
      </c>
      <c r="AF37" t="e">
        <f>'Technical Skills Weighting'!#REF!+"`FU!gF"</f>
        <v>#REF!</v>
      </c>
      <c r="AG37" t="e">
        <f>'Technical Skills Weighting'!#REF!+"`FU!gG"</f>
        <v>#REF!</v>
      </c>
      <c r="AH37" t="e">
        <f>'Technical Skills Weighting'!#REF!+"`FU!gH"</f>
        <v>#REF!</v>
      </c>
      <c r="AI37" t="e">
        <f>'Technical Skills Weighting'!#REF!+"`FU!gI"</f>
        <v>#REF!</v>
      </c>
      <c r="AJ37" t="e">
        <f>'Technical Skills Weighting'!#REF!+"`FU!gJ"</f>
        <v>#REF!</v>
      </c>
      <c r="AK37" t="e">
        <f>'Technical Skills Weighting'!#REF!+"`FU!gK"</f>
        <v>#REF!</v>
      </c>
      <c r="AL37" t="e">
        <f>'Technical Skills Weighting'!#REF!+"`FU!gL"</f>
        <v>#REF!</v>
      </c>
      <c r="AM37" t="e">
        <f>'Technical Skills Weighting'!#REF!+"`FU!gM"</f>
        <v>#REF!</v>
      </c>
      <c r="AN37" t="e">
        <f>'Technical Skills Weighting'!#REF!+"`FU!gN"</f>
        <v>#REF!</v>
      </c>
      <c r="AO37" t="e">
        <f>'Technical Skills Weighting'!#REF!+"`FU!gO"</f>
        <v>#REF!</v>
      </c>
      <c r="AP37" t="e">
        <f>'Technical Skills Weighting'!#REF!+"`FU!gP"</f>
        <v>#REF!</v>
      </c>
      <c r="AQ37" t="e">
        <f>'Technical Skills Weighting'!#REF!+"`FU!gQ"</f>
        <v>#REF!</v>
      </c>
      <c r="AR37" t="e">
        <f>'Technical Skills Weighting'!#REF!+"`FU!gR"</f>
        <v>#REF!</v>
      </c>
      <c r="AS37" t="e">
        <f>'Technical Skills Weighting'!#REF!+"`FU!gS"</f>
        <v>#REF!</v>
      </c>
      <c r="AT37" t="e">
        <f>'Technical Skills Weighting'!#REF!+"`FU!gT"</f>
        <v>#REF!</v>
      </c>
      <c r="AU37" t="e">
        <f>'Technical Skills Weighting'!#REF!+"`FU!gU"</f>
        <v>#REF!</v>
      </c>
      <c r="AV37" t="e">
        <f>'Technical Skills Weighting'!#REF!+"`FU!gV"</f>
        <v>#REF!</v>
      </c>
      <c r="AW37" t="e">
        <f>'Technical Skills Weighting'!#REF!+"`FU!gW"</f>
        <v>#REF!</v>
      </c>
      <c r="AX37" t="e">
        <f>'Technical Skills Weighting'!#REF!+"`FU!gX"</f>
        <v>#REF!</v>
      </c>
      <c r="AY37" t="e">
        <f>'Technical Skills Weighting'!#REF!+"`FU!gY"</f>
        <v>#REF!</v>
      </c>
      <c r="AZ37" t="e">
        <f>'Technical Skills Weighting'!#REF!+"`FU!gZ"</f>
        <v>#REF!</v>
      </c>
      <c r="BA37" t="e">
        <f>'Technical Skills Weighting'!#REF!+"`FU!g["</f>
        <v>#REF!</v>
      </c>
      <c r="BB37" t="e">
        <f>'Technical Skills Weighting'!#REF!+"`FU!g\"</f>
        <v>#REF!</v>
      </c>
      <c r="BC37" t="e">
        <f>'Technical Skills Weighting'!#REF!+"`FU!g]"</f>
        <v>#REF!</v>
      </c>
      <c r="BD37" t="e">
        <f>'Technical Skills Weighting'!#REF!+"`FU!g^"</f>
        <v>#REF!</v>
      </c>
      <c r="BE37" t="e">
        <f>'Technical Skills Weighting'!#REF!+"`FU!g_"</f>
        <v>#REF!</v>
      </c>
      <c r="BF37" t="e">
        <f>'Technical Skills Weighting'!#REF!+"`FU!g`"</f>
        <v>#REF!</v>
      </c>
      <c r="BG37" t="e">
        <f>'Technical Skills Weighting'!#REF!+"`FU!ga"</f>
        <v>#REF!</v>
      </c>
      <c r="BH37" t="e">
        <f>'Technical Skills Weighting'!#REF!+"`FU!gb"</f>
        <v>#REF!</v>
      </c>
      <c r="BI37" t="e">
        <f>'Technical Skills Weighting'!#REF!+"`FU!gc"</f>
        <v>#REF!</v>
      </c>
      <c r="BJ37" t="e">
        <f>'Technical Skills Weighting'!#REF!+"`FU!gd"</f>
        <v>#REF!</v>
      </c>
      <c r="BK37" t="e">
        <f>'Technical Skills Weighting'!#REF!+"`FU!ge"</f>
        <v>#REF!</v>
      </c>
      <c r="BL37" t="e">
        <f>'Technical Skills Weighting'!#REF!+"`FU!gf"</f>
        <v>#REF!</v>
      </c>
      <c r="BM37" t="e">
        <f>'Technical Skills Weighting'!#REF!+"`FU!gg"</f>
        <v>#REF!</v>
      </c>
      <c r="BN37" t="e">
        <f>'Technical Skills Weighting'!#REF!+"`FU!gh"</f>
        <v>#REF!</v>
      </c>
      <c r="BO37" t="e">
        <f>'Technical Skills Weighting'!#REF!+"`FU!gi"</f>
        <v>#REF!</v>
      </c>
      <c r="BP37" t="e">
        <f>'Technical Skills Weighting'!#REF!+"`FU!gj"</f>
        <v>#REF!</v>
      </c>
      <c r="BQ37" t="e">
        <f>'Technical Skills Weighting'!#REF!+"`FU!gk"</f>
        <v>#REF!</v>
      </c>
      <c r="BR37" t="e">
        <f>'Technical Skills Weighting'!#REF!+"`FU!gl"</f>
        <v>#REF!</v>
      </c>
      <c r="BS37" t="e">
        <f>'Technical Skills Weighting'!#REF!+"`FU!gm"</f>
        <v>#REF!</v>
      </c>
      <c r="BT37" t="e">
        <f>'Technical Skills Weighting'!#REF!+"`FU!gn"</f>
        <v>#REF!</v>
      </c>
      <c r="BU37" t="e">
        <f>'Technical Skills Weighting'!#REF!+"`FU!go"</f>
        <v>#REF!</v>
      </c>
      <c r="BV37" t="e">
        <f>'Technical Skills Weighting'!#REF!+"`FU!gp"</f>
        <v>#REF!</v>
      </c>
      <c r="BW37" t="e">
        <f>'Technical Skills Weighting'!#REF!+"`FU!gq"</f>
        <v>#REF!</v>
      </c>
      <c r="BX37" t="e">
        <f>'Technical Skills Weighting'!#REF!+"`FU!gr"</f>
        <v>#REF!</v>
      </c>
      <c r="BY37" t="e">
        <f>'Technical Skills Weighting'!#REF!+"`FU!gs"</f>
        <v>#REF!</v>
      </c>
      <c r="BZ37" t="e">
        <f>'Technical Skills Weighting'!#REF!+"`FU!gt"</f>
        <v>#REF!</v>
      </c>
      <c r="CA37" t="e">
        <f>'Technical Skills Weighting'!#REF!+"`FU!gu"</f>
        <v>#REF!</v>
      </c>
      <c r="CB37" t="e">
        <f>'Technical Skills Weighting'!#REF!+"`FU!gv"</f>
        <v>#REF!</v>
      </c>
      <c r="CC37" t="e">
        <f>'Technical Skills Weighting'!#REF!+"`FU!gw"</f>
        <v>#REF!</v>
      </c>
      <c r="CD37" t="e">
        <f>'Technical Skills Weighting'!#REF!+"`FU!gx"</f>
        <v>#REF!</v>
      </c>
      <c r="CE37" t="e">
        <f>'Technical Skills Weighting'!#REF!+"`FU!gy"</f>
        <v>#REF!</v>
      </c>
      <c r="CF37" t="e">
        <f>'Technical Skills Weighting'!#REF!+"`FU!gz"</f>
        <v>#REF!</v>
      </c>
      <c r="CG37" t="e">
        <f>'Technical Skills Weighting'!#REF!+"`FU!g{"</f>
        <v>#REF!</v>
      </c>
      <c r="CH37" t="e">
        <f>'Technical Skills Weighting'!#REF!+"`FU!g|"</f>
        <v>#REF!</v>
      </c>
      <c r="CI37" t="e">
        <f>'Technical Skills Weighting'!#REF!+"`FU!g}"</f>
        <v>#REF!</v>
      </c>
      <c r="CJ37" t="e">
        <f>'Technical Skills Weighting'!#REF!+"`FU!g~"</f>
        <v>#REF!</v>
      </c>
      <c r="CK37" t="e">
        <f>'Technical Skills Weighting'!#REF!+"`FU!h#"</f>
        <v>#REF!</v>
      </c>
      <c r="CL37" t="e">
        <f>'Technical Skills Weighting'!#REF!+"`FU!h$"</f>
        <v>#REF!</v>
      </c>
      <c r="CM37" t="e">
        <f>'Technical Skills Weighting'!#REF!+"`FU!h%"</f>
        <v>#REF!</v>
      </c>
      <c r="CN37" t="e">
        <f>'Technical Skills Weighting'!#REF!+"`FU!h&amp;"</f>
        <v>#REF!</v>
      </c>
      <c r="CO37" t="e">
        <f>'Technical Skills Weighting'!#REF!+"`FU!h'"</f>
        <v>#REF!</v>
      </c>
      <c r="CP37" t="e">
        <f>'Technical Skills Weighting'!#REF!+"`FU!h("</f>
        <v>#REF!</v>
      </c>
      <c r="CQ37" t="e">
        <f>'Technical Skills Weighting'!#REF!+"`FU!h)"</f>
        <v>#REF!</v>
      </c>
      <c r="CR37" t="e">
        <f>'Technical Skills Weighting'!#REF!+"`FU!h."</f>
        <v>#REF!</v>
      </c>
      <c r="CS37" t="e">
        <f>'Technical Skills Weighting'!#REF!+"`FU!h/"</f>
        <v>#REF!</v>
      </c>
      <c r="CT37" t="e">
        <f>'Technical Skills Weighting'!#REF!+"`FU!h0"</f>
        <v>#REF!</v>
      </c>
      <c r="CU37" t="e">
        <f>'Technical Skills Weighting'!#REF!+"`FU!h1"</f>
        <v>#REF!</v>
      </c>
      <c r="CV37" t="e">
        <f>'Technical Skills Weighting'!#REF!+"`FU!h2"</f>
        <v>#REF!</v>
      </c>
      <c r="CW37" t="e">
        <f>'Technical Skills Weighting'!#REF!+"`FU!h3"</f>
        <v>#REF!</v>
      </c>
      <c r="CX37" t="e">
        <f>'Technical Skills Weighting'!#REF!+"`FU!h4"</f>
        <v>#REF!</v>
      </c>
      <c r="CY37" t="e">
        <f>'Technical Skills Weighting'!#REF!+"`FU!h5"</f>
        <v>#REF!</v>
      </c>
      <c r="CZ37" t="e">
        <f>'Technical Skills Weighting'!#REF!+"`FU!h6"</f>
        <v>#REF!</v>
      </c>
      <c r="DA37" t="e">
        <f>'Technical Skills Weighting'!#REF!+"`FU!h7"</f>
        <v>#REF!</v>
      </c>
      <c r="DB37" t="e">
        <f>'Technical Skills Weighting'!#REF!+"`FU!h8"</f>
        <v>#REF!</v>
      </c>
      <c r="DC37" t="e">
        <f>'Technical Skills Weighting'!#REF!+"`FU!h9"</f>
        <v>#REF!</v>
      </c>
      <c r="DD37" t="e">
        <f>'Technical Skills Weighting'!#REF!+"`FU!h:"</f>
        <v>#REF!</v>
      </c>
      <c r="DE37" t="e">
        <f>'Technical Skills Weighting'!B11+"`FU!h;"</f>
        <v>#VALUE!</v>
      </c>
      <c r="DF37" t="e">
        <f>'Technical Skills Weighting'!#REF!+"`FU!h&lt;"</f>
        <v>#REF!</v>
      </c>
      <c r="DG37" t="e">
        <f>'Technical Skills Weighting'!#REF!+"`FU!h="</f>
        <v>#REF!</v>
      </c>
      <c r="DH37" t="e">
        <f>'Technical Skills Weighting'!#REF!+"`FU!h&gt;"</f>
        <v>#REF!</v>
      </c>
      <c r="DI37" t="e">
        <f>'Technical Skills Weighting'!#REF!+"`FU!h?"</f>
        <v>#REF!</v>
      </c>
      <c r="DJ37" t="e">
        <f>'Technical Skills Weighting'!#REF!+"`FU!h@"</f>
        <v>#REF!</v>
      </c>
      <c r="DK37" t="e">
        <f>'Technical Skills Weighting'!#REF!+"`FU!hA"</f>
        <v>#REF!</v>
      </c>
      <c r="DL37" t="e">
        <f>'Technical Skills Weighting'!#REF!+"`FU!hB"</f>
        <v>#REF!</v>
      </c>
      <c r="DM37" t="e">
        <f>'Technical Skills Weighting'!#REF!+"`FU!hC"</f>
        <v>#REF!</v>
      </c>
      <c r="DN37" t="e">
        <f>'Technical Skills Weighting'!#REF!+"`FU!hD"</f>
        <v>#REF!</v>
      </c>
      <c r="DO37" t="e">
        <f>'Technical Skills Weighting'!#REF!+"`FU!hE"</f>
        <v>#REF!</v>
      </c>
      <c r="DP37" t="e">
        <f>'Technical Skills Weighting'!#REF!+"`FU!hF"</f>
        <v>#REF!</v>
      </c>
      <c r="DQ37" t="e">
        <f>'Technical Skills Weighting'!#REF!+"`FU!hG"</f>
        <v>#REF!</v>
      </c>
      <c r="DR37" t="e">
        <f>'Technical Skills Weighting'!#REF!+"`FU!hH"</f>
        <v>#REF!</v>
      </c>
      <c r="DS37" t="e">
        <f>'Technical Skills Weighting'!#REF!+"`FU!hI"</f>
        <v>#REF!</v>
      </c>
      <c r="DT37" t="e">
        <f>'Technical Skills Weighting'!#REF!+"`FU!hJ"</f>
        <v>#REF!</v>
      </c>
      <c r="DU37" t="e">
        <f>'Technical Skills Weighting'!#REF!+"`FU!hK"</f>
        <v>#REF!</v>
      </c>
      <c r="DV37" t="e">
        <f>'Technical Skills Weighting'!#REF!+"`FU!hL"</f>
        <v>#REF!</v>
      </c>
      <c r="DW37" t="e">
        <f>'Technical Skills Weighting'!#REF!+"`FU!hM"</f>
        <v>#REF!</v>
      </c>
      <c r="DX37" t="e">
        <f>'Technical Skills Weighting'!#REF!+"`FU!hN"</f>
        <v>#REF!</v>
      </c>
      <c r="DY37" t="e">
        <f>'Technical Skills Weighting'!#REF!+"`FU!hO"</f>
        <v>#REF!</v>
      </c>
      <c r="DZ37" t="e">
        <f>'Technical Skills Weighting'!#REF!+"`FU!hP"</f>
        <v>#REF!</v>
      </c>
      <c r="EA37" t="e">
        <f>'Technical Skills Weighting'!#REF!+"`FU!hQ"</f>
        <v>#REF!</v>
      </c>
      <c r="EB37" t="e">
        <f>'Technical Skills Weighting'!#REF!+"`FU!hR"</f>
        <v>#REF!</v>
      </c>
      <c r="EC37" t="e">
        <f>'Technical Skills Weighting'!#REF!+"`FU!hS"</f>
        <v>#REF!</v>
      </c>
      <c r="ED37" t="e">
        <f>'Technical Skills Weighting'!#REF!+"`FU!hT"</f>
        <v>#REF!</v>
      </c>
      <c r="EE37" t="e">
        <f>'Technical Skills Weighting'!#REF!+"`FU!hU"</f>
        <v>#REF!</v>
      </c>
      <c r="EF37" t="e">
        <f>'Technical Skills Weighting'!#REF!+"`FU!hV"</f>
        <v>#REF!</v>
      </c>
      <c r="EG37" t="e">
        <f>'Technical Skills Weighting'!#REF!+"`FU!hW"</f>
        <v>#REF!</v>
      </c>
      <c r="EH37" t="e">
        <f>'Technical Skills Weighting'!#REF!+"`FU!hX"</f>
        <v>#REF!</v>
      </c>
      <c r="EI37" t="e">
        <f>'Technical Skills Weighting'!#REF!+"`FU!hY"</f>
        <v>#REF!</v>
      </c>
      <c r="EJ37" t="e">
        <f>'Technical Skills Weighting'!#REF!+"`FU!hZ"</f>
        <v>#REF!</v>
      </c>
      <c r="EK37" t="e">
        <f>'Technical Skills Weighting'!#REF!+"`FU!h["</f>
        <v>#REF!</v>
      </c>
      <c r="EL37" t="e">
        <f>'Technical Skills Weighting'!#REF!+"`FU!h\"</f>
        <v>#REF!</v>
      </c>
      <c r="EM37" t="e">
        <f>'Technical Skills Weighting'!#REF!+"`FU!h]"</f>
        <v>#REF!</v>
      </c>
      <c r="EN37" t="e">
        <f>'Technical Skills Weighting'!#REF!+"`FU!h^"</f>
        <v>#REF!</v>
      </c>
      <c r="EO37" t="e">
        <f>'Technical Skills Weighting'!#REF!+"`FU!h_"</f>
        <v>#REF!</v>
      </c>
      <c r="EP37" t="e">
        <f>'Technical Skills Weighting'!#REF!+"`FU!h`"</f>
        <v>#REF!</v>
      </c>
      <c r="EQ37" t="e">
        <f>'Technical Skills Weighting'!#REF!+"`FU!ha"</f>
        <v>#REF!</v>
      </c>
      <c r="ER37" t="e">
        <f>'Technical Skills Weighting'!#REF!+"`FU!hb"</f>
        <v>#REF!</v>
      </c>
      <c r="ES37" t="e">
        <f>'Technical Skills Weighting'!#REF!+"`FU!hc"</f>
        <v>#REF!</v>
      </c>
      <c r="ET37" t="e">
        <f>'Technical Skills Weighting'!#REF!+"`FU!hd"</f>
        <v>#REF!</v>
      </c>
      <c r="EU37" t="e">
        <f>'Technical Skills Weighting'!#REF!+"`FU!he"</f>
        <v>#REF!</v>
      </c>
      <c r="EV37" t="e">
        <f>'Technical Skills Weighting'!#REF!+"`FU!hf"</f>
        <v>#REF!</v>
      </c>
      <c r="EW37" t="e">
        <f>'Technical Skills Weighting'!#REF!+"`FU!hg"</f>
        <v>#REF!</v>
      </c>
      <c r="EX37" t="e">
        <f>'Technical Skills Weighting'!#REF!+"`FU!hh"</f>
        <v>#REF!</v>
      </c>
      <c r="EY37" t="e">
        <f>'Technical Skills Weighting'!#REF!+"`FU!hi"</f>
        <v>#REF!</v>
      </c>
      <c r="EZ37" t="e">
        <f>'Technical Skills Weighting'!#REF!+"`FU!hj"</f>
        <v>#REF!</v>
      </c>
      <c r="FA37" t="e">
        <f>'Technical Skills Weighting'!#REF!+"`FU!hk"</f>
        <v>#REF!</v>
      </c>
      <c r="FB37" t="e">
        <f>'Technical Skills Weighting'!#REF!+"`FU!hl"</f>
        <v>#REF!</v>
      </c>
      <c r="FC37" t="e">
        <f>'Technical Skills Weighting'!#REF!+"`FU!hm"</f>
        <v>#REF!</v>
      </c>
      <c r="FD37" t="e">
        <f>'Technical Skills Weighting'!#REF!+"`FU!hn"</f>
        <v>#REF!</v>
      </c>
      <c r="FE37" t="e">
        <f>'Technical Skills Weighting'!#REF!+"`FU!ho"</f>
        <v>#REF!</v>
      </c>
      <c r="FF37" t="e">
        <f>'Technical Skills Weighting'!#REF!+"`FU!hp"</f>
        <v>#REF!</v>
      </c>
      <c r="FG37" t="e">
        <f>'Technical Skills Weighting'!#REF!+"`FU!hq"</f>
        <v>#REF!</v>
      </c>
      <c r="FH37" t="e">
        <f>'Technical Skills Weighting'!#REF!+"`FU!hr"</f>
        <v>#REF!</v>
      </c>
      <c r="FI37" t="e">
        <f>'Technical Skills Weighting'!#REF!+"`FU!hs"</f>
        <v>#REF!</v>
      </c>
      <c r="FJ37" t="e">
        <f>'Technical Skills Weighting'!#REF!+"`FU!ht"</f>
        <v>#REF!</v>
      </c>
      <c r="FK37" t="e">
        <f>'Technical Skills Weighting'!#REF!+"`FU!hu"</f>
        <v>#REF!</v>
      </c>
      <c r="FL37" t="e">
        <f>'Technical Skills Weighting'!#REF!+"`FU!hv"</f>
        <v>#REF!</v>
      </c>
      <c r="FM37" t="e">
        <f>'Technical Skills Weighting'!#REF!+"`FU!hw"</f>
        <v>#REF!</v>
      </c>
      <c r="FN37" t="e">
        <f>'Technical Skills Weighting'!#REF!+"`FU!hx"</f>
        <v>#REF!</v>
      </c>
      <c r="FO37" t="e">
        <f>'Technical Skills Weighting'!#REF!+"`FU!hy"</f>
        <v>#REF!</v>
      </c>
      <c r="FP37" t="e">
        <f>'Technical Skills Weighting'!#REF!+"`FU!hz"</f>
        <v>#REF!</v>
      </c>
      <c r="FQ37" t="e">
        <f>'Technical Skills Weighting'!#REF!+"`FU!h{"</f>
        <v>#REF!</v>
      </c>
      <c r="FR37" t="e">
        <f>'Technical Skills Weighting'!#REF!+"`FU!h|"</f>
        <v>#REF!</v>
      </c>
      <c r="FS37" t="e">
        <f>'Technical Skills Weighting'!#REF!+"`FU!h}"</f>
        <v>#REF!</v>
      </c>
      <c r="FT37" t="e">
        <f>'Technical Skills Weighting'!#REF!+"`FU!h~"</f>
        <v>#REF!</v>
      </c>
      <c r="FU37" t="e">
        <f>'Technical Skills Weighting'!#REF!+"`FU!i#"</f>
        <v>#REF!</v>
      </c>
      <c r="FV37" t="e">
        <f>'Technical Skills Weighting'!#REF!+"`FU!i$"</f>
        <v>#REF!</v>
      </c>
      <c r="FW37" t="e">
        <f>'Technical Skills Weighting'!#REF!+"`FU!i%"</f>
        <v>#REF!</v>
      </c>
      <c r="FX37" t="e">
        <f>'Technical Skills Weighting'!#REF!+"`FU!i&amp;"</f>
        <v>#REF!</v>
      </c>
      <c r="FY37" t="e">
        <f>'Technical Skills Weighting'!#REF!+"`FU!i'"</f>
        <v>#REF!</v>
      </c>
      <c r="FZ37" t="e">
        <f>'Technical Skills Weighting'!#REF!+"`FU!i("</f>
        <v>#REF!</v>
      </c>
      <c r="GA37" t="e">
        <f>'Technical Skills Weighting'!#REF!+"`FU!i)"</f>
        <v>#REF!</v>
      </c>
      <c r="GB37" t="e">
        <f>'Technical Skills Weighting'!#REF!+"`FU!i."</f>
        <v>#REF!</v>
      </c>
      <c r="GC37" t="e">
        <f>'Technical Skills Weighting'!#REF!+"`FU!i/"</f>
        <v>#REF!</v>
      </c>
      <c r="GD37" t="e">
        <f>'Technical Skills Weighting'!#REF!+"`FU!i0"</f>
        <v>#REF!</v>
      </c>
      <c r="GE37" t="e">
        <f>'Technical Skills Weighting'!#REF!+"`FU!i1"</f>
        <v>#REF!</v>
      </c>
      <c r="GF37" t="e">
        <f>'Technical Skills Weighting'!#REF!+"`FU!i2"</f>
        <v>#REF!</v>
      </c>
      <c r="GG37" t="e">
        <f>'Technical Skills Weighting'!#REF!+"`FU!i3"</f>
        <v>#REF!</v>
      </c>
      <c r="GH37" t="e">
        <f>'Technical Skills Weighting'!#REF!+"`FU!i4"</f>
        <v>#REF!</v>
      </c>
      <c r="GI37" t="e">
        <f>'Technical Skills Weighting'!#REF!+"`FU!i5"</f>
        <v>#REF!</v>
      </c>
      <c r="GJ37" t="e">
        <f>'Technical Skills Weighting'!#REF!+"`FU!i6"</f>
        <v>#REF!</v>
      </c>
      <c r="GK37" t="e">
        <f>'Technical Skills Weighting'!#REF!+"`FU!i7"</f>
        <v>#REF!</v>
      </c>
      <c r="GL37" t="e">
        <f>'Technical Skills Weighting'!#REF!+"`FU!i8"</f>
        <v>#REF!</v>
      </c>
      <c r="GM37" t="e">
        <f>'Technical Skills Weighting'!#REF!+"`FU!i9"</f>
        <v>#REF!</v>
      </c>
      <c r="GN37" t="e">
        <f>'Technical Skills Weighting'!#REF!+"`FU!i:"</f>
        <v>#REF!</v>
      </c>
      <c r="GO37" t="e">
        <f>'Technical Skills Weighting'!#REF!+"`FU!i;"</f>
        <v>#REF!</v>
      </c>
      <c r="GP37" t="e">
        <f>'Technical Skills Weighting'!#REF!+"`FU!i&lt;"</f>
        <v>#REF!</v>
      </c>
      <c r="GQ37" t="e">
        <f>'Technical Skills Weighting'!#REF!+"`FU!i="</f>
        <v>#REF!</v>
      </c>
      <c r="GR37" t="e">
        <f>'Technical Skills Weighting'!#REF!+"`FU!i&gt;"</f>
        <v>#REF!</v>
      </c>
      <c r="GS37" t="e">
        <f>'Technical Skills Weighting'!#REF!+"`FU!i?"</f>
        <v>#REF!</v>
      </c>
      <c r="GT37" t="e">
        <f>'Technical Skills Weighting'!#REF!+"`FU!i@"</f>
        <v>#REF!</v>
      </c>
      <c r="GU37" t="e">
        <f>'Technical Skills Weighting'!#REF!+"`FU!iA"</f>
        <v>#REF!</v>
      </c>
      <c r="GV37" t="e">
        <f>'Technical Skills Weighting'!#REF!+"`FU!iB"</f>
        <v>#REF!</v>
      </c>
      <c r="GW37" t="e">
        <f>'Technical Skills Weighting'!#REF!+"`FU!iC"</f>
        <v>#REF!</v>
      </c>
      <c r="GX37" t="e">
        <f>'Technical Skills Weighting'!#REF!+"`FU!iD"</f>
        <v>#REF!</v>
      </c>
      <c r="GY37" t="e">
        <f>'Technical Skills Weighting'!#REF!+"`FU!iE"</f>
        <v>#REF!</v>
      </c>
      <c r="GZ37" t="e">
        <f>'Technical Skills Weighting'!#REF!+"`FU!iF"</f>
        <v>#REF!</v>
      </c>
      <c r="HA37" t="e">
        <f>'Technical Skills Weighting'!#REF!+"`FU!iG"</f>
        <v>#REF!</v>
      </c>
      <c r="HB37" t="e">
        <f>'Technical Skills Weighting'!#REF!+"`FU!iH"</f>
        <v>#REF!</v>
      </c>
      <c r="HC37" t="e">
        <f>'Technical Skills Weighting'!#REF!+"`FU!iI"</f>
        <v>#REF!</v>
      </c>
      <c r="HD37" t="e">
        <f>'Technical Skills Weighting'!#REF!+"`FU!iJ"</f>
        <v>#REF!</v>
      </c>
      <c r="HE37" t="e">
        <f>'Technical Skills Weighting'!#REF!+"`FU!iK"</f>
        <v>#REF!</v>
      </c>
      <c r="HF37" t="e">
        <f>'Technical Skills Weighting'!#REF!+"`FU!iL"</f>
        <v>#REF!</v>
      </c>
      <c r="HG37" t="e">
        <f>'Technical Skills Weighting'!#REF!+"`FU!iM"</f>
        <v>#REF!</v>
      </c>
      <c r="HH37" t="e">
        <f>'Technical Skills Weighting'!#REF!+"`FU!iN"</f>
        <v>#REF!</v>
      </c>
      <c r="HI37" t="e">
        <f>'Technical Skills Weighting'!#REF!+"`FU!iO"</f>
        <v>#REF!</v>
      </c>
      <c r="HJ37" t="e">
        <f>'Technical Skills Weighting'!#REF!+"`FU!iP"</f>
        <v>#REF!</v>
      </c>
      <c r="HK37" t="e">
        <f>'Technical Skills Weighting'!#REF!+"`FU!iQ"</f>
        <v>#REF!</v>
      </c>
      <c r="HL37" t="e">
        <f>'Technical Skills Weighting'!#REF!+"`FU!iR"</f>
        <v>#REF!</v>
      </c>
      <c r="HM37" t="e">
        <f>'Technical Skills Weighting'!#REF!+"`FU!iS"</f>
        <v>#REF!</v>
      </c>
      <c r="HN37" t="e">
        <f>'Technical Skills Weighting'!#REF!+"`FU!iT"</f>
        <v>#REF!</v>
      </c>
      <c r="HO37" t="e">
        <f>'Technical Skills Weighting'!#REF!+"`FU!iU"</f>
        <v>#REF!</v>
      </c>
      <c r="HP37" t="e">
        <f>'Technical Skills Weighting'!#REF!+"`FU!iV"</f>
        <v>#REF!</v>
      </c>
      <c r="HQ37" t="e">
        <f>'Technical Skills Weighting'!#REF!+"`FU!iW"</f>
        <v>#REF!</v>
      </c>
      <c r="HR37" t="e">
        <f>'Technical Skills Weighting'!#REF!+"`FU!iX"</f>
        <v>#REF!</v>
      </c>
      <c r="HS37" t="e">
        <f>'Technical Skills Weighting'!#REF!+"`FU!iY"</f>
        <v>#REF!</v>
      </c>
      <c r="HT37" t="e">
        <f>'Technical Skills Weighting'!#REF!+"`FU!iZ"</f>
        <v>#REF!</v>
      </c>
      <c r="HU37" t="e">
        <f>'Technical Skills Weighting'!#REF!+"`FU!i["</f>
        <v>#REF!</v>
      </c>
      <c r="HV37" t="e">
        <f>'Technical Skills Weighting'!#REF!+"`FU!i\"</f>
        <v>#REF!</v>
      </c>
      <c r="HW37" t="e">
        <f>'Technical Skills Weighting'!#REF!+"`FU!i]"</f>
        <v>#REF!</v>
      </c>
      <c r="HX37" t="e">
        <f>'Technical Skills Weighting'!#REF!+"`FU!i^"</f>
        <v>#REF!</v>
      </c>
      <c r="HY37" t="e">
        <f>'Technical Skills Weighting'!#REF!+"`FU!i_"</f>
        <v>#REF!</v>
      </c>
      <c r="HZ37" t="e">
        <f>'Technical Skills Weighting'!#REF!+"`FU!i`"</f>
        <v>#REF!</v>
      </c>
      <c r="IA37" t="e">
        <f>'Technical Skills Weighting'!#REF!+"`FU!ia"</f>
        <v>#REF!</v>
      </c>
      <c r="IB37" t="e">
        <f>'Technical Skills Weighting'!#REF!+"`FU!ib"</f>
        <v>#REF!</v>
      </c>
      <c r="IC37" t="e">
        <f>'Technical Skills Weighting'!#REF!+"`FU!ic"</f>
        <v>#REF!</v>
      </c>
      <c r="ID37" t="e">
        <f>'Technical Skills Weighting'!#REF!+"`FU!id"</f>
        <v>#REF!</v>
      </c>
      <c r="IE37" t="e">
        <f>'Technical Skills Weighting'!#REF!+"`FU!ie"</f>
        <v>#REF!</v>
      </c>
      <c r="IF37" t="e">
        <f>'Technical Skills Weighting'!#REF!+"`FU!if"</f>
        <v>#REF!</v>
      </c>
      <c r="IG37" t="e">
        <f>'Technical Skills Weighting'!#REF!+"`FU!ig"</f>
        <v>#REF!</v>
      </c>
      <c r="IH37" t="e">
        <f>'Technical Skills Weighting'!#REF!+"`FU!ih"</f>
        <v>#REF!</v>
      </c>
      <c r="II37" t="e">
        <f>'Technical Skills Weighting'!#REF!+"`FU!ii"</f>
        <v>#REF!</v>
      </c>
      <c r="IJ37" t="e">
        <f>'Technical Skills Weighting'!#REF!+"`FU!ij"</f>
        <v>#REF!</v>
      </c>
      <c r="IK37" t="e">
        <f>'Technical Skills Weighting'!#REF!+"`FU!ik"</f>
        <v>#REF!</v>
      </c>
      <c r="IL37" t="e">
        <f>'Technical Skills Weighting'!#REF!+"`FU!il"</f>
        <v>#REF!</v>
      </c>
      <c r="IM37" t="e">
        <f>'Technical Skills Weighting'!#REF!+"`FU!im"</f>
        <v>#REF!</v>
      </c>
      <c r="IN37" t="e">
        <f>'Technical Skills Weighting'!#REF!+"`FU!in"</f>
        <v>#REF!</v>
      </c>
      <c r="IO37" t="e">
        <f>'Technical Skills Weighting'!#REF!+"`FU!io"</f>
        <v>#REF!</v>
      </c>
      <c r="IP37" t="e">
        <f>'Technical Skills Weighting'!#REF!+"`FU!ip"</f>
        <v>#REF!</v>
      </c>
      <c r="IQ37" t="e">
        <f>'Technical Skills Weighting'!#REF!+"`FU!iq"</f>
        <v>#REF!</v>
      </c>
      <c r="IR37" t="e">
        <f>'Technical Skills Weighting'!#REF!+"`FU!ir"</f>
        <v>#REF!</v>
      </c>
      <c r="IS37" t="e">
        <f>'Technical Skills Weighting'!#REF!+"`FU!is"</f>
        <v>#REF!</v>
      </c>
      <c r="IT37" t="e">
        <f>'Technical Skills Weighting'!#REF!+"`FU!it"</f>
        <v>#REF!</v>
      </c>
      <c r="IU37" t="e">
        <f>'Technical Skills Weighting'!#REF!+"`FU!iu"</f>
        <v>#REF!</v>
      </c>
      <c r="IV37" t="e">
        <f>'Technical Skills Weighting'!#REF!+"`FU!iv"</f>
        <v>#REF!</v>
      </c>
    </row>
    <row r="38" spans="6:256" x14ac:dyDescent="0.25">
      <c r="F38" t="e">
        <f>'Technical Skills Weighting'!#REF!+"`FU!iw"</f>
        <v>#REF!</v>
      </c>
      <c r="G38" t="e">
        <f>'Technical Skills Weighting'!#REF!+"`FU!ix"</f>
        <v>#REF!</v>
      </c>
      <c r="H38" t="e">
        <f>'Technical Skills Weighting'!#REF!+"`FU!iy"</f>
        <v>#REF!</v>
      </c>
      <c r="I38" t="e">
        <f>'Technical Skills Weighting'!#REF!+"`FU!iz"</f>
        <v>#REF!</v>
      </c>
      <c r="J38" t="e">
        <f>'Technical Skills Weighting'!#REF!+"`FU!i{"</f>
        <v>#REF!</v>
      </c>
      <c r="K38" t="e">
        <f>'Technical Skills Weighting'!#REF!+"`FU!i|"</f>
        <v>#REF!</v>
      </c>
      <c r="L38" t="e">
        <f>'Technical Skills Weighting'!#REF!+"`FU!i}"</f>
        <v>#REF!</v>
      </c>
      <c r="M38" t="e">
        <f>'Technical Skills Weighting'!#REF!+"`FU!i~"</f>
        <v>#REF!</v>
      </c>
      <c r="N38" t="e">
        <f>'Technical Skills Weighting'!#REF!+"`FU!j#"</f>
        <v>#REF!</v>
      </c>
      <c r="O38" t="e">
        <f>'Technical Skills Weighting'!#REF!+"`FU!j$"</f>
        <v>#REF!</v>
      </c>
      <c r="P38" t="e">
        <f>'Technical Skills Weighting'!#REF!+"`FU!j%"</f>
        <v>#REF!</v>
      </c>
      <c r="Q38" t="e">
        <f>'Technical Skills Weighting'!#REF!+"`FU!j&amp;"</f>
        <v>#REF!</v>
      </c>
      <c r="R38" t="e">
        <f>'Technical Skills Weighting'!#REF!+"`FU!j'"</f>
        <v>#REF!</v>
      </c>
      <c r="S38" t="e">
        <f>'Technical Skills Weighting'!#REF!+"`FU!j("</f>
        <v>#REF!</v>
      </c>
      <c r="T38" t="e">
        <f>'Technical Skills Weighting'!#REF!+"`FU!j)"</f>
        <v>#REF!</v>
      </c>
      <c r="U38" t="e">
        <f>'Technical Skills Weighting'!#REF!+"`FU!j."</f>
        <v>#REF!</v>
      </c>
      <c r="V38" t="e">
        <f>'Technical Skills Weighting'!#REF!+"`FU!j/"</f>
        <v>#REF!</v>
      </c>
      <c r="W38" t="e">
        <f>'Technical Skills Weighting'!#REF!+"`FU!j0"</f>
        <v>#REF!</v>
      </c>
      <c r="X38" t="e">
        <f>'Technical Skills Weighting'!#REF!+"`FU!j1"</f>
        <v>#REF!</v>
      </c>
      <c r="Y38" t="e">
        <f>'Technical Skills Weighting'!#REF!+"`FU!j2"</f>
        <v>#REF!</v>
      </c>
      <c r="Z38" t="e">
        <f>'Technical Skills Weighting'!#REF!+"`FU!j3"</f>
        <v>#REF!</v>
      </c>
      <c r="AA38" t="e">
        <f>'Technical Skills Weighting'!#REF!+"`FU!j4"</f>
        <v>#REF!</v>
      </c>
      <c r="AB38" t="e">
        <f>'Technical Skills Weighting'!#REF!+"`FU!j5"</f>
        <v>#REF!</v>
      </c>
      <c r="AC38" t="e">
        <f>'Technical Skills Weighting'!#REF!+"`FU!j6"</f>
        <v>#REF!</v>
      </c>
      <c r="AD38" t="e">
        <f>'Technical Skills Weighting'!#REF!+"`FU!j7"</f>
        <v>#REF!</v>
      </c>
      <c r="AE38" t="e">
        <f>'Technical Skills Weighting'!#REF!+"`FU!j8"</f>
        <v>#REF!</v>
      </c>
      <c r="AF38" t="e">
        <f>'Technical Skills Weighting'!#REF!+"`FU!j9"</f>
        <v>#REF!</v>
      </c>
      <c r="AG38" t="e">
        <f>'Technical Skills Weighting'!#REF!+"`FU!j:"</f>
        <v>#REF!</v>
      </c>
      <c r="AH38" t="e">
        <f>'Technical Skills Weighting'!#REF!+"`FU!j;"</f>
        <v>#REF!</v>
      </c>
      <c r="AI38" t="e">
        <f>'Technical Skills Weighting'!#REF!+"`FU!j&lt;"</f>
        <v>#REF!</v>
      </c>
      <c r="AJ38" t="e">
        <f>'Technical Skills Weighting'!#REF!+"`FU!j="</f>
        <v>#REF!</v>
      </c>
      <c r="AK38" t="e">
        <f>'Technical Skills Weighting'!#REF!+"`FU!j&gt;"</f>
        <v>#REF!</v>
      </c>
      <c r="AL38" t="e">
        <f>'Technical Skills Weighting'!#REF!+"`FU!j?"</f>
        <v>#REF!</v>
      </c>
      <c r="AM38" t="e">
        <f>'Technical Skills Weighting'!#REF!+"`FU!j@"</f>
        <v>#REF!</v>
      </c>
      <c r="AN38" t="e">
        <f>'Technical Skills Weighting'!#REF!+"`FU!jA"</f>
        <v>#REF!</v>
      </c>
      <c r="AO38" t="e">
        <f>'Technical Skills Weighting'!#REF!+"`FU!jB"</f>
        <v>#REF!</v>
      </c>
      <c r="AP38" t="e">
        <f>'Technical Skills Weighting'!#REF!+"`FU!jC"</f>
        <v>#REF!</v>
      </c>
      <c r="AQ38" t="e">
        <f>'Technical Skills Weighting'!#REF!+"`FU!jD"</f>
        <v>#REF!</v>
      </c>
      <c r="AR38" t="e">
        <f>'Technical Skills Weighting'!#REF!+"`FU!jE"</f>
        <v>#REF!</v>
      </c>
      <c r="AS38" t="e">
        <f>'Technical Skills Weighting'!#REF!+"`FU!jF"</f>
        <v>#REF!</v>
      </c>
      <c r="AT38" t="e">
        <f>'Technical Skills Weighting'!#REF!+"`FU!jG"</f>
        <v>#REF!</v>
      </c>
      <c r="AU38" t="e">
        <f>'Technical Skills Weighting'!#REF!+"`FU!jH"</f>
        <v>#REF!</v>
      </c>
      <c r="AV38" t="e">
        <f>'Technical Skills Weighting'!#REF!+"`FU!jI"</f>
        <v>#REF!</v>
      </c>
      <c r="AW38" t="e">
        <f>'Technical Skills Weighting'!#REF!+"`FU!jJ"</f>
        <v>#REF!</v>
      </c>
      <c r="AX38" t="e">
        <f>'Technical Skills Weighting'!#REF!+"`FU!jK"</f>
        <v>#REF!</v>
      </c>
      <c r="AY38" t="e">
        <f>'Technical Skills Weighting'!#REF!+"`FU!jL"</f>
        <v>#REF!</v>
      </c>
      <c r="AZ38" t="e">
        <f>'Technical Skills Weighting'!#REF!+"`FU!jM"</f>
        <v>#REF!</v>
      </c>
      <c r="BA38" t="e">
        <f>'Technical Skills Weighting'!#REF!+"`FU!jN"</f>
        <v>#REF!</v>
      </c>
      <c r="BB38" t="e">
        <f>'Technical Skills Weighting'!#REF!+"`FU!jO"</f>
        <v>#REF!</v>
      </c>
      <c r="BC38" t="e">
        <f>'Technical Skills Weighting'!#REF!+"`FU!jP"</f>
        <v>#REF!</v>
      </c>
      <c r="BD38" t="e">
        <f>'Technical Skills Weighting'!#REF!+"`FU!jQ"</f>
        <v>#REF!</v>
      </c>
      <c r="BE38" t="e">
        <f>'Technical Skills Weighting'!#REF!+"`FU!jR"</f>
        <v>#REF!</v>
      </c>
      <c r="BF38" t="e">
        <f>'Technical Skills Weighting'!#REF!+"`FU!jS"</f>
        <v>#REF!</v>
      </c>
      <c r="BG38" t="e">
        <f>'Technical Skills Weighting'!#REF!+"`FU!jT"</f>
        <v>#REF!</v>
      </c>
      <c r="BH38" t="e">
        <f>'Technical Skills Weighting'!#REF!+"`FU!jU"</f>
        <v>#REF!</v>
      </c>
      <c r="BI38" t="e">
        <f>'Technical Skills Weighting'!#REF!+"`FU!jV"</f>
        <v>#REF!</v>
      </c>
      <c r="BJ38" t="e">
        <f>'Technical Skills Weighting'!#REF!+"`FU!jW"</f>
        <v>#REF!</v>
      </c>
      <c r="BK38" t="e">
        <f>'Technical Skills Weighting'!#REF!+"`FU!jX"</f>
        <v>#REF!</v>
      </c>
      <c r="BL38" t="e">
        <f>'Technical Skills Weighting'!#REF!+"`FU!jY"</f>
        <v>#REF!</v>
      </c>
      <c r="BM38" t="e">
        <f>'Technical Skills Weighting'!#REF!+"`FU!jZ"</f>
        <v>#REF!</v>
      </c>
      <c r="BN38" t="e">
        <f>'Technical Skills Weighting'!#REF!+"`FU!j["</f>
        <v>#REF!</v>
      </c>
      <c r="BO38" t="e">
        <f>'Technical Skills Weighting'!#REF!+"`FU!j\"</f>
        <v>#REF!</v>
      </c>
      <c r="BP38" t="e">
        <f>'Technical Skills Weighting'!#REF!+"`FU!j]"</f>
        <v>#REF!</v>
      </c>
      <c r="BQ38" t="e">
        <f>'Technical Skills Weighting'!#REF!+"`FU!j^"</f>
        <v>#REF!</v>
      </c>
      <c r="BR38" t="e">
        <f>'Technical Skills Weighting'!#REF!+"`FU!j_"</f>
        <v>#REF!</v>
      </c>
      <c r="BS38" t="e">
        <f>'Technical Skills Weighting'!#REF!+"`FU!j`"</f>
        <v>#REF!</v>
      </c>
      <c r="BT38" t="e">
        <f>'Technical Skills Weighting'!#REF!+"`FU!ja"</f>
        <v>#REF!</v>
      </c>
      <c r="BU38" t="e">
        <f>'Technical Skills Weighting'!#REF!+"`FU!jb"</f>
        <v>#REF!</v>
      </c>
      <c r="BV38" t="e">
        <f>'Technical Skills Weighting'!#REF!+"`FU!jc"</f>
        <v>#REF!</v>
      </c>
      <c r="BW38" t="e">
        <f>'Technical Skills Weighting'!#REF!+"`FU!jd"</f>
        <v>#REF!</v>
      </c>
      <c r="BX38" t="e">
        <f>'Technical Skills Weighting'!#REF!+"`FU!je"</f>
        <v>#REF!</v>
      </c>
      <c r="BY38" t="e">
        <f>'Technical Skills Weighting'!#REF!+"`FU!jf"</f>
        <v>#REF!</v>
      </c>
      <c r="BZ38" t="e">
        <f>'Technical Skills Weighting'!#REF!+"`FU!jg"</f>
        <v>#REF!</v>
      </c>
      <c r="CA38" t="e">
        <f>'Technical Skills Weighting'!#REF!+"`FU!jh"</f>
        <v>#REF!</v>
      </c>
      <c r="CB38" t="e">
        <f>'Technical Skills Weighting'!#REF!+"`FU!ji"</f>
        <v>#REF!</v>
      </c>
      <c r="CC38" t="e">
        <f>'Technical Skills Weighting'!#REF!+"`FU!jj"</f>
        <v>#REF!</v>
      </c>
      <c r="CD38" t="e">
        <f>'Technical Skills Weighting'!#REF!+"`FU!jk"</f>
        <v>#REF!</v>
      </c>
      <c r="CE38" t="e">
        <f>'Technical Skills Weighting'!#REF!+"`FU!jl"</f>
        <v>#REF!</v>
      </c>
      <c r="CF38" t="e">
        <f>'Technical Skills Weighting'!#REF!+"`FU!jm"</f>
        <v>#REF!</v>
      </c>
      <c r="CG38" t="e">
        <f>'Technical Skills Weighting'!#REF!+"`FU!jn"</f>
        <v>#REF!</v>
      </c>
      <c r="CH38" t="e">
        <f>'Technical Skills Weighting'!#REF!+"`FU!jo"</f>
        <v>#REF!</v>
      </c>
      <c r="CI38" t="e">
        <f>'Technical Skills Weighting'!#REF!+"`FU!jp"</f>
        <v>#REF!</v>
      </c>
      <c r="CJ38" t="e">
        <f>'Technical Skills Weighting'!#REF!+"`FU!jq"</f>
        <v>#REF!</v>
      </c>
      <c r="CK38" t="e">
        <f>'Technical Skills Weighting'!#REF!+"`FU!jr"</f>
        <v>#REF!</v>
      </c>
      <c r="CL38" t="e">
        <f>'Technical Skills Weighting'!#REF!+"`FU!js"</f>
        <v>#REF!</v>
      </c>
      <c r="CM38" t="e">
        <f>'Technical Skills Weighting'!#REF!+"`FU!jt"</f>
        <v>#REF!</v>
      </c>
      <c r="CN38" t="e">
        <f>'Technical Skills Weighting'!#REF!+"`FU!ju"</f>
        <v>#REF!</v>
      </c>
      <c r="CO38" t="e">
        <f>'Technical Skills Weighting'!#REF!+"`FU!jv"</f>
        <v>#REF!</v>
      </c>
      <c r="CP38" t="e">
        <f>'Technical Skills Weighting'!#REF!+"`FU!jw"</f>
        <v>#REF!</v>
      </c>
      <c r="CQ38" t="e">
        <f>'Technical Skills Weighting'!#REF!+"`FU!jx"</f>
        <v>#REF!</v>
      </c>
      <c r="CR38" t="e">
        <f>'Technical Skills Weighting'!#REF!+"`FU!jy"</f>
        <v>#REF!</v>
      </c>
      <c r="CS38" t="e">
        <f>'Technical Skills Weighting'!#REF!+"`FU!jz"</f>
        <v>#REF!</v>
      </c>
      <c r="CT38" t="e">
        <f>'Technical Skills Weighting'!#REF!+"`FU!j{"</f>
        <v>#REF!</v>
      </c>
      <c r="CU38" t="e">
        <f>'Technical Skills Weighting'!#REF!+"`FU!j|"</f>
        <v>#REF!</v>
      </c>
      <c r="CV38" t="e">
        <f>'Technical Skills Weighting'!#REF!+"`FU!j}"</f>
        <v>#REF!</v>
      </c>
      <c r="CW38" t="e">
        <f>'Technical Skills Weighting'!#REF!+"`FU!j~"</f>
        <v>#REF!</v>
      </c>
      <c r="CX38" t="e">
        <f>'Technical Skills Weighting'!#REF!+"`FU!k#"</f>
        <v>#REF!</v>
      </c>
      <c r="CY38" t="e">
        <f>'Technical Skills Weighting'!#REF!+"`FU!k$"</f>
        <v>#REF!</v>
      </c>
      <c r="CZ38" t="e">
        <f>'Technical Skills Weighting'!#REF!+"`FU!k%"</f>
        <v>#REF!</v>
      </c>
      <c r="DA38" t="e">
        <f>'Technical Skills Weighting'!#REF!+"`FU!k&amp;"</f>
        <v>#REF!</v>
      </c>
      <c r="DB38" t="e">
        <f>'Technical Skills Weighting'!#REF!+"`FU!k'"</f>
        <v>#REF!</v>
      </c>
      <c r="DC38" t="e">
        <f>'Technical Skills Weighting'!#REF!+"`FU!k("</f>
        <v>#REF!</v>
      </c>
      <c r="DD38" t="e">
        <f>'Technical Skills Weighting'!#REF!+"`FU!k)"</f>
        <v>#REF!</v>
      </c>
      <c r="DE38" t="e">
        <f>'Technical Skills Weighting'!#REF!+"`FU!k."</f>
        <v>#REF!</v>
      </c>
      <c r="DF38" t="e">
        <f>'Technical Skills Weighting'!#REF!+"`FU!k/"</f>
        <v>#REF!</v>
      </c>
      <c r="DG38" t="e">
        <f>'Technical Skills Weighting'!#REF!+"`FU!k0"</f>
        <v>#REF!</v>
      </c>
      <c r="DH38" t="e">
        <f>'Technical Skills Weighting'!#REF!+"`FU!k1"</f>
        <v>#REF!</v>
      </c>
      <c r="DI38" t="e">
        <f>'Technical Skills Weighting'!#REF!+"`FU!k2"</f>
        <v>#REF!</v>
      </c>
      <c r="DJ38" t="e">
        <f>'Technical Skills Weighting'!#REF!+"`FU!k3"</f>
        <v>#REF!</v>
      </c>
      <c r="DK38" t="e">
        <f>'Technical Skills Weighting'!#REF!+"`FU!k4"</f>
        <v>#REF!</v>
      </c>
      <c r="DL38" t="e">
        <f>'Technical Skills Weighting'!#REF!+"`FU!k5"</f>
        <v>#REF!</v>
      </c>
      <c r="DM38" t="e">
        <f>'Technical Skills Weighting'!#REF!+"`FU!k6"</f>
        <v>#REF!</v>
      </c>
      <c r="DN38" t="e">
        <f>'Technical Skills Weighting'!#REF!+"`FU!k7"</f>
        <v>#REF!</v>
      </c>
      <c r="DO38" t="e">
        <f>'Technical Skills Weighting'!#REF!+"`FU!k8"</f>
        <v>#REF!</v>
      </c>
      <c r="DP38" t="e">
        <f>'Technical Skills Weighting'!#REF!+"`FU!k9"</f>
        <v>#REF!</v>
      </c>
      <c r="DQ38" t="e">
        <f>'Technical Skills Weighting'!#REF!+"`FU!k:"</f>
        <v>#REF!</v>
      </c>
      <c r="DR38" t="e">
        <f>'Technical Skills Weighting'!#REF!+"`FU!k;"</f>
        <v>#REF!</v>
      </c>
      <c r="DS38" t="e">
        <f>'Technical Skills Weighting'!#REF!+"`FU!k&lt;"</f>
        <v>#REF!</v>
      </c>
      <c r="DT38" t="e">
        <f>'Technical Skills Weighting'!#REF!+"`FU!k="</f>
        <v>#REF!</v>
      </c>
      <c r="DU38" t="e">
        <f>'Technical Skills Weighting'!#REF!+"`FU!k&gt;"</f>
        <v>#REF!</v>
      </c>
      <c r="DV38" t="e">
        <f>'Technical Skills Weighting'!#REF!+"`FU!k?"</f>
        <v>#REF!</v>
      </c>
      <c r="DW38" t="e">
        <f>'Technical Skills Weighting'!#REF!+"`FU!k@"</f>
        <v>#REF!</v>
      </c>
      <c r="DX38" t="e">
        <f>'Technical Skills Weighting'!#REF!+"`FU!kA"</f>
        <v>#REF!</v>
      </c>
      <c r="DY38" t="e">
        <f>'Technical Skills Weighting'!#REF!+"`FU!kB"</f>
        <v>#REF!</v>
      </c>
      <c r="DZ38" t="e">
        <f>'Technical Skills Weighting'!#REF!+"`FU!kC"</f>
        <v>#REF!</v>
      </c>
      <c r="EA38" t="e">
        <f>'Technical Skills Weighting'!#REF!+"`FU!kD"</f>
        <v>#REF!</v>
      </c>
      <c r="EB38" t="e">
        <f>'Technical Skills Weighting'!#REF!+"`FU!kE"</f>
        <v>#REF!</v>
      </c>
      <c r="EC38" t="e">
        <f>'Technical Skills Weighting'!#REF!+"`FU!kF"</f>
        <v>#REF!</v>
      </c>
      <c r="ED38" t="e">
        <f>'Technical Skills Weighting'!#REF!+"`FU!kG"</f>
        <v>#REF!</v>
      </c>
      <c r="EE38" t="e">
        <f>'Technical Skills Weighting'!#REF!+"`FU!kH"</f>
        <v>#REF!</v>
      </c>
      <c r="EF38" t="e">
        <f>'Technical Skills Weighting'!#REF!+"`FU!kI"</f>
        <v>#REF!</v>
      </c>
      <c r="EG38" t="e">
        <f>'Technical Skills Weighting'!#REF!+"`FU!kJ"</f>
        <v>#REF!</v>
      </c>
      <c r="EH38" t="e">
        <f>'Technical Skills Weighting'!#REF!+"`FU!kK"</f>
        <v>#REF!</v>
      </c>
      <c r="EI38" t="e">
        <f>'Technical Skills Weighting'!#REF!+"`FU!kL"</f>
        <v>#REF!</v>
      </c>
      <c r="EJ38" t="e">
        <f>'Technical Skills Weighting'!#REF!+"`FU!kM"</f>
        <v>#REF!</v>
      </c>
      <c r="EK38" t="e">
        <f>'Technical Skills Weighting'!#REF!+"`FU!kN"</f>
        <v>#REF!</v>
      </c>
      <c r="EL38" t="e">
        <f>'Technical Skills Weighting'!#REF!+"`FU!kO"</f>
        <v>#REF!</v>
      </c>
      <c r="EM38" t="e">
        <f>'Technical Skills Weighting'!#REF!+"`FU!kP"</f>
        <v>#REF!</v>
      </c>
      <c r="EN38" t="e">
        <f>'Technical Skills Weighting'!#REF!+"`FU!kQ"</f>
        <v>#REF!</v>
      </c>
      <c r="EO38" t="e">
        <f>'Technical Skills Weighting'!#REF!+"`FU!kR"</f>
        <v>#REF!</v>
      </c>
      <c r="EP38" t="e">
        <f>'Technical Skills Weighting'!#REF!+"`FU!kS"</f>
        <v>#REF!</v>
      </c>
      <c r="EQ38" t="e">
        <f>'Technical Skills Weighting'!#REF!+"`FU!kT"</f>
        <v>#REF!</v>
      </c>
      <c r="ER38" t="e">
        <f>'Technical Skills Weighting'!#REF!+"`FU!kU"</f>
        <v>#REF!</v>
      </c>
      <c r="ES38" t="e">
        <f>'Technical Skills Weighting'!#REF!+"`FU!kV"</f>
        <v>#REF!</v>
      </c>
      <c r="ET38" t="e">
        <f>'Technical Skills Weighting'!#REF!+"`FU!kW"</f>
        <v>#REF!</v>
      </c>
      <c r="EU38" t="e">
        <f>'Technical Skills Weighting'!#REF!+"`FU!kX"</f>
        <v>#REF!</v>
      </c>
      <c r="EV38" t="e">
        <f>'Technical Skills Weighting'!#REF!+"`FU!kY"</f>
        <v>#REF!</v>
      </c>
      <c r="EW38" t="e">
        <f>'Technical Skills Weighting'!#REF!+"`FU!kZ"</f>
        <v>#REF!</v>
      </c>
      <c r="EX38" t="e">
        <f>'Technical Skills Weighting'!#REF!+"`FU!k["</f>
        <v>#REF!</v>
      </c>
      <c r="EY38" t="e">
        <f>'Technical Skills Weighting'!#REF!+"`FU!k\"</f>
        <v>#REF!</v>
      </c>
      <c r="EZ38" t="e">
        <f>'Technical Skills Weighting'!#REF!+"`FU!k]"</f>
        <v>#REF!</v>
      </c>
      <c r="FA38" t="e">
        <f>'Technical Skills Weighting'!#REF!+"`FU!k^"</f>
        <v>#REF!</v>
      </c>
      <c r="FB38" t="e">
        <f>'Technical Skills Weighting'!#REF!+"`FU!k_"</f>
        <v>#REF!</v>
      </c>
      <c r="FC38" t="e">
        <f>'Technical Skills Weighting'!#REF!+"`FU!k`"</f>
        <v>#REF!</v>
      </c>
      <c r="FD38" t="e">
        <f>'Technical Skills Weighting'!#REF!+"`FU!ka"</f>
        <v>#REF!</v>
      </c>
      <c r="FE38" t="e">
        <f>'Technical Skills Weighting'!#REF!+"`FU!kb"</f>
        <v>#REF!</v>
      </c>
      <c r="FF38" t="e">
        <f>'Technical Skills Weighting'!#REF!+"`FU!kc"</f>
        <v>#REF!</v>
      </c>
      <c r="FG38" t="e">
        <f>'Technical Skills Weighting'!#REF!+"`FU!kd"</f>
        <v>#REF!</v>
      </c>
      <c r="FH38" t="e">
        <f>'Technical Skills Weighting'!#REF!+"`FU!ke"</f>
        <v>#REF!</v>
      </c>
      <c r="FI38" t="e">
        <f>'Technical Skills Weighting'!#REF!+"`FU!kf"</f>
        <v>#REF!</v>
      </c>
      <c r="FJ38" t="e">
        <f>'Technical Skills Weighting'!#REF!+"`FU!kg"</f>
        <v>#REF!</v>
      </c>
      <c r="FK38" t="e">
        <f>'Technical Skills Weighting'!#REF!+"`FU!kh"</f>
        <v>#REF!</v>
      </c>
      <c r="FL38" t="e">
        <f>'Technical Skills Weighting'!#REF!+"`FU!ki"</f>
        <v>#REF!</v>
      </c>
      <c r="FM38" t="e">
        <f>'Technical Skills Weighting'!#REF!+"`FU!kj"</f>
        <v>#REF!</v>
      </c>
      <c r="FN38" t="e">
        <f>'Technical Skills Weighting'!#REF!+"`FU!kk"</f>
        <v>#REF!</v>
      </c>
      <c r="FO38" t="e">
        <f>'Technical Skills Weighting'!#REF!+"`FU!kl"</f>
        <v>#REF!</v>
      </c>
      <c r="FP38" t="e">
        <f>'Technical Skills Weighting'!#REF!+"`FU!km"</f>
        <v>#REF!</v>
      </c>
      <c r="FQ38" t="e">
        <f>'Technical Skills Weighting'!#REF!+"`FU!kn"</f>
        <v>#REF!</v>
      </c>
      <c r="FR38" t="e">
        <f>'Technical Skills Weighting'!#REF!+"`FU!ko"</f>
        <v>#REF!</v>
      </c>
      <c r="FS38" t="e">
        <f>'Technical Skills Weighting'!#REF!+"`FU!kp"</f>
        <v>#REF!</v>
      </c>
      <c r="FT38" t="e">
        <f>'Technical Skills Weighting'!#REF!+"`FU!kq"</f>
        <v>#REF!</v>
      </c>
      <c r="FU38" t="e">
        <f>'Technical Skills Weighting'!#REF!+"`FU!kr"</f>
        <v>#REF!</v>
      </c>
      <c r="FV38" t="e">
        <f>'Technical Skills Weighting'!#REF!+"`FU!ks"</f>
        <v>#REF!</v>
      </c>
      <c r="FW38" t="e">
        <f>'Technical Skills Weighting'!#REF!+"`FU!kt"</f>
        <v>#REF!</v>
      </c>
      <c r="FX38" t="e">
        <f>'Technical Skills Weighting'!#REF!+"`FU!ku"</f>
        <v>#REF!</v>
      </c>
      <c r="FY38" t="e">
        <f>'Technical Skills Weighting'!#REF!+"`FU!kv"</f>
        <v>#REF!</v>
      </c>
      <c r="FZ38" t="e">
        <f>'Technical Skills Weighting'!#REF!+"`FU!kw"</f>
        <v>#REF!</v>
      </c>
      <c r="GA38" t="e">
        <f>'Technical Skills Weighting'!#REF!+"`FU!kx"</f>
        <v>#REF!</v>
      </c>
      <c r="GB38" t="e">
        <f>'Technical Skills Weighting'!#REF!+"`FU!ky"</f>
        <v>#REF!</v>
      </c>
      <c r="GC38" t="e">
        <f>'Technical Skills Weighting'!#REF!+"`FU!kz"</f>
        <v>#REF!</v>
      </c>
      <c r="GD38" t="e">
        <f>'Technical Skills Weighting'!#REF!+"`FU!k{"</f>
        <v>#REF!</v>
      </c>
      <c r="GE38" t="e">
        <f>'Technical Skills Weighting'!#REF!+"`FU!k|"</f>
        <v>#REF!</v>
      </c>
      <c r="GF38" t="e">
        <f>'Technical Skills Weighting'!#REF!+"`FU!k}"</f>
        <v>#REF!</v>
      </c>
      <c r="GG38" t="e">
        <f>'Technical Skills Weighting'!#REF!+"`FU!k~"</f>
        <v>#REF!</v>
      </c>
      <c r="GH38" t="e">
        <f>'Technical Skills Weighting'!#REF!+"`FU!l#"</f>
        <v>#REF!</v>
      </c>
      <c r="GI38" t="e">
        <f>'Technical Skills Weighting'!#REF!+"`FU!l$"</f>
        <v>#REF!</v>
      </c>
      <c r="GJ38" t="e">
        <f>'Technical Skills Weighting'!#REF!+"`FU!l%"</f>
        <v>#REF!</v>
      </c>
      <c r="GK38" t="e">
        <f>'Technical Skills Weighting'!#REF!+"`FU!l&amp;"</f>
        <v>#REF!</v>
      </c>
      <c r="GL38" t="e">
        <f>'Technical Skills Weighting'!#REF!+"`FU!l'"</f>
        <v>#REF!</v>
      </c>
      <c r="GM38" t="e">
        <f>'Technical Skills Weighting'!#REF!+"`FU!l("</f>
        <v>#REF!</v>
      </c>
      <c r="GN38" t="e">
        <f>'Technical Skills Weighting'!#REF!+"`FU!l)"</f>
        <v>#REF!</v>
      </c>
      <c r="GO38" t="e">
        <f>'Technical Skills Weighting'!#REF!+"`FU!l."</f>
        <v>#REF!</v>
      </c>
      <c r="GP38" t="e">
        <f>'Technical Skills Weighting'!#REF!+"`FU!l/"</f>
        <v>#REF!</v>
      </c>
      <c r="GQ38" t="e">
        <f>'Technical Skills Weighting'!#REF!+"`FU!l0"</f>
        <v>#REF!</v>
      </c>
      <c r="GR38" t="e">
        <f>'Technical Skills Weighting'!#REF!+"`FU!l1"</f>
        <v>#REF!</v>
      </c>
      <c r="GS38" t="e">
        <f>'Technical Skills Weighting'!#REF!+"`FU!l2"</f>
        <v>#REF!</v>
      </c>
      <c r="GT38" t="e">
        <f>'Technical Skills Weighting'!#REF!+"`FU!l3"</f>
        <v>#REF!</v>
      </c>
      <c r="GU38" t="e">
        <f>'Technical Skills Weighting'!#REF!+"`FU!l4"</f>
        <v>#REF!</v>
      </c>
      <c r="GV38" t="e">
        <f>'Technical Skills Weighting'!#REF!+"`FU!l5"</f>
        <v>#REF!</v>
      </c>
      <c r="GW38" t="e">
        <f>'Technical Skills Weighting'!#REF!+"`FU!l6"</f>
        <v>#REF!</v>
      </c>
      <c r="GX38" t="e">
        <f>'Technical Skills Weighting'!#REF!+"`FU!l7"</f>
        <v>#REF!</v>
      </c>
      <c r="GY38" t="e">
        <f>'Technical Skills Weighting'!#REF!+"`FU!l8"</f>
        <v>#REF!</v>
      </c>
      <c r="GZ38" t="e">
        <f>'Technical Skills Weighting'!#REF!+"`FU!l9"</f>
        <v>#REF!</v>
      </c>
      <c r="HA38" t="e">
        <f>'Technical Skills Weighting'!#REF!+"`FU!l:"</f>
        <v>#REF!</v>
      </c>
      <c r="HB38" t="e">
        <f>'Technical Skills Weighting'!#REF!+"`FU!l;"</f>
        <v>#REF!</v>
      </c>
      <c r="HC38" t="e">
        <f>'Technical Skills Weighting'!#REF!+"`FU!l&lt;"</f>
        <v>#REF!</v>
      </c>
      <c r="HD38" t="e">
        <f>'Technical Skills Weighting'!#REF!+"`FU!l="</f>
        <v>#REF!</v>
      </c>
      <c r="HE38" t="e">
        <f>'Technical Skills Weighting'!#REF!+"`FU!l&gt;"</f>
        <v>#REF!</v>
      </c>
      <c r="HF38" t="e">
        <f>'Technical Skills Weighting'!#REF!+"`FU!l?"</f>
        <v>#REF!</v>
      </c>
      <c r="HG38" t="e">
        <f>'Technical Skills Weighting'!#REF!+"`FU!l@"</f>
        <v>#REF!</v>
      </c>
      <c r="HH38" t="e">
        <f>'Technical Skills Weighting'!#REF!+"`FU!lA"</f>
        <v>#REF!</v>
      </c>
      <c r="HI38" t="e">
        <f>'Technical Skills Weighting'!#REF!+"`FU!lB"</f>
        <v>#REF!</v>
      </c>
      <c r="HJ38" t="e">
        <f>'Technical Skills Weighting'!#REF!+"`FU!lC"</f>
        <v>#REF!</v>
      </c>
      <c r="HK38" t="e">
        <f>'Technical Skills Weighting'!#REF!+"`FU!lD"</f>
        <v>#REF!</v>
      </c>
      <c r="HL38" t="e">
        <f>'Technical Skills Weighting'!#REF!+"`FU!lE"</f>
        <v>#REF!</v>
      </c>
      <c r="HM38" t="e">
        <f>'Technical Skills Weighting'!#REF!+"`FU!lF"</f>
        <v>#REF!</v>
      </c>
      <c r="HN38" t="e">
        <f>'Technical Skills Weighting'!#REF!+"`FU!lG"</f>
        <v>#REF!</v>
      </c>
      <c r="HO38" t="e">
        <f>'Technical Skills Weighting'!#REF!+"`FU!lH"</f>
        <v>#REF!</v>
      </c>
      <c r="HP38" t="e">
        <f>'Technical Skills Weighting'!#REF!+"`FU!lI"</f>
        <v>#REF!</v>
      </c>
      <c r="HQ38" t="e">
        <f>'Technical Skills Weighting'!#REF!+"`FU!lJ"</f>
        <v>#REF!</v>
      </c>
      <c r="HR38" t="e">
        <f>'Technical Skills Weighting'!#REF!+"`FU!lK"</f>
        <v>#REF!</v>
      </c>
      <c r="HS38" t="e">
        <f>'Technical Skills Weighting'!#REF!+"`FU!lL"</f>
        <v>#REF!</v>
      </c>
      <c r="HT38" t="e">
        <f>'Technical Skills Weighting'!#REF!+"`FU!lM"</f>
        <v>#REF!</v>
      </c>
      <c r="HU38" t="e">
        <f>'Technical Skills Weighting'!#REF!+"`FU!lN"</f>
        <v>#REF!</v>
      </c>
      <c r="HV38" t="e">
        <f>'Technical Skills Weighting'!#REF!+"`FU!lO"</f>
        <v>#REF!</v>
      </c>
      <c r="HW38" t="e">
        <f>'Technical Skills Weighting'!#REF!+"`FU!lP"</f>
        <v>#REF!</v>
      </c>
      <c r="HX38" t="e">
        <f>'Technical Skills Weighting'!#REF!+"`FU!lQ"</f>
        <v>#REF!</v>
      </c>
      <c r="HY38" t="e">
        <f>'Technical Skills Weighting'!#REF!+"`FU!lR"</f>
        <v>#REF!</v>
      </c>
      <c r="HZ38" t="e">
        <f>'Technical Skills Weighting'!#REF!+"`FU!lS"</f>
        <v>#REF!</v>
      </c>
      <c r="IA38" t="e">
        <f>'Technical Skills Weighting'!#REF!+"`FU!lT"</f>
        <v>#REF!</v>
      </c>
      <c r="IB38" t="e">
        <f>'Technical Skills Weighting'!#REF!+"`FU!lU"</f>
        <v>#REF!</v>
      </c>
      <c r="IC38" t="e">
        <f>'Technical Skills Weighting'!#REF!+"`FU!lV"</f>
        <v>#REF!</v>
      </c>
      <c r="ID38" t="e">
        <f>'Technical Skills Weighting'!#REF!+"`FU!lW"</f>
        <v>#REF!</v>
      </c>
      <c r="IE38" t="e">
        <f>'Technical Skills Weighting'!#REF!+"`FU!lX"</f>
        <v>#REF!</v>
      </c>
      <c r="IF38" t="e">
        <f>'Technical Skills Weighting'!#REF!+"`FU!lY"</f>
        <v>#REF!</v>
      </c>
      <c r="IG38" t="e">
        <f>'Technical Skills Weighting'!#REF!+"`FU!lZ"</f>
        <v>#REF!</v>
      </c>
      <c r="IH38" t="e">
        <f>'Technical Skills Weighting'!#REF!+"`FU!l["</f>
        <v>#REF!</v>
      </c>
      <c r="II38" t="e">
        <f>'Technical Skills Weighting'!#REF!+"`FU!l\"</f>
        <v>#REF!</v>
      </c>
      <c r="IJ38" t="e">
        <f>'Technical Skills Weighting'!#REF!+"`FU!l]"</f>
        <v>#REF!</v>
      </c>
      <c r="IK38" t="e">
        <f>'Technical Skills Weighting'!#REF!+"`FU!l^"</f>
        <v>#REF!</v>
      </c>
      <c r="IL38" t="e">
        <f>'Technical Skills Weighting'!#REF!+"`FU!l_"</f>
        <v>#REF!</v>
      </c>
      <c r="IM38" t="e">
        <f>'Technical Skills Weighting'!#REF!+"`FU!l`"</f>
        <v>#REF!</v>
      </c>
      <c r="IN38" t="e">
        <f>'Technical Skills Weighting'!#REF!+"`FU!la"</f>
        <v>#REF!</v>
      </c>
      <c r="IO38" t="e">
        <f>'Technical Skills Weighting'!#REF!+"`FU!lb"</f>
        <v>#REF!</v>
      </c>
      <c r="IP38" t="e">
        <f>'Technical Skills Weighting'!#REF!+"`FU!lc"</f>
        <v>#REF!</v>
      </c>
      <c r="IQ38" t="e">
        <f>'Technical Skills Weighting'!#REF!+"`FU!ld"</f>
        <v>#REF!</v>
      </c>
      <c r="IR38" t="e">
        <f>'Technical Skills Weighting'!#REF!+"`FU!le"</f>
        <v>#REF!</v>
      </c>
      <c r="IS38" t="e">
        <f>'Technical Skills Weighting'!#REF!+"`FU!lf"</f>
        <v>#REF!</v>
      </c>
      <c r="IT38" t="e">
        <f>'Technical Skills Weighting'!#REF!+"`FU!lg"</f>
        <v>#REF!</v>
      </c>
      <c r="IU38" t="e">
        <f>'Technical Skills Weighting'!#REF!+"`FU!lh"</f>
        <v>#REF!</v>
      </c>
      <c r="IV38" t="e">
        <f>'Technical Skills Weighting'!#REF!+"`FU!li"</f>
        <v>#REF!</v>
      </c>
    </row>
    <row r="39" spans="6:256" x14ac:dyDescent="0.25">
      <c r="F39" t="e">
        <f>'Technical Skills Weighting'!#REF!+"`FU!lj"</f>
        <v>#REF!</v>
      </c>
      <c r="G39" t="e">
        <f>'Technical Skills Weighting'!#REF!+"`FU!lk"</f>
        <v>#REF!</v>
      </c>
      <c r="H39" t="e">
        <f>'Technical Skills Weighting'!#REF!+"`FU!ll"</f>
        <v>#REF!</v>
      </c>
      <c r="I39" t="e">
        <f>'Technical Skills Weighting'!#REF!+"`FU!lm"</f>
        <v>#REF!</v>
      </c>
      <c r="J39" t="e">
        <f>'Technical Skills Weighting'!#REF!+"`FU!ln"</f>
        <v>#REF!</v>
      </c>
      <c r="K39" t="e">
        <f>'Technical Skills Weighting'!#REF!+"`FU!lo"</f>
        <v>#REF!</v>
      </c>
      <c r="L39" t="e">
        <f>'Technical Skills Weighting'!#REF!+"`FU!lp"</f>
        <v>#REF!</v>
      </c>
      <c r="M39" t="e">
        <f>'Technical Skills Weighting'!#REF!+"`FU!lq"</f>
        <v>#REF!</v>
      </c>
      <c r="N39" t="e">
        <f>'Technical Skills Weighting'!#REF!+"`FU!lr"</f>
        <v>#REF!</v>
      </c>
      <c r="O39" t="e">
        <f>'Technical Skills Weighting'!#REF!+"`FU!ls"</f>
        <v>#REF!</v>
      </c>
      <c r="P39" t="e">
        <f>'Technical Skills Weighting'!#REF!+"`FU!lt"</f>
        <v>#REF!</v>
      </c>
      <c r="Q39" t="e">
        <f>'Technical Skills Weighting'!#REF!+"`FU!lu"</f>
        <v>#REF!</v>
      </c>
      <c r="R39" t="e">
        <f>'Technical Skills Weighting'!#REF!+"`FU!lv"</f>
        <v>#REF!</v>
      </c>
      <c r="S39" t="e">
        <f>'Technical Skills Weighting'!#REF!+"`FU!lw"</f>
        <v>#REF!</v>
      </c>
      <c r="T39" t="e">
        <f>'Technical Skills Weighting'!#REF!+"`FU!lx"</f>
        <v>#REF!</v>
      </c>
      <c r="U39" t="e">
        <f>'Technical Skills Weighting'!#REF!+"`FU!ly"</f>
        <v>#REF!</v>
      </c>
      <c r="V39" t="e">
        <f>'Technical Skills Weighting'!#REF!+"`FU!lz"</f>
        <v>#REF!</v>
      </c>
      <c r="W39" t="e">
        <f>'Technical Skills Weighting'!#REF!+"`FU!l{"</f>
        <v>#REF!</v>
      </c>
      <c r="X39" t="e">
        <f>'Technical Skills Weighting'!#REF!+"`FU!l|"</f>
        <v>#REF!</v>
      </c>
      <c r="Y39" t="e">
        <f>'Technical Skills Weighting'!#REF!+"`FU!l}"</f>
        <v>#REF!</v>
      </c>
      <c r="Z39" t="e">
        <f>'Technical Skills Weighting'!#REF!+"`FU!l~"</f>
        <v>#REF!</v>
      </c>
      <c r="AA39" t="e">
        <f>'Technical Skills Weighting'!#REF!+"`FU!m#"</f>
        <v>#REF!</v>
      </c>
      <c r="AB39" t="e">
        <f>'Technical Skills Weighting'!#REF!+"`FU!m$"</f>
        <v>#REF!</v>
      </c>
      <c r="AC39" t="e">
        <f>'Technical Skills Weighting'!#REF!+"`FU!m%"</f>
        <v>#REF!</v>
      </c>
      <c r="AD39" t="e">
        <f>'Technical Skills Weighting'!#REF!+"`FU!m&amp;"</f>
        <v>#REF!</v>
      </c>
      <c r="AE39" t="e">
        <f>'Technical Skills Weighting'!#REF!+"`FU!m'"</f>
        <v>#REF!</v>
      </c>
      <c r="AF39" t="e">
        <f>'Technical Skills Weighting'!#REF!+"`FU!m("</f>
        <v>#REF!</v>
      </c>
      <c r="AG39" t="e">
        <f>'Technical Skills Weighting'!#REF!+"`FU!m)"</f>
        <v>#REF!</v>
      </c>
      <c r="AH39" t="e">
        <f>'Technical Skills Weighting'!#REF!+"`FU!m."</f>
        <v>#REF!</v>
      </c>
      <c r="AI39" t="e">
        <f>'Technical Skills Weighting'!#REF!+"`FU!m/"</f>
        <v>#REF!</v>
      </c>
      <c r="AJ39" t="e">
        <f>'Technical Skills Weighting'!#REF!+"`FU!m0"</f>
        <v>#REF!</v>
      </c>
      <c r="AK39" t="e">
        <f>'Technical Skills Weighting'!#REF!+"`FU!m1"</f>
        <v>#REF!</v>
      </c>
      <c r="AL39" t="e">
        <f>'Technical Skills Weighting'!#REF!+"`FU!m2"</f>
        <v>#REF!</v>
      </c>
      <c r="AM39" t="e">
        <f>'Technical Skills Weighting'!#REF!+"`FU!m3"</f>
        <v>#REF!</v>
      </c>
      <c r="AN39" t="e">
        <f>'Technical Skills Weighting'!#REF!+"`FU!m4"</f>
        <v>#REF!</v>
      </c>
      <c r="AO39" t="e">
        <f>'Technical Skills Weighting'!#REF!+"`FU!m5"</f>
        <v>#REF!</v>
      </c>
      <c r="AP39" t="e">
        <f>'Technical Skills Weighting'!#REF!+"`FU!m6"</f>
        <v>#REF!</v>
      </c>
      <c r="AQ39" t="e">
        <f>'Technical Skills Weighting'!#REF!+"`FU!m7"</f>
        <v>#REF!</v>
      </c>
      <c r="AR39" t="e">
        <f>'Technical Skills Weighting'!#REF!+"`FU!m8"</f>
        <v>#REF!</v>
      </c>
      <c r="AS39" t="e">
        <f>'Technical Skills Weighting'!#REF!+"`FU!m9"</f>
        <v>#REF!</v>
      </c>
      <c r="AT39" t="e">
        <f>'Technical Skills Weighting'!#REF!+"`FU!m:"</f>
        <v>#REF!</v>
      </c>
      <c r="AU39" t="e">
        <f>'Technical Skills Weighting'!#REF!+"`FU!m;"</f>
        <v>#REF!</v>
      </c>
      <c r="AV39" t="e">
        <f>'Technical Skills Weighting'!#REF!+"`FU!m&lt;"</f>
        <v>#REF!</v>
      </c>
      <c r="AW39" t="e">
        <f>'Technical Skills Weighting'!#REF!+"`FU!m="</f>
        <v>#REF!</v>
      </c>
      <c r="AX39" t="e">
        <f>'Technical Skills Weighting'!#REF!+"`FU!m&gt;"</f>
        <v>#REF!</v>
      </c>
      <c r="AY39" t="e">
        <f>'Technical Skills Weighting'!#REF!+"`FU!m?"</f>
        <v>#REF!</v>
      </c>
      <c r="AZ39" t="e">
        <f>'Technical Skills Weighting'!#REF!+"`FU!m@"</f>
        <v>#REF!</v>
      </c>
      <c r="BA39" t="e">
        <f>'Technical Skills Weighting'!#REF!+"`FU!mA"</f>
        <v>#REF!</v>
      </c>
      <c r="BB39" t="e">
        <f>'Technical Skills Weighting'!#REF!+"`FU!mB"</f>
        <v>#REF!</v>
      </c>
      <c r="BC39" t="e">
        <f>'Technical Skills Weighting'!#REF!+"`FU!mC"</f>
        <v>#REF!</v>
      </c>
      <c r="BD39" t="e">
        <f>'Technical Skills Weighting'!#REF!+"`FU!mD"</f>
        <v>#REF!</v>
      </c>
      <c r="BE39" t="e">
        <f>'Technical Skills Weighting'!#REF!+"`FU!mE"</f>
        <v>#REF!</v>
      </c>
      <c r="BF39" t="e">
        <f>'Technical Skills Weighting'!#REF!+"`FU!mF"</f>
        <v>#REF!</v>
      </c>
      <c r="BG39" t="e">
        <f>'Technical Skills Weighting'!#REF!+"`FU!mG"</f>
        <v>#REF!</v>
      </c>
      <c r="BH39" t="e">
        <f>'Technical Skills Weighting'!#REF!+"`FU!mH"</f>
        <v>#REF!</v>
      </c>
      <c r="BI39" t="e">
        <f>'Technical Skills Weighting'!#REF!+"`FU!mI"</f>
        <v>#REF!</v>
      </c>
      <c r="BJ39" t="e">
        <f>'Technical Skills Weighting'!#REF!+"`FU!mJ"</f>
        <v>#REF!</v>
      </c>
      <c r="BK39" t="e">
        <f>'Technical Skills Weighting'!#REF!+"`FU!mK"</f>
        <v>#REF!</v>
      </c>
      <c r="BL39" t="e">
        <f>'Technical Skills Weighting'!#REF!+"`FU!mL"</f>
        <v>#REF!</v>
      </c>
      <c r="BM39" t="e">
        <f>'Technical Skills Weighting'!#REF!+"`FU!mM"</f>
        <v>#REF!</v>
      </c>
      <c r="BN39" t="e">
        <f>'Technical Skills Weighting'!#REF!+"`FU!mN"</f>
        <v>#REF!</v>
      </c>
      <c r="BO39" t="e">
        <f>'Technical Skills Weighting'!#REF!+"`FU!mO"</f>
        <v>#REF!</v>
      </c>
      <c r="BP39" t="e">
        <f>'Technical Skills Weighting'!#REF!+"`FU!mP"</f>
        <v>#REF!</v>
      </c>
      <c r="BQ39" t="e">
        <f>'Technical Skills Weighting'!#REF!+"`FU!mQ"</f>
        <v>#REF!</v>
      </c>
      <c r="BR39" t="e">
        <f>'Technical Skills Weighting'!#REF!+"`FU!mR"</f>
        <v>#REF!</v>
      </c>
      <c r="BS39" t="e">
        <f>'Technical Skills Weighting'!#REF!+"`FU!mS"</f>
        <v>#REF!</v>
      </c>
      <c r="BT39" t="e">
        <f>'Technical Skills Weighting'!#REF!+"`FU!mT"</f>
        <v>#REF!</v>
      </c>
      <c r="BU39" t="e">
        <f>'Technical Skills Weighting'!#REF!+"`FU!mU"</f>
        <v>#REF!</v>
      </c>
      <c r="BV39" t="e">
        <f>'Technical Skills Weighting'!#REF!+"`FU!mV"</f>
        <v>#REF!</v>
      </c>
      <c r="BW39" t="e">
        <f>'Technical Skills Weighting'!#REF!+"`FU!mW"</f>
        <v>#REF!</v>
      </c>
      <c r="BX39" t="e">
        <f>'Technical Skills Weighting'!#REF!+"`FU!mX"</f>
        <v>#REF!</v>
      </c>
      <c r="BY39" t="e">
        <f>'Technical Skills Weighting'!#REF!+"`FU!mY"</f>
        <v>#REF!</v>
      </c>
      <c r="BZ39" t="e">
        <f>'Technical Skills Weighting'!#REF!+"`FU!mZ"</f>
        <v>#REF!</v>
      </c>
      <c r="CA39" t="e">
        <f>'Technical Skills Weighting'!#REF!+"`FU!m["</f>
        <v>#REF!</v>
      </c>
      <c r="CB39" t="e">
        <f>'Technical Skills Weighting'!#REF!+"`FU!m\"</f>
        <v>#REF!</v>
      </c>
      <c r="CC39" t="e">
        <f>'Technical Skills Weighting'!#REF!+"`FU!m]"</f>
        <v>#REF!</v>
      </c>
      <c r="CD39" t="e">
        <f>'Technical Skills Weighting'!#REF!+"`FU!m^"</f>
        <v>#REF!</v>
      </c>
      <c r="CE39" t="e">
        <f>'Technical Skills Weighting'!#REF!+"`FU!m_"</f>
        <v>#REF!</v>
      </c>
      <c r="CF39" t="e">
        <f>'Technical Skills Weighting'!#REF!+"`FU!m`"</f>
        <v>#REF!</v>
      </c>
      <c r="CG39" t="e">
        <f>'Technical Skills Weighting'!#REF!+"`FU!ma"</f>
        <v>#REF!</v>
      </c>
      <c r="CH39" t="e">
        <f>'Technical Skills Weighting'!#REF!+"`FU!mb"</f>
        <v>#REF!</v>
      </c>
      <c r="CI39" t="e">
        <f>'Technical Skills Weighting'!#REF!+"`FU!mc"</f>
        <v>#REF!</v>
      </c>
      <c r="CJ39" t="e">
        <f>'Technical Skills Weighting'!#REF!+"`FU!md"</f>
        <v>#REF!</v>
      </c>
      <c r="CK39" t="e">
        <f>'Technical Skills Weighting'!#REF!+"`FU!me"</f>
        <v>#REF!</v>
      </c>
      <c r="CL39" t="e">
        <f>'Technical Skills Weighting'!#REF!+"`FU!mf"</f>
        <v>#REF!</v>
      </c>
      <c r="CM39" t="e">
        <f>'Technical Skills Weighting'!#REF!+"`FU!mg"</f>
        <v>#REF!</v>
      </c>
      <c r="CN39" t="e">
        <f>'Technical Skills Weighting'!#REF!+"`FU!mh"</f>
        <v>#REF!</v>
      </c>
      <c r="CO39" t="e">
        <f>'Technical Skills Weighting'!#REF!+"`FU!mi"</f>
        <v>#REF!</v>
      </c>
      <c r="CP39" t="e">
        <f>'Technical Skills Weighting'!#REF!+"`FU!mj"</f>
        <v>#REF!</v>
      </c>
      <c r="CQ39" t="e">
        <f>'Technical Skills Weighting'!#REF!+"`FU!mk"</f>
        <v>#REF!</v>
      </c>
      <c r="CR39" t="e">
        <f>'Technical Skills Weighting'!#REF!+"`FU!ml"</f>
        <v>#REF!</v>
      </c>
      <c r="CS39" t="e">
        <f>'Technical Skills Weighting'!#REF!+"`FU!mm"</f>
        <v>#REF!</v>
      </c>
      <c r="CT39" t="e">
        <f>'Technical Skills Weighting'!#REF!+"`FU!mn"</f>
        <v>#REF!</v>
      </c>
      <c r="CU39" t="e">
        <f>'Technical Skills Weighting'!#REF!+"`FU!mo"</f>
        <v>#REF!</v>
      </c>
      <c r="CV39" t="e">
        <f>'Technical Skills Weighting'!#REF!+"`FU!mp"</f>
        <v>#REF!</v>
      </c>
      <c r="CW39" t="e">
        <f>'Technical Skills Weighting'!#REF!+"`FU!mq"</f>
        <v>#REF!</v>
      </c>
      <c r="CX39" t="e">
        <f>'Technical Skills Weighting'!#REF!+"`FU!mr"</f>
        <v>#REF!</v>
      </c>
      <c r="CY39" t="e">
        <f>'Technical Skills Weighting'!#REF!+"`FU!ms"</f>
        <v>#REF!</v>
      </c>
      <c r="CZ39" t="e">
        <f>'Technical Skills Weighting'!#REF!+"`FU!mt"</f>
        <v>#REF!</v>
      </c>
      <c r="DA39" t="e">
        <f>'Technical Skills Weighting'!#REF!+"`FU!mu"</f>
        <v>#REF!</v>
      </c>
      <c r="DB39" t="e">
        <f>'Technical Skills Weighting'!#REF!+"`FU!mv"</f>
        <v>#REF!</v>
      </c>
      <c r="DC39" t="e">
        <f>'Technical Skills Weighting'!#REF!+"`FU!mw"</f>
        <v>#REF!</v>
      </c>
      <c r="DD39" t="e">
        <f>'Technical Skills Weighting'!#REF!+"`FU!mx"</f>
        <v>#REF!</v>
      </c>
      <c r="DE39" t="e">
        <f>'Technical Skills Weighting'!#REF!+"`FU!my"</f>
        <v>#REF!</v>
      </c>
      <c r="DF39" t="e">
        <f>'Technical Skills Weighting'!#REF!+"`FU!mz"</f>
        <v>#REF!</v>
      </c>
      <c r="DG39" t="e">
        <f>'Technical Skills Weighting'!#REF!+"`FU!m{"</f>
        <v>#REF!</v>
      </c>
      <c r="DH39" t="e">
        <f>'Technical Skills Weighting'!#REF!+"`FU!m|"</f>
        <v>#REF!</v>
      </c>
      <c r="DI39" t="e">
        <f>'Technical Skills Weighting'!#REF!+"`FU!m}"</f>
        <v>#REF!</v>
      </c>
      <c r="DJ39" t="e">
        <f>'Technical Skills Weighting'!#REF!+"`FU!m~"</f>
        <v>#REF!</v>
      </c>
      <c r="DK39" t="e">
        <f>'Technical Skills Weighting'!#REF!+"`FU!n#"</f>
        <v>#REF!</v>
      </c>
      <c r="DL39" t="e">
        <f>'Technical Skills Weighting'!#REF!+"`FU!n$"</f>
        <v>#REF!</v>
      </c>
      <c r="DM39" t="e">
        <f>'Technical Skills Weighting'!#REF!+"`FU!n%"</f>
        <v>#REF!</v>
      </c>
      <c r="DN39" t="e">
        <f>'Technical Skills Weighting'!#REF!+"`FU!n&amp;"</f>
        <v>#REF!</v>
      </c>
      <c r="DO39" t="e">
        <f>'Technical Skills Weighting'!#REF!+"`FU!n'"</f>
        <v>#REF!</v>
      </c>
      <c r="DP39" t="e">
        <f>'Technical Skills Weighting'!#REF!+"`FU!n("</f>
        <v>#REF!</v>
      </c>
      <c r="DQ39" t="e">
        <f>'Technical Skills Weighting'!#REF!+"`FU!n)"</f>
        <v>#REF!</v>
      </c>
      <c r="DR39" t="e">
        <f>'Technical Skills Weighting'!#REF!+"`FU!n."</f>
        <v>#REF!</v>
      </c>
      <c r="DS39" t="e">
        <f>'Technical Skills Weighting'!#REF!+"`FU!n/"</f>
        <v>#REF!</v>
      </c>
      <c r="DT39" t="e">
        <f>'Technical Skills Weighting'!#REF!+"`FU!n0"</f>
        <v>#REF!</v>
      </c>
      <c r="DU39" t="e">
        <f>'Technical Skills Weighting'!#REF!+"`FU!n1"</f>
        <v>#REF!</v>
      </c>
      <c r="DV39" t="e">
        <f>'Technical Skills Weighting'!#REF!+"`FU!n2"</f>
        <v>#REF!</v>
      </c>
      <c r="DW39" t="e">
        <f>'Technical Skills Weighting'!#REF!+"`FU!n3"</f>
        <v>#REF!</v>
      </c>
      <c r="DX39" t="e">
        <f>'Technical Skills Weighting'!#REF!+"`FU!n4"</f>
        <v>#REF!</v>
      </c>
      <c r="DY39" t="e">
        <f>'Technical Skills Weighting'!#REF!+"`FU!n5"</f>
        <v>#REF!</v>
      </c>
      <c r="DZ39" t="e">
        <f>'Technical Skills Weighting'!#REF!+"`FU!n6"</f>
        <v>#REF!</v>
      </c>
      <c r="EA39" t="e">
        <f>'Technical Skills Weighting'!#REF!+"`FU!n7"</f>
        <v>#REF!</v>
      </c>
      <c r="EB39" t="e">
        <f>'Technical Skills Weighting'!#REF!+"`FU!n8"</f>
        <v>#REF!</v>
      </c>
      <c r="EC39" t="e">
        <f>'Technical Skills Weighting'!#REF!+"`FU!n9"</f>
        <v>#REF!</v>
      </c>
      <c r="ED39" t="e">
        <f>'Technical Skills Weighting'!#REF!+"`FU!n:"</f>
        <v>#REF!</v>
      </c>
      <c r="EE39" t="e">
        <f>'Technical Skills Weighting'!#REF!+"`FU!n;"</f>
        <v>#REF!</v>
      </c>
      <c r="EF39" t="e">
        <f>'Technical Skills Weighting'!#REF!+"`FU!n&lt;"</f>
        <v>#REF!</v>
      </c>
      <c r="EG39" t="e">
        <f>'Technical Skills Weighting'!#REF!+"`FU!n="</f>
        <v>#REF!</v>
      </c>
      <c r="EH39" t="e">
        <f>'Technical Skills Weighting'!#REF!+"`FU!n&gt;"</f>
        <v>#REF!</v>
      </c>
      <c r="EI39" t="e">
        <f>'Technical Skills Weighting'!#REF!+"`FU!n?"</f>
        <v>#REF!</v>
      </c>
      <c r="EJ39" t="e">
        <f>'Technical Skills Weighting'!#REF!+"`FU!n@"</f>
        <v>#REF!</v>
      </c>
      <c r="EK39" t="e">
        <f>'Technical Skills Weighting'!#REF!+"`FU!nA"</f>
        <v>#REF!</v>
      </c>
      <c r="EL39" t="e">
        <f>'Technical Skills Weighting'!#REF!+"`FU!nB"</f>
        <v>#REF!</v>
      </c>
      <c r="EM39" t="e">
        <f>'Technical Skills Weighting'!#REF!+"`FU!nC"</f>
        <v>#REF!</v>
      </c>
      <c r="EN39" t="e">
        <f>'Technical Skills Weighting'!#REF!+"`FU!nD"</f>
        <v>#REF!</v>
      </c>
      <c r="EO39" t="e">
        <f>'Technical Skills Weighting'!#REF!+"`FU!nE"</f>
        <v>#REF!</v>
      </c>
      <c r="EP39" t="e">
        <f>'Technical Skills Weighting'!#REF!+"`FU!nF"</f>
        <v>#REF!</v>
      </c>
      <c r="EQ39" t="e">
        <f>'Technical Skills Weighting'!#REF!+"`FU!nG"</f>
        <v>#REF!</v>
      </c>
      <c r="ER39" t="e">
        <f>'Technical Skills Weighting'!#REF!+"`FU!nH"</f>
        <v>#REF!</v>
      </c>
      <c r="ES39" t="e">
        <f>'Technical Skills Weighting'!#REF!+"`FU!nI"</f>
        <v>#REF!</v>
      </c>
      <c r="ET39" t="e">
        <f>'Technical Skills Weighting'!#REF!+"`FU!nJ"</f>
        <v>#REF!</v>
      </c>
      <c r="EU39" t="e">
        <f>'Technical Skills Weighting'!#REF!+"`FU!nK"</f>
        <v>#REF!</v>
      </c>
      <c r="EV39" t="e">
        <f>'Technical Skills Weighting'!#REF!+"`FU!nL"</f>
        <v>#REF!</v>
      </c>
      <c r="EW39" t="e">
        <f>'Technical Skills Weighting'!#REF!+"`FU!nM"</f>
        <v>#REF!</v>
      </c>
      <c r="EX39" t="e">
        <f>'Technical Skills Weighting'!#REF!+"`FU!nN"</f>
        <v>#REF!</v>
      </c>
      <c r="EY39" t="e">
        <f>'Technical Skills Weighting'!#REF!+"`FU!nO"</f>
        <v>#REF!</v>
      </c>
      <c r="EZ39" t="e">
        <f>'Technical Skills Weighting'!#REF!+"`FU!nP"</f>
        <v>#REF!</v>
      </c>
      <c r="FA39" t="e">
        <f>'Technical Skills Weighting'!#REF!+"`FU!nQ"</f>
        <v>#REF!</v>
      </c>
      <c r="FB39" t="e">
        <f>'Technical Skills Weighting'!#REF!+"`FU!nR"</f>
        <v>#REF!</v>
      </c>
      <c r="FC39" t="e">
        <f>'Technical Skills Weighting'!#REF!+"`FU!nS"</f>
        <v>#REF!</v>
      </c>
      <c r="FD39" t="e">
        <f>'Technical Skills Weighting'!#REF!+"`FU!nT"</f>
        <v>#REF!</v>
      </c>
      <c r="FE39" t="e">
        <f>'Technical Skills Weighting'!#REF!+"`FU!nU"</f>
        <v>#REF!</v>
      </c>
      <c r="FF39" t="e">
        <f>'Technical Skills Weighting'!#REF!+"`FU!nV"</f>
        <v>#REF!</v>
      </c>
      <c r="FG39" t="e">
        <f>'Technical Skills Weighting'!#REF!+"`FU!nW"</f>
        <v>#REF!</v>
      </c>
      <c r="FH39" t="e">
        <f>'Technical Skills Weighting'!#REF!+"`FU!nX"</f>
        <v>#REF!</v>
      </c>
      <c r="FI39" t="e">
        <f>'Technical Skills Weighting'!#REF!+"`FU!nY"</f>
        <v>#REF!</v>
      </c>
      <c r="FJ39" t="e">
        <f>'Technical Skills Weighting'!#REF!+"`FU!nZ"</f>
        <v>#REF!</v>
      </c>
      <c r="FK39" t="e">
        <f>'Technical Skills Weighting'!#REF!+"`FU!n["</f>
        <v>#REF!</v>
      </c>
      <c r="FL39" t="e">
        <f>'Technical Skills Weighting'!#REF!+"`FU!n\"</f>
        <v>#REF!</v>
      </c>
      <c r="FM39" t="e">
        <f>'Technical Skills Weighting'!#REF!+"`FU!n]"</f>
        <v>#REF!</v>
      </c>
      <c r="FN39" t="e">
        <f>'Technical Skills Weighting'!#REF!+"`FU!n^"</f>
        <v>#REF!</v>
      </c>
      <c r="FO39" t="e">
        <f>'Technical Skills Weighting'!#REF!+"`FU!n_"</f>
        <v>#REF!</v>
      </c>
      <c r="FP39" t="e">
        <f>'Technical Skills Weighting'!#REF!+"`FU!n`"</f>
        <v>#REF!</v>
      </c>
      <c r="FQ39" t="e">
        <f>'Technical Skills Weighting'!#REF!+"`FU!na"</f>
        <v>#REF!</v>
      </c>
      <c r="FR39" t="e">
        <f>'Technical Skills Weighting'!#REF!+"`FU!nb"</f>
        <v>#REF!</v>
      </c>
      <c r="FS39" t="e">
        <f>'Technical Skills Weighting'!#REF!+"`FU!nc"</f>
        <v>#REF!</v>
      </c>
      <c r="FT39" t="e">
        <f>'Technical Skills Weighting'!#REF!+"`FU!nd"</f>
        <v>#REF!</v>
      </c>
      <c r="FU39" t="e">
        <f>'Technical Skills Weighting'!#REF!+"`FU!ne"</f>
        <v>#REF!</v>
      </c>
      <c r="FV39" t="e">
        <f>'Technical Skills Weighting'!#REF!+"`FU!nf"</f>
        <v>#REF!</v>
      </c>
      <c r="FW39" t="e">
        <f>'Technical Skills Weighting'!#REF!+"`FU!ng"</f>
        <v>#REF!</v>
      </c>
      <c r="FX39" t="e">
        <f>'Technical Skills Weighting'!#REF!+"`FU!nh"</f>
        <v>#REF!</v>
      </c>
      <c r="FY39" t="e">
        <f>'Technical Skills Weighting'!#REF!+"`FU!ni"</f>
        <v>#REF!</v>
      </c>
      <c r="FZ39" t="e">
        <f>'Technical Skills Weighting'!#REF!+"`FU!nj"</f>
        <v>#REF!</v>
      </c>
      <c r="GA39" t="e">
        <f>'Technical Skills Weighting'!#REF!+"`FU!nk"</f>
        <v>#REF!</v>
      </c>
      <c r="GB39" t="e">
        <f>'Technical Skills Weighting'!#REF!+"`FU!nl"</f>
        <v>#REF!</v>
      </c>
      <c r="GC39" t="e">
        <f>'Technical Skills Weighting'!#REF!+"`FU!nm"</f>
        <v>#REF!</v>
      </c>
      <c r="GD39" t="e">
        <f>'Technical Skills Weighting'!#REF!+"`FU!nn"</f>
        <v>#REF!</v>
      </c>
      <c r="GE39" t="e">
        <f>'Technical Skills Weighting'!#REF!+"`FU!no"</f>
        <v>#REF!</v>
      </c>
      <c r="GF39" t="e">
        <f>'Technical Skills Weighting'!#REF!+"`FU!np"</f>
        <v>#REF!</v>
      </c>
      <c r="GG39" t="e">
        <f>'Technical Skills Weighting'!#REF!+"`FU!nq"</f>
        <v>#REF!</v>
      </c>
      <c r="GH39" t="e">
        <f>'Technical Skills Weighting'!#REF!+"`FU!nr"</f>
        <v>#REF!</v>
      </c>
      <c r="GI39" t="e">
        <f>'Technical Skills Weighting'!#REF!+"`FU!ns"</f>
        <v>#REF!</v>
      </c>
      <c r="GJ39" t="e">
        <f>'Technical Skills Weighting'!#REF!+"`FU!nt"</f>
        <v>#REF!</v>
      </c>
      <c r="GK39" t="e">
        <f>'Technical Skills Weighting'!#REF!+"`FU!nu"</f>
        <v>#REF!</v>
      </c>
      <c r="GL39" t="e">
        <f>'Technical Skills Weighting'!#REF!+"`FU!nv"</f>
        <v>#REF!</v>
      </c>
      <c r="GM39" t="e">
        <f>'Technical Skills Weighting'!#REF!+"`FU!nw"</f>
        <v>#REF!</v>
      </c>
      <c r="GN39" t="e">
        <f>'Technical Skills Weighting'!#REF!+"`FU!nx"</f>
        <v>#REF!</v>
      </c>
      <c r="GO39" t="e">
        <f>'Technical Skills Weighting'!#REF!+"`FU!ny"</f>
        <v>#REF!</v>
      </c>
      <c r="GP39" t="e">
        <f>'Technical Skills Weighting'!#REF!+"`FU!nz"</f>
        <v>#REF!</v>
      </c>
      <c r="GQ39" t="e">
        <f>'Technical Skills Weighting'!#REF!+"`FU!n{"</f>
        <v>#REF!</v>
      </c>
      <c r="GR39" t="e">
        <f>'Technical Skills Weighting'!#REF!+"`FU!n|"</f>
        <v>#REF!</v>
      </c>
      <c r="GS39" t="e">
        <f>'Technical Skills Weighting'!#REF!+"`FU!n}"</f>
        <v>#REF!</v>
      </c>
      <c r="GT39" t="e">
        <f>'Technical Skills Weighting'!#REF!+"`FU!n~"</f>
        <v>#REF!</v>
      </c>
      <c r="GU39" t="e">
        <f>'Technical Skills Weighting'!#REF!+"`FU!o#"</f>
        <v>#REF!</v>
      </c>
      <c r="GV39" t="e">
        <f>'Technical Skills Weighting'!#REF!+"`FU!o$"</f>
        <v>#REF!</v>
      </c>
      <c r="GW39" t="e">
        <f>'Technical Skills Weighting'!#REF!+"`FU!o%"</f>
        <v>#REF!</v>
      </c>
      <c r="GX39" t="e">
        <f>'Technical Skills Weighting'!#REF!+"`FU!o&amp;"</f>
        <v>#REF!</v>
      </c>
      <c r="GY39" t="e">
        <f>'Technical Skills Weighting'!#REF!+"`FU!o'"</f>
        <v>#REF!</v>
      </c>
      <c r="GZ39" t="e">
        <f>'Technical Skills Weighting'!#REF!+"`FU!o("</f>
        <v>#REF!</v>
      </c>
      <c r="HA39" t="e">
        <f>'Technical Skills Weighting'!#REF!+"`FU!o)"</f>
        <v>#REF!</v>
      </c>
      <c r="HB39" t="e">
        <f>'Technical Skills Weighting'!#REF!+"`FU!o."</f>
        <v>#REF!</v>
      </c>
      <c r="HC39" t="e">
        <f>'Technical Skills Weighting'!#REF!+"`FU!o/"</f>
        <v>#REF!</v>
      </c>
      <c r="HD39" t="e">
        <f>'Technical Skills Weighting'!#REF!+"`FU!o0"</f>
        <v>#REF!</v>
      </c>
      <c r="HE39" t="e">
        <f>'Technical Skills Weighting'!#REF!+"`FU!o1"</f>
        <v>#REF!</v>
      </c>
      <c r="HF39" t="e">
        <f>'Technical Skills Weighting'!#REF!+"`FU!o2"</f>
        <v>#REF!</v>
      </c>
      <c r="HG39" t="e">
        <f>'Technical Skills Weighting'!#REF!+"`FU!o3"</f>
        <v>#REF!</v>
      </c>
      <c r="HH39" t="e">
        <f>'Technical Skills Weighting'!#REF!+"`FU!o4"</f>
        <v>#REF!</v>
      </c>
      <c r="HI39" t="e">
        <f>'Technical Skills Weighting'!#REF!+"`FU!o5"</f>
        <v>#REF!</v>
      </c>
      <c r="HJ39" t="e">
        <f>'Technical Skills Weighting'!#REF!+"`FU!o6"</f>
        <v>#REF!</v>
      </c>
      <c r="HK39" t="e">
        <f>'Technical Skills Weighting'!#REF!+"`FU!o7"</f>
        <v>#REF!</v>
      </c>
      <c r="HL39" t="e">
        <f>'Technical Skills Weighting'!#REF!+"`FU!o8"</f>
        <v>#REF!</v>
      </c>
      <c r="HM39" t="e">
        <f>'Technical Skills Weighting'!#REF!+"`FU!o9"</f>
        <v>#REF!</v>
      </c>
      <c r="HN39" t="e">
        <f>'Technical Skills Weighting'!#REF!+"`FU!o:"</f>
        <v>#REF!</v>
      </c>
      <c r="HO39" t="e">
        <f>'Technical Skills Weighting'!#REF!+"`FU!o;"</f>
        <v>#REF!</v>
      </c>
      <c r="HP39" t="e">
        <f>'Technical Skills Weighting'!#REF!+"`FU!o&lt;"</f>
        <v>#REF!</v>
      </c>
      <c r="HQ39" t="e">
        <f>'Technical Skills Weighting'!#REF!+"`FU!o="</f>
        <v>#REF!</v>
      </c>
      <c r="HR39" t="e">
        <f>'Technical Skills Weighting'!#REF!+"`FU!o&gt;"</f>
        <v>#REF!</v>
      </c>
      <c r="HS39" t="e">
        <f>'Technical Skills Weighting'!#REF!+"`FU!o?"</f>
        <v>#REF!</v>
      </c>
      <c r="HT39" t="e">
        <f>'Technical Skills Weighting'!#REF!+"`FU!o@"</f>
        <v>#REF!</v>
      </c>
      <c r="HU39" t="e">
        <f>'Technical Skills Weighting'!#REF!+"`FU!oA"</f>
        <v>#REF!</v>
      </c>
      <c r="HV39" t="e">
        <f>'Technical Skills Weighting'!#REF!+"`FU!oB"</f>
        <v>#REF!</v>
      </c>
      <c r="HW39" t="e">
        <f>'Technical Skills Weighting'!#REF!+"`FU!oC"</f>
        <v>#REF!</v>
      </c>
      <c r="HX39" t="e">
        <f>'Technical Skills Weighting'!#REF!+"`FU!oD"</f>
        <v>#REF!</v>
      </c>
      <c r="HY39" t="e">
        <f>'Technical Skills Weighting'!#REF!+"`FU!oE"</f>
        <v>#REF!</v>
      </c>
      <c r="HZ39" t="e">
        <f>'Technical Skills Weighting'!#REF!+"`FU!oF"</f>
        <v>#REF!</v>
      </c>
      <c r="IA39" t="e">
        <f>'Technical Skills Weighting'!#REF!+"`FU!oG"</f>
        <v>#REF!</v>
      </c>
      <c r="IB39" t="e">
        <f>'Technical Skills Weighting'!#REF!+"`FU!oH"</f>
        <v>#REF!</v>
      </c>
      <c r="IC39" t="e">
        <f>'Technical Skills Weighting'!#REF!+"`FU!oI"</f>
        <v>#REF!</v>
      </c>
      <c r="ID39" t="e">
        <f>'Technical Skills Weighting'!#REF!+"`FU!oJ"</f>
        <v>#REF!</v>
      </c>
      <c r="IE39" t="e">
        <f>'Technical Skills Weighting'!#REF!+"`FU!oK"</f>
        <v>#REF!</v>
      </c>
      <c r="IF39" t="e">
        <f>'Technical Skills Weighting'!#REF!+"`FU!oL"</f>
        <v>#REF!</v>
      </c>
      <c r="IG39" t="e">
        <f>'Technical Skills Weighting'!#REF!+"`FU!oM"</f>
        <v>#REF!</v>
      </c>
      <c r="IH39" t="e">
        <f>'Technical Skills Weighting'!#REF!+"`FU!oN"</f>
        <v>#REF!</v>
      </c>
      <c r="II39" t="e">
        <f>'Technical Skills Weighting'!#REF!+"`FU!oO"</f>
        <v>#REF!</v>
      </c>
      <c r="IJ39" t="e">
        <f>'Technical Skills Weighting'!#REF!+"`FU!oP"</f>
        <v>#REF!</v>
      </c>
      <c r="IK39" t="e">
        <f>'Technical Skills Weighting'!#REF!+"`FU!oQ"</f>
        <v>#REF!</v>
      </c>
      <c r="IL39" t="e">
        <f>'Technical Skills Weighting'!#REF!+"`FU!oR"</f>
        <v>#REF!</v>
      </c>
      <c r="IM39" t="e">
        <f>'Technical Skills Weighting'!#REF!+"`FU!oS"</f>
        <v>#REF!</v>
      </c>
      <c r="IN39" t="e">
        <f>'Technical Skills Weighting'!#REF!+"`FU!oT"</f>
        <v>#REF!</v>
      </c>
      <c r="IO39" t="e">
        <f>'Technical Skills Weighting'!#REF!+"`FU!oU"</f>
        <v>#REF!</v>
      </c>
      <c r="IP39" t="e">
        <f>'Technical Skills Weighting'!#REF!+"`FU!oV"</f>
        <v>#REF!</v>
      </c>
      <c r="IQ39" t="e">
        <f>'Technical Skills Weighting'!#REF!+"`FU!oW"</f>
        <v>#REF!</v>
      </c>
      <c r="IR39" t="e">
        <f>'Technical Skills Weighting'!#REF!+"`FU!oX"</f>
        <v>#REF!</v>
      </c>
      <c r="IS39" t="e">
        <f>'Technical Skills Weighting'!#REF!+"`FU!oY"</f>
        <v>#REF!</v>
      </c>
      <c r="IT39" t="e">
        <f>'Technical Skills Weighting'!#REF!+"`FU!oZ"</f>
        <v>#REF!</v>
      </c>
      <c r="IU39" t="e">
        <f>'Technical Skills Weighting'!#REF!+"`FU!o["</f>
        <v>#REF!</v>
      </c>
      <c r="IV39" t="e">
        <f>'Technical Skills Weighting'!#REF!+"`FU!o\"</f>
        <v>#REF!</v>
      </c>
    </row>
    <row r="40" spans="6:256" x14ac:dyDescent="0.25">
      <c r="F40" t="e">
        <f>'Technical Skills Weighting'!#REF!+"`FU!o]"</f>
        <v>#REF!</v>
      </c>
      <c r="G40" t="e">
        <f>'Technical Skills Weighting'!#REF!+"`FU!o^"</f>
        <v>#REF!</v>
      </c>
      <c r="H40" t="e">
        <f>'Technical Skills Weighting'!#REF!+"`FU!o_"</f>
        <v>#REF!</v>
      </c>
      <c r="I40" t="e">
        <f>'Technical Skills Weighting'!#REF!+"`FU!o`"</f>
        <v>#REF!</v>
      </c>
      <c r="J40" t="e">
        <f>'Technical Skills Weighting'!#REF!+"`FU!oa"</f>
        <v>#REF!</v>
      </c>
      <c r="K40" t="e">
        <f>'Technical Skills Weighting'!#REF!+"`FU!ob"</f>
        <v>#REF!</v>
      </c>
      <c r="L40" t="e">
        <f>'Technical Skills Weighting'!#REF!+"`FU!oc"</f>
        <v>#REF!</v>
      </c>
      <c r="M40" t="e">
        <f>'Technical Skills Weighting'!#REF!+"`FU!od"</f>
        <v>#REF!</v>
      </c>
      <c r="N40" t="e">
        <f>'Technical Skills Weighting'!#REF!+"`FU!oe"</f>
        <v>#REF!</v>
      </c>
      <c r="O40" t="e">
        <f>'Technical Skills Weighting'!#REF!+"`FU!of"</f>
        <v>#REF!</v>
      </c>
      <c r="P40" t="e">
        <f>'Technical Skills Weighting'!#REF!+"`FU!og"</f>
        <v>#REF!</v>
      </c>
      <c r="Q40" t="e">
        <f>'Technical Skills Weighting'!#REF!+"`FU!oh"</f>
        <v>#REF!</v>
      </c>
      <c r="R40" t="e">
        <f>'Technical Skills Weighting'!#REF!+"`FU!oi"</f>
        <v>#REF!</v>
      </c>
      <c r="S40" t="e">
        <f>'Technical Skills Weighting'!#REF!+"`FU!oj"</f>
        <v>#REF!</v>
      </c>
      <c r="T40" t="e">
        <f>'Technical Skills Weighting'!#REF!+"`FU!ok"</f>
        <v>#REF!</v>
      </c>
      <c r="U40" t="e">
        <f>'Technical Skills Weighting'!#REF!+"`FU!ol"</f>
        <v>#REF!</v>
      </c>
      <c r="V40" t="e">
        <f>'Technical Skills Weighting'!#REF!+"`FU!om"</f>
        <v>#REF!</v>
      </c>
      <c r="W40" t="e">
        <f>'Technical Skills Weighting'!#REF!+"`FU!on"</f>
        <v>#REF!</v>
      </c>
      <c r="X40" t="e">
        <f>'Technical Skills Weighting'!#REF!+"`FU!oo"</f>
        <v>#REF!</v>
      </c>
      <c r="Y40" t="e">
        <f>'Technical Skills Weighting'!#REF!+"`FU!op"</f>
        <v>#REF!</v>
      </c>
      <c r="Z40" t="e">
        <f>'Technical Skills Weighting'!#REF!+"`FU!oq"</f>
        <v>#REF!</v>
      </c>
      <c r="AA40" t="e">
        <f>'Technical Skills Weighting'!#REF!+"`FU!or"</f>
        <v>#REF!</v>
      </c>
      <c r="AB40" t="e">
        <f>'Technical Skills Weighting'!#REF!+"`FU!os"</f>
        <v>#REF!</v>
      </c>
      <c r="AC40" t="e">
        <f>'Technical Skills Weighting'!#REF!+"`FU!ot"</f>
        <v>#REF!</v>
      </c>
      <c r="AD40" t="e">
        <f>'Technical Skills Weighting'!#REF!+"`FU!ou"</f>
        <v>#REF!</v>
      </c>
      <c r="AE40" t="e">
        <f>'Technical Skills Weighting'!#REF!+"`FU!ov"</f>
        <v>#REF!</v>
      </c>
      <c r="AF40" t="e">
        <f>'Technical Skills Weighting'!#REF!+"`FU!ow"</f>
        <v>#REF!</v>
      </c>
      <c r="AG40" t="e">
        <f>'Technical Skills Weighting'!#REF!+"`FU!ox"</f>
        <v>#REF!</v>
      </c>
      <c r="AH40" t="e">
        <f>'Technical Skills Weighting'!#REF!+"`FU!oy"</f>
        <v>#REF!</v>
      </c>
      <c r="AI40" t="e">
        <f>'Technical Skills Weighting'!#REF!+"`FU!oz"</f>
        <v>#REF!</v>
      </c>
      <c r="AJ40" t="e">
        <f>'Technical Skills Weighting'!#REF!+"`FU!o{"</f>
        <v>#REF!</v>
      </c>
      <c r="AK40" t="e">
        <f>'Technical Skills Weighting'!#REF!+"`FU!o|"</f>
        <v>#REF!</v>
      </c>
      <c r="AL40" t="e">
        <f>'Technical Skills Weighting'!#REF!+"`FU!o}"</f>
        <v>#REF!</v>
      </c>
      <c r="AM40" t="e">
        <f>'Technical Skills Weighting'!#REF!+"`FU!o~"</f>
        <v>#REF!</v>
      </c>
      <c r="AN40" t="e">
        <f>'Technical Skills Weighting'!#REF!+"`FU!p#"</f>
        <v>#REF!</v>
      </c>
      <c r="AO40" t="e">
        <f>'Technical Skills Weighting'!#REF!+"`FU!p$"</f>
        <v>#REF!</v>
      </c>
      <c r="AP40" t="e">
        <f>'Technical Skills Weighting'!#REF!+"`FU!p%"</f>
        <v>#REF!</v>
      </c>
      <c r="AQ40" t="e">
        <f>'Technical Skills Weighting'!#REF!+"`FU!p&amp;"</f>
        <v>#REF!</v>
      </c>
      <c r="AR40" t="e">
        <f>'Technical Skills Weighting'!#REF!+"`FU!p'"</f>
        <v>#REF!</v>
      </c>
      <c r="AS40" t="e">
        <f>'Technical Skills Weighting'!#REF!+"`FU!p("</f>
        <v>#REF!</v>
      </c>
      <c r="AT40" t="e">
        <f>'Technical Skills Weighting'!#REF!+"`FU!p)"</f>
        <v>#REF!</v>
      </c>
      <c r="AU40" t="e">
        <f>'Technical Skills Weighting'!#REF!+"`FU!p."</f>
        <v>#REF!</v>
      </c>
      <c r="AV40" t="e">
        <f>'Technical Skills Weighting'!#REF!+"`FU!p/"</f>
        <v>#REF!</v>
      </c>
      <c r="AW40" t="e">
        <f>'Technical Skills Weighting'!#REF!+"`FU!p0"</f>
        <v>#REF!</v>
      </c>
      <c r="AX40" t="e">
        <f>'Technical Skills Weighting'!#REF!+"`FU!p1"</f>
        <v>#REF!</v>
      </c>
      <c r="AY40" t="e">
        <f>'Technical Skills Weighting'!#REF!+"`FU!p2"</f>
        <v>#REF!</v>
      </c>
      <c r="AZ40" t="e">
        <f>'Technical Skills Weighting'!#REF!+"`FU!p3"</f>
        <v>#REF!</v>
      </c>
      <c r="BA40" t="e">
        <f>'Technical Skills Weighting'!#REF!+"`FU!p4"</f>
        <v>#REF!</v>
      </c>
      <c r="BB40" t="e">
        <f>'Technical Skills Weighting'!#REF!+"`FU!p5"</f>
        <v>#REF!</v>
      </c>
      <c r="BC40" t="e">
        <f>'Technical Skills Weighting'!#REF!+"`FU!p6"</f>
        <v>#REF!</v>
      </c>
      <c r="BD40" t="e">
        <f>'Technical Skills Weighting'!#REF!+"`FU!p7"</f>
        <v>#REF!</v>
      </c>
      <c r="BE40" t="e">
        <f>'Technical Skills Weighting'!#REF!+"`FU!p8"</f>
        <v>#REF!</v>
      </c>
      <c r="BF40" t="e">
        <f>'Technical Skills Weighting'!#REF!+"`FU!p9"</f>
        <v>#REF!</v>
      </c>
      <c r="BG40" t="e">
        <f>'Technical Skills Weighting'!#REF!+"`FU!p:"</f>
        <v>#REF!</v>
      </c>
      <c r="BH40" t="e">
        <f>'Technical Skills Weighting'!#REF!+"`FU!p;"</f>
        <v>#REF!</v>
      </c>
      <c r="BI40" t="e">
        <f>'Technical Skills Weighting'!#REF!+"`FU!p&lt;"</f>
        <v>#REF!</v>
      </c>
      <c r="BJ40" t="e">
        <f>'Technical Skills Weighting'!#REF!+"`FU!p="</f>
        <v>#REF!</v>
      </c>
      <c r="BK40" t="e">
        <f>'Technical Skills Weighting'!#REF!+"`FU!p&gt;"</f>
        <v>#REF!</v>
      </c>
      <c r="BL40" t="e">
        <f>'Technical Skills Weighting'!#REF!+"`FU!p?"</f>
        <v>#REF!</v>
      </c>
      <c r="BM40" t="e">
        <f>'Technical Skills Weighting'!#REF!+"`FU!p@"</f>
        <v>#REF!</v>
      </c>
      <c r="BN40" t="e">
        <f>'Technical Skills Weighting'!#REF!+"`FU!pA"</f>
        <v>#REF!</v>
      </c>
      <c r="BO40" t="e">
        <f>'Technical Skills Weighting'!#REF!+"`FU!pB"</f>
        <v>#REF!</v>
      </c>
      <c r="BP40" t="e">
        <f>'Technical Skills Weighting'!#REF!+"`FU!pC"</f>
        <v>#REF!</v>
      </c>
      <c r="BQ40" t="e">
        <f>'Technical Skills Weighting'!#REF!+"`FU!pD"</f>
        <v>#REF!</v>
      </c>
      <c r="BR40" t="e">
        <f>'Technical Skills Weighting'!#REF!+"`FU!pE"</f>
        <v>#REF!</v>
      </c>
      <c r="BS40" t="e">
        <f>'Technical Skills Weighting'!#REF!+"`FU!pF"</f>
        <v>#REF!</v>
      </c>
      <c r="BT40" t="e">
        <f>'Technical Skills Weighting'!#REF!+"`FU!pG"</f>
        <v>#REF!</v>
      </c>
      <c r="BU40" t="e">
        <f>'Technical Skills Weighting'!#REF!+"`FU!pH"</f>
        <v>#REF!</v>
      </c>
      <c r="BV40" t="e">
        <f>'Technical Skills Weighting'!#REF!+"`FU!pI"</f>
        <v>#REF!</v>
      </c>
      <c r="BW40" t="e">
        <f>'Technical Skills Weighting'!#REF!+"`FU!pJ"</f>
        <v>#REF!</v>
      </c>
      <c r="BX40" t="e">
        <f>'Technical Skills Weighting'!#REF!+"`FU!pK"</f>
        <v>#REF!</v>
      </c>
      <c r="BY40" t="e">
        <f>'Technical Skills Weighting'!#REF!+"`FU!pL"</f>
        <v>#REF!</v>
      </c>
      <c r="BZ40" t="e">
        <f>'Technical Skills Weighting'!#REF!+"`FU!pM"</f>
        <v>#REF!</v>
      </c>
      <c r="CA40" t="e">
        <f>'Technical Skills Weighting'!#REF!+"`FU!pN"</f>
        <v>#REF!</v>
      </c>
      <c r="CB40" t="e">
        <f>'Technical Skills Weighting'!#REF!+"`FU!pO"</f>
        <v>#REF!</v>
      </c>
      <c r="CC40" t="e">
        <f>'Technical Skills Weighting'!#REF!+"`FU!pP"</f>
        <v>#REF!</v>
      </c>
      <c r="CD40" t="e">
        <f>'Technical Skills Weighting'!#REF!+"`FU!pQ"</f>
        <v>#REF!</v>
      </c>
      <c r="CE40" t="e">
        <f>'Technical Skills Weighting'!#REF!+"`FU!pR"</f>
        <v>#REF!</v>
      </c>
      <c r="CF40" t="e">
        <f>'Technical Skills Weighting'!#REF!+"`FU!pS"</f>
        <v>#REF!</v>
      </c>
      <c r="CG40" t="e">
        <f>'Technical Skills Weighting'!#REF!+"`FU!pT"</f>
        <v>#REF!</v>
      </c>
      <c r="CH40" t="e">
        <f>'Technical Skills Weighting'!#REF!+"`FU!pU"</f>
        <v>#REF!</v>
      </c>
      <c r="CI40" t="e">
        <f>'Technical Skills Weighting'!#REF!+"`FU!pV"</f>
        <v>#REF!</v>
      </c>
      <c r="CJ40" t="e">
        <f>'Technical Skills Weighting'!#REF!+"`FU!pW"</f>
        <v>#REF!</v>
      </c>
      <c r="CK40" t="e">
        <f>'Technical Skills Weighting'!#REF!+"`FU!pX"</f>
        <v>#REF!</v>
      </c>
      <c r="CL40" t="e">
        <f>'Technical Skills Weighting'!#REF!+"`FU!pY"</f>
        <v>#REF!</v>
      </c>
      <c r="CM40" t="e">
        <f>'Technical Skills Weighting'!#REF!+"`FU!pZ"</f>
        <v>#REF!</v>
      </c>
      <c r="CN40" t="e">
        <f>'Technical Skills Weighting'!#REF!+"`FU!p["</f>
        <v>#REF!</v>
      </c>
      <c r="CO40" t="e">
        <f>'Technical Skills Weighting'!#REF!+"`FU!p\"</f>
        <v>#REF!</v>
      </c>
      <c r="CP40" t="e">
        <f>'Technical Skills Weighting'!#REF!+"`FU!p]"</f>
        <v>#REF!</v>
      </c>
      <c r="CQ40" t="e">
        <f>'Technical Skills Weighting'!#REF!+"`FU!p^"</f>
        <v>#REF!</v>
      </c>
      <c r="CR40" t="e">
        <f>'Technical Skills Weighting'!#REF!+"`FU!p_"</f>
        <v>#REF!</v>
      </c>
      <c r="CS40" t="e">
        <f>'Technical Skills Weighting'!#REF!+"`FU!p`"</f>
        <v>#REF!</v>
      </c>
      <c r="CT40" t="e">
        <f>'Technical Skills Weighting'!#REF!+"`FU!pa"</f>
        <v>#REF!</v>
      </c>
      <c r="CU40" t="e">
        <f>'Technical Skills Weighting'!#REF!+"`FU!pb"</f>
        <v>#REF!</v>
      </c>
      <c r="CV40" t="e">
        <f>'Technical Skills Weighting'!#REF!+"`FU!pc"</f>
        <v>#REF!</v>
      </c>
      <c r="CW40" t="e">
        <f>'Technical Skills Weighting'!#REF!+"`FU!pd"</f>
        <v>#REF!</v>
      </c>
      <c r="CX40" t="e">
        <f>'Technical Skills Weighting'!#REF!+"`FU!pe"</f>
        <v>#REF!</v>
      </c>
      <c r="CY40" t="e">
        <f>'Technical Skills Weighting'!#REF!+"`FU!pf"</f>
        <v>#REF!</v>
      </c>
      <c r="CZ40" t="e">
        <f>'Technical Skills Weighting'!#REF!+"`FU!pg"</f>
        <v>#REF!</v>
      </c>
      <c r="DA40" t="e">
        <f>'Technical Skills Weighting'!#REF!+"`FU!ph"</f>
        <v>#REF!</v>
      </c>
      <c r="DB40" t="e">
        <f>'Technical Skills Weighting'!#REF!+"`FU!pi"</f>
        <v>#REF!</v>
      </c>
      <c r="DC40" t="e">
        <f>'Technical Skills Weighting'!#REF!+"`FU!pj"</f>
        <v>#REF!</v>
      </c>
      <c r="DD40" t="e">
        <f>'Technical Skills Weighting'!#REF!+"`FU!pk"</f>
        <v>#REF!</v>
      </c>
      <c r="DE40" t="e">
        <f>'Technical Skills Weighting'!#REF!+"`FU!pl"</f>
        <v>#REF!</v>
      </c>
      <c r="DF40" t="e">
        <f>'Technical Skills Weighting'!#REF!+"`FU!pm"</f>
        <v>#REF!</v>
      </c>
      <c r="DG40" t="e">
        <f>'Technical Skills Weighting'!#REF!+"`FU!pn"</f>
        <v>#REF!</v>
      </c>
      <c r="DH40" t="e">
        <f>'Technical Skills Weighting'!#REF!+"`FU!po"</f>
        <v>#REF!</v>
      </c>
      <c r="DI40" t="e">
        <f>'Technical Skills Weighting'!#REF!+"`FU!pp"</f>
        <v>#REF!</v>
      </c>
      <c r="DJ40" t="e">
        <f>'Technical Skills Weighting'!#REF!+"`FU!pq"</f>
        <v>#REF!</v>
      </c>
      <c r="DK40" t="e">
        <f>'Technical Skills Weighting'!#REF!+"`FU!pr"</f>
        <v>#REF!</v>
      </c>
      <c r="DL40" t="e">
        <f>'Technical Skills Weighting'!#REF!+"`FU!ps"</f>
        <v>#REF!</v>
      </c>
      <c r="DM40" t="e">
        <f>'Technical Skills Weighting'!#REF!+"`FU!pt"</f>
        <v>#REF!</v>
      </c>
      <c r="DN40" t="e">
        <f>'Technical Skills Weighting'!#REF!+"`FU!pu"</f>
        <v>#REF!</v>
      </c>
      <c r="DO40" t="e">
        <f>'Technical Skills Weighting'!#REF!+"`FU!pv"</f>
        <v>#REF!</v>
      </c>
      <c r="DP40" t="e">
        <f>'Technical Skills Weighting'!#REF!+"`FU!pw"</f>
        <v>#REF!</v>
      </c>
      <c r="DQ40" t="e">
        <f>'Technical Skills Weighting'!#REF!+"`FU!px"</f>
        <v>#REF!</v>
      </c>
      <c r="DR40" t="e">
        <f>'Technical Skills Weighting'!#REF!+"`FU!py"</f>
        <v>#REF!</v>
      </c>
      <c r="DS40" t="e">
        <f>'Technical Skills Weighting'!#REF!+"`FU!pz"</f>
        <v>#REF!</v>
      </c>
      <c r="DT40" t="e">
        <f>'Technical Skills Weighting'!#REF!+"`FU!p{"</f>
        <v>#REF!</v>
      </c>
      <c r="DU40" t="e">
        <f>'Technical Skills Weighting'!#REF!+"`FU!p|"</f>
        <v>#REF!</v>
      </c>
      <c r="DV40" t="e">
        <f>'Technical Skills Weighting'!#REF!+"`FU!p}"</f>
        <v>#REF!</v>
      </c>
      <c r="DW40" t="e">
        <f>'Technical Skills Weighting'!#REF!+"`FU!p~"</f>
        <v>#REF!</v>
      </c>
      <c r="DX40" t="e">
        <f>'Technical Skills Weighting'!#REF!+"`FU!q#"</f>
        <v>#REF!</v>
      </c>
      <c r="DY40" t="e">
        <f>'Technical Skills Weighting'!#REF!+"`FU!q$"</f>
        <v>#REF!</v>
      </c>
      <c r="DZ40" t="e">
        <f>'Technical Skills Weighting'!#REF!+"`FU!q%"</f>
        <v>#REF!</v>
      </c>
      <c r="EA40" t="e">
        <f>'Technical Skills Weighting'!#REF!+"`FU!q&amp;"</f>
        <v>#REF!</v>
      </c>
      <c r="EB40" t="e">
        <f>'Technical Skills Weighting'!#REF!+"`FU!q'"</f>
        <v>#REF!</v>
      </c>
      <c r="EC40" t="e">
        <f>'Technical Skills Weighting'!#REF!+"`FU!q("</f>
        <v>#REF!</v>
      </c>
      <c r="ED40" t="e">
        <f>'Technical Skills Weighting'!#REF!+"`FU!q)"</f>
        <v>#REF!</v>
      </c>
      <c r="EE40" t="e">
        <f>'Technical Skills Weighting'!#REF!+"`FU!q."</f>
        <v>#REF!</v>
      </c>
      <c r="EF40" t="e">
        <f>'Technical Skills Weighting'!#REF!+"`FU!q/"</f>
        <v>#REF!</v>
      </c>
      <c r="EG40" t="e">
        <f>'Technical Skills Weighting'!#REF!+"`FU!q0"</f>
        <v>#REF!</v>
      </c>
      <c r="EH40" t="e">
        <f>'Technical Skills Weighting'!#REF!+"`FU!q1"</f>
        <v>#REF!</v>
      </c>
      <c r="EI40" t="e">
        <f>'Technical Skills Weighting'!#REF!+"`FU!q2"</f>
        <v>#REF!</v>
      </c>
      <c r="EJ40" t="e">
        <f>'Technical Skills Weighting'!#REF!+"`FU!q3"</f>
        <v>#REF!</v>
      </c>
      <c r="EK40" t="e">
        <f>'Technical Skills Weighting'!#REF!+"`FU!q4"</f>
        <v>#REF!</v>
      </c>
      <c r="EL40" t="e">
        <f>'Technical Skills Weighting'!#REF!+"`FU!q5"</f>
        <v>#REF!</v>
      </c>
      <c r="EM40" t="e">
        <f>'Technical Skills Weighting'!#REF!+"`FU!q6"</f>
        <v>#REF!</v>
      </c>
      <c r="EN40" t="e">
        <f>'Technical Skills Weighting'!#REF!+"`FU!q7"</f>
        <v>#REF!</v>
      </c>
      <c r="EO40" t="e">
        <f>'Technical Skills Weighting'!#REF!+"`FU!q8"</f>
        <v>#REF!</v>
      </c>
      <c r="EP40" t="e">
        <f>'Technical Skills Weighting'!#REF!+"`FU!q9"</f>
        <v>#REF!</v>
      </c>
      <c r="EQ40" t="e">
        <f>'Technical Skills Weighting'!#REF!+"`FU!q:"</f>
        <v>#REF!</v>
      </c>
      <c r="ER40" t="e">
        <f>'Technical Skills Weighting'!#REF!+"`FU!q;"</f>
        <v>#REF!</v>
      </c>
      <c r="ES40" t="e">
        <f>'Technical Skills Weighting'!#REF!+"`FU!q&lt;"</f>
        <v>#REF!</v>
      </c>
      <c r="ET40" t="e">
        <f>'Technical Skills Weighting'!#REF!+"`FU!q="</f>
        <v>#REF!</v>
      </c>
      <c r="EU40" t="e">
        <f>'Technical Skills Weighting'!#REF!+"`FU!q&gt;"</f>
        <v>#REF!</v>
      </c>
      <c r="EV40" t="e">
        <f>'Technical Skills Weighting'!#REF!+"`FU!q?"</f>
        <v>#REF!</v>
      </c>
      <c r="EW40" t="e">
        <f>'Technical Skills Weighting'!#REF!+"`FU!q@"</f>
        <v>#REF!</v>
      </c>
      <c r="EX40" t="e">
        <f>'Technical Skills Weighting'!#REF!+"`FU!qA"</f>
        <v>#REF!</v>
      </c>
      <c r="EY40" t="e">
        <f>'Technical Skills Weighting'!#REF!+"`FU!qB"</f>
        <v>#REF!</v>
      </c>
      <c r="EZ40" t="e">
        <f>'Technical Skills Weighting'!#REF!+"`FU!qC"</f>
        <v>#REF!</v>
      </c>
      <c r="FA40" t="e">
        <f>'Technical Skills Weighting'!#REF!+"`FU!qD"</f>
        <v>#REF!</v>
      </c>
      <c r="FB40" t="e">
        <f>'Technical Skills Weighting'!#REF!+"`FU!qE"</f>
        <v>#REF!</v>
      </c>
      <c r="FC40" t="e">
        <f>'Technical Skills Weighting'!#REF!+"`FU!qF"</f>
        <v>#REF!</v>
      </c>
      <c r="FD40" t="e">
        <f>'Technical Skills Weighting'!#REF!+"`FU!qG"</f>
        <v>#REF!</v>
      </c>
      <c r="FE40" t="e">
        <f>'Technical Skills Weighting'!#REF!+"`FU!qH"</f>
        <v>#REF!</v>
      </c>
      <c r="FF40" t="e">
        <f>'Technical Skills Weighting'!#REF!+"`FU!qI"</f>
        <v>#REF!</v>
      </c>
      <c r="FG40" t="e">
        <f>'Technical Skills Weighting'!#REF!+"`FU!qJ"</f>
        <v>#REF!</v>
      </c>
      <c r="FH40" t="e">
        <f>'Technical Skills Weighting'!#REF!+"`FU!qK"</f>
        <v>#REF!</v>
      </c>
      <c r="FI40" t="e">
        <f>'Technical Skills Weighting'!#REF!+"`FU!qL"</f>
        <v>#REF!</v>
      </c>
      <c r="FJ40" t="e">
        <f>'Technical Skills Weighting'!#REF!+"`FU!qM"</f>
        <v>#REF!</v>
      </c>
      <c r="FK40" t="e">
        <f>'Technical Skills Weighting'!#REF!+"`FU!qN"</f>
        <v>#REF!</v>
      </c>
      <c r="FL40" t="e">
        <f>'Technical Skills Weighting'!#REF!+"`FU!qO"</f>
        <v>#REF!</v>
      </c>
      <c r="FM40" t="e">
        <f>'Technical Skills Weighting'!#REF!+"`FU!qP"</f>
        <v>#REF!</v>
      </c>
      <c r="FN40" t="e">
        <f>'Technical Skills Weighting'!#REF!+"`FU!qQ"</f>
        <v>#REF!</v>
      </c>
      <c r="FO40" t="e">
        <f>'Technical Skills Weighting'!#REF!+"`FU!qR"</f>
        <v>#REF!</v>
      </c>
      <c r="FP40" t="e">
        <f>'Technical Skills Weighting'!#REF!+"`FU!qS"</f>
        <v>#REF!</v>
      </c>
      <c r="FQ40" t="e">
        <f>'Technical Skills Weighting'!#REF!+"`FU!qT"</f>
        <v>#REF!</v>
      </c>
      <c r="FR40" t="e">
        <f>'Technical Skills Weighting'!#REF!+"`FU!qU"</f>
        <v>#REF!</v>
      </c>
      <c r="FS40" t="e">
        <f>'Technical Skills Weighting'!#REF!+"`FU!qV"</f>
        <v>#REF!</v>
      </c>
      <c r="FT40" t="e">
        <f>'Technical Skills Weighting'!#REF!+"`FU!qW"</f>
        <v>#REF!</v>
      </c>
      <c r="FU40" t="e">
        <f>'Technical Skills Weighting'!#REF!+"`FU!qX"</f>
        <v>#REF!</v>
      </c>
      <c r="FV40" t="e">
        <f>'Technical Skills Weighting'!#REF!+"`FU!qY"</f>
        <v>#REF!</v>
      </c>
      <c r="FW40" t="e">
        <f>'Technical Skills Weighting'!#REF!+"`FU!qZ"</f>
        <v>#REF!</v>
      </c>
      <c r="FX40" t="e">
        <f>'Technical Skills Weighting'!#REF!+"`FU!q["</f>
        <v>#REF!</v>
      </c>
      <c r="FY40" t="e">
        <f>'Technical Skills Weighting'!#REF!+"`FU!q\"</f>
        <v>#REF!</v>
      </c>
      <c r="FZ40" t="e">
        <f>'Technical Skills Weighting'!#REF!+"`FU!q]"</f>
        <v>#REF!</v>
      </c>
      <c r="GA40" t="e">
        <f>'Technical Skills Weighting'!#REF!+"`FU!q^"</f>
        <v>#REF!</v>
      </c>
      <c r="GB40" t="e">
        <f>'Technical Skills Weighting'!#REF!+"`FU!q_"</f>
        <v>#REF!</v>
      </c>
      <c r="GC40" t="e">
        <f>'Technical Skills Weighting'!#REF!+"`FU!q`"</f>
        <v>#REF!</v>
      </c>
      <c r="GD40" t="e">
        <f>'Technical Skills Weighting'!#REF!+"`FU!qa"</f>
        <v>#REF!</v>
      </c>
      <c r="GE40" t="e">
        <f>'Technical Skills Weighting'!#REF!+"`FU!qb"</f>
        <v>#REF!</v>
      </c>
      <c r="GF40" t="e">
        <f>'Technical Skills Weighting'!#REF!+"`FU!qc"</f>
        <v>#REF!</v>
      </c>
      <c r="GG40" t="e">
        <f>'Technical Skills Weighting'!#REF!+"`FU!qd"</f>
        <v>#REF!</v>
      </c>
      <c r="GH40" t="e">
        <f>'Technical Skills Weighting'!#REF!+"`FU!qe"</f>
        <v>#REF!</v>
      </c>
      <c r="GI40" t="e">
        <f>'Technical Skills Weighting'!#REF!+"`FU!qf"</f>
        <v>#REF!</v>
      </c>
      <c r="GJ40" t="e">
        <f>'Technical Skills Weighting'!#REF!+"`FU!qg"</f>
        <v>#REF!</v>
      </c>
      <c r="GK40" t="e">
        <f>'Technical Skills Weighting'!#REF!+"`FU!qh"</f>
        <v>#REF!</v>
      </c>
      <c r="GL40" t="e">
        <f>'Technical Skills Weighting'!#REF!+"`FU!qi"</f>
        <v>#REF!</v>
      </c>
      <c r="GM40" t="e">
        <f>'Technical Skills Weighting'!#REF!+"`FU!qj"</f>
        <v>#REF!</v>
      </c>
      <c r="GN40" t="e">
        <f>'Technical Skills Weighting'!#REF!+"`FU!qk"</f>
        <v>#REF!</v>
      </c>
      <c r="GO40" t="e">
        <f>'Technical Skills Weighting'!#REF!+"`FU!ql"</f>
        <v>#REF!</v>
      </c>
      <c r="GP40" t="e">
        <f>'Technical Skills Weighting'!#REF!+"`FU!qm"</f>
        <v>#REF!</v>
      </c>
      <c r="GQ40" t="e">
        <f>'Technical Skills Weighting'!#REF!+"`FU!qn"</f>
        <v>#REF!</v>
      </c>
      <c r="GR40" t="e">
        <f>'Technical Skills Weighting'!#REF!+"`FU!qo"</f>
        <v>#REF!</v>
      </c>
      <c r="GS40" t="e">
        <f>'Technical Skills Weighting'!#REF!+"`FU!qp"</f>
        <v>#REF!</v>
      </c>
      <c r="GT40" t="e">
        <f>'Technical Skills Weighting'!#REF!+"`FU!qq"</f>
        <v>#REF!</v>
      </c>
      <c r="GU40" t="e">
        <f>'Technical Skills Weighting'!#REF!+"`FU!qr"</f>
        <v>#REF!</v>
      </c>
      <c r="GV40" t="e">
        <f>'Technical Skills Weighting'!#REF!+"`FU!qs"</f>
        <v>#REF!</v>
      </c>
      <c r="GW40" t="e">
        <f>'Technical Skills Weighting'!#REF!+"`FU!qt"</f>
        <v>#REF!</v>
      </c>
      <c r="GX40" t="e">
        <f>'Technical Skills Weighting'!#REF!+"`FU!qu"</f>
        <v>#REF!</v>
      </c>
      <c r="GY40" t="e">
        <f>'Technical Skills Weighting'!#REF!+"`FU!qv"</f>
        <v>#REF!</v>
      </c>
      <c r="GZ40" t="e">
        <f>'Technical Skills Weighting'!#REF!+"`FU!qw"</f>
        <v>#REF!</v>
      </c>
      <c r="HA40" t="e">
        <f>'Technical Skills Weighting'!#REF!+"`FU!qx"</f>
        <v>#REF!</v>
      </c>
      <c r="HB40" t="e">
        <f>'Technical Skills Weighting'!#REF!+"`FU!qy"</f>
        <v>#REF!</v>
      </c>
      <c r="HC40" t="e">
        <f>'Technical Skills Weighting'!#REF!+"`FU!qz"</f>
        <v>#REF!</v>
      </c>
      <c r="HD40" t="e">
        <f>'Technical Skills Weighting'!#REF!+"`FU!q{"</f>
        <v>#REF!</v>
      </c>
      <c r="HE40" t="e">
        <f>'Technical Skills Weighting'!#REF!+"`FU!q|"</f>
        <v>#REF!</v>
      </c>
      <c r="HF40" t="e">
        <f>'Technical Skills Weighting'!#REF!+"`FU!q}"</f>
        <v>#REF!</v>
      </c>
      <c r="HG40" t="e">
        <f>'Technical Skills Weighting'!#REF!+"`FU!q~"</f>
        <v>#REF!</v>
      </c>
      <c r="HH40" t="e">
        <f>'Technical Skills Weighting'!#REF!+"`FU!r#"</f>
        <v>#REF!</v>
      </c>
      <c r="HI40" t="e">
        <f>'Technical Skills Weighting'!#REF!+"`FU!r$"</f>
        <v>#REF!</v>
      </c>
      <c r="HJ40" t="e">
        <f>'Technical Skills Weighting'!#REF!+"`FU!r%"</f>
        <v>#REF!</v>
      </c>
      <c r="HK40" t="e">
        <f>'Technical Skills Weighting'!#REF!+"`FU!r&amp;"</f>
        <v>#REF!</v>
      </c>
      <c r="HL40" t="e">
        <f>'Technical Skills Weighting'!#REF!+"`FU!r'"</f>
        <v>#REF!</v>
      </c>
      <c r="HM40" t="e">
        <f>'Technical Skills Weighting'!#REF!+"`FU!r("</f>
        <v>#REF!</v>
      </c>
      <c r="HN40" t="e">
        <f>'Technical Skills Weighting'!#REF!+"`FU!r)"</f>
        <v>#REF!</v>
      </c>
      <c r="HO40" t="e">
        <f>'Technical Skills Weighting'!#REF!+"`FU!r."</f>
        <v>#REF!</v>
      </c>
      <c r="HP40" t="e">
        <f>'Technical Skills Weighting'!#REF!+"`FU!r/"</f>
        <v>#REF!</v>
      </c>
      <c r="HQ40" t="e">
        <f>'Technical Skills Weighting'!#REF!+"`FU!r0"</f>
        <v>#REF!</v>
      </c>
      <c r="HR40" t="e">
        <f>'Technical Skills Weighting'!#REF!+"`FU!r1"</f>
        <v>#REF!</v>
      </c>
      <c r="HS40" t="e">
        <f>'Technical Skills Weighting'!#REF!+"`FU!r2"</f>
        <v>#REF!</v>
      </c>
      <c r="HT40" t="e">
        <f>'Technical Skills Weighting'!#REF!+"`FU!r3"</f>
        <v>#REF!</v>
      </c>
      <c r="HU40" t="e">
        <f>'Technical Skills Weighting'!#REF!+"`FU!r4"</f>
        <v>#REF!</v>
      </c>
      <c r="HV40" t="e">
        <f>'Technical Skills Weighting'!#REF!+"`FU!r5"</f>
        <v>#REF!</v>
      </c>
      <c r="HW40" t="e">
        <f>'Technical Skills Weighting'!#REF!+"`FU!r6"</f>
        <v>#REF!</v>
      </c>
      <c r="HX40" t="e">
        <f>'Technical Skills Weighting'!#REF!+"`FU!r7"</f>
        <v>#REF!</v>
      </c>
      <c r="HY40" t="e">
        <f>'Technical Skills Weighting'!#REF!+"`FU!r8"</f>
        <v>#REF!</v>
      </c>
      <c r="HZ40" t="e">
        <f>'Technical Skills Weighting'!#REF!+"`FU!r9"</f>
        <v>#REF!</v>
      </c>
      <c r="IA40" t="e">
        <f>'Technical Skills Weighting'!#REF!+"`FU!r:"</f>
        <v>#REF!</v>
      </c>
      <c r="IB40" t="e">
        <f>'Technical Skills Weighting'!#REF!+"`FU!r;"</f>
        <v>#REF!</v>
      </c>
      <c r="IC40" t="e">
        <f>'Technical Skills Weighting'!#REF!+"`FU!r&lt;"</f>
        <v>#REF!</v>
      </c>
      <c r="ID40" t="e">
        <f>'Technical Skills Weighting'!#REF!+"`FU!r="</f>
        <v>#REF!</v>
      </c>
      <c r="IE40" t="e">
        <f>'Technical Skills Weighting'!#REF!+"`FU!r&gt;"</f>
        <v>#REF!</v>
      </c>
      <c r="IF40" t="e">
        <f>'Technical Skills Weighting'!#REF!+"`FU!r?"</f>
        <v>#REF!</v>
      </c>
      <c r="IG40" t="e">
        <f>'Technical Skills Weighting'!#REF!+"`FU!r@"</f>
        <v>#REF!</v>
      </c>
      <c r="IH40" t="e">
        <f>'Technical Skills Weighting'!#REF!+"`FU!rA"</f>
        <v>#REF!</v>
      </c>
      <c r="II40" t="e">
        <f>'Technical Skills Weighting'!#REF!+"`FU!rB"</f>
        <v>#REF!</v>
      </c>
      <c r="IJ40" t="e">
        <f>'Technical Skills Weighting'!#REF!+"`FU!rC"</f>
        <v>#REF!</v>
      </c>
      <c r="IK40" t="e">
        <f>'Technical Skills Weighting'!#REF!+"`FU!rD"</f>
        <v>#REF!</v>
      </c>
      <c r="IL40" t="e">
        <f>'Technical Skills Weighting'!#REF!+"`FU!rE"</f>
        <v>#REF!</v>
      </c>
      <c r="IM40" t="e">
        <f>'Technical Skills Weighting'!#REF!+"`FU!rF"</f>
        <v>#REF!</v>
      </c>
      <c r="IN40" t="e">
        <f>'Technical Skills Weighting'!#REF!+"`FU!rG"</f>
        <v>#REF!</v>
      </c>
      <c r="IO40" t="e">
        <f>'Technical Skills Weighting'!#REF!+"`FU!rH"</f>
        <v>#REF!</v>
      </c>
      <c r="IP40" t="e">
        <f>'Technical Skills Weighting'!#REF!+"`FU!rI"</f>
        <v>#REF!</v>
      </c>
      <c r="IQ40" t="e">
        <f>'Technical Skills Weighting'!#REF!+"`FU!rJ"</f>
        <v>#REF!</v>
      </c>
      <c r="IR40" t="e">
        <f>'Technical Skills Weighting'!#REF!+"`FU!rK"</f>
        <v>#REF!</v>
      </c>
      <c r="IS40" t="e">
        <f>'Technical Skills Weighting'!#REF!+"`FU!rL"</f>
        <v>#REF!</v>
      </c>
      <c r="IT40" t="e">
        <f>'Technical Skills Weighting'!#REF!+"`FU!rM"</f>
        <v>#REF!</v>
      </c>
      <c r="IU40" t="e">
        <f>'Technical Skills Weighting'!#REF!+"`FU!rN"</f>
        <v>#REF!</v>
      </c>
      <c r="IV40" t="e">
        <f>'Technical Skills Weighting'!#REF!+"`FU!rO"</f>
        <v>#REF!</v>
      </c>
    </row>
    <row r="41" spans="6:256" x14ac:dyDescent="0.25">
      <c r="F41" t="e">
        <f>'Technical Skills Weighting'!#REF!+"`FU!rP"</f>
        <v>#REF!</v>
      </c>
      <c r="G41" t="e">
        <f>'Technical Skills Weighting'!#REF!+"`FU!rQ"</f>
        <v>#REF!</v>
      </c>
      <c r="H41" t="e">
        <f>'Technical Skills Weighting'!#REF!+"`FU!rR"</f>
        <v>#REF!</v>
      </c>
      <c r="I41" t="e">
        <f>'Technical Skills Weighting'!#REF!+"`FU!rS"</f>
        <v>#REF!</v>
      </c>
      <c r="J41" t="e">
        <f>'Technical Skills Weighting'!#REF!+"`FU!rT"</f>
        <v>#REF!</v>
      </c>
      <c r="K41" t="e">
        <f>'Technical Skills Weighting'!#REF!+"`FU!rU"</f>
        <v>#REF!</v>
      </c>
      <c r="L41" t="e">
        <f>'Technical Skills Weighting'!#REF!+"`FU!rV"</f>
        <v>#REF!</v>
      </c>
      <c r="M41" t="e">
        <f>'Technical Skills Weighting'!#REF!+"`FU!rW"</f>
        <v>#REF!</v>
      </c>
      <c r="N41" t="e">
        <f>'Technical Skills Weighting'!#REF!+"`FU!rX"</f>
        <v>#REF!</v>
      </c>
      <c r="O41" t="e">
        <f>'Technical Skills Weighting'!#REF!+"`FU!rY"</f>
        <v>#REF!</v>
      </c>
      <c r="P41" t="e">
        <f>'Technical Skills Weighting'!#REF!+"`FU!rZ"</f>
        <v>#REF!</v>
      </c>
      <c r="Q41" t="e">
        <f>'Technical Skills Weighting'!#REF!+"`FU!r["</f>
        <v>#REF!</v>
      </c>
      <c r="R41" t="e">
        <f>'Technical Skills Weighting'!#REF!+"`FU!r\"</f>
        <v>#REF!</v>
      </c>
      <c r="S41" t="e">
        <f>'Technical Skills Weighting'!#REF!+"`FU!r]"</f>
        <v>#REF!</v>
      </c>
      <c r="T41" t="e">
        <f>'Technical Skills Weighting'!#REF!+"`FU!r^"</f>
        <v>#REF!</v>
      </c>
      <c r="U41" t="e">
        <f>'Technical Skills Weighting'!#REF!+"`FU!r_"</f>
        <v>#REF!</v>
      </c>
      <c r="V41" t="e">
        <f>'Technical Skills Weighting'!#REF!+"`FU!r`"</f>
        <v>#REF!</v>
      </c>
      <c r="W41" t="e">
        <f>'Technical Skills Weighting'!#REF!+"`FU!ra"</f>
        <v>#REF!</v>
      </c>
      <c r="X41" t="e">
        <f>'Technical Skills Weighting'!#REF!+"`FU!rb"</f>
        <v>#REF!</v>
      </c>
      <c r="Y41" t="e">
        <f>'Technical Skills Weighting'!#REF!+"`FU!rc"</f>
        <v>#REF!</v>
      </c>
      <c r="Z41" t="e">
        <f>'Technical Skills Weighting'!#REF!+"`FU!rd"</f>
        <v>#REF!</v>
      </c>
      <c r="AA41" t="e">
        <f>'Technical Skills Weighting'!#REF!+"`FU!re"</f>
        <v>#REF!</v>
      </c>
      <c r="AB41" t="e">
        <f>'Technical Skills Weighting'!#REF!+"`FU!rf"</f>
        <v>#REF!</v>
      </c>
      <c r="AC41" t="e">
        <f>'Technical Skills Weighting'!#REF!+"`FU!rg"</f>
        <v>#REF!</v>
      </c>
      <c r="AD41" t="e">
        <f>'Technical Skills Weighting'!#REF!+"`FU!rh"</f>
        <v>#REF!</v>
      </c>
      <c r="AE41" t="e">
        <f>'Technical Skills Weighting'!#REF!+"`FU!ri"</f>
        <v>#REF!</v>
      </c>
      <c r="AF41" t="e">
        <f>'Technical Skills Weighting'!#REF!+"`FU!rj"</f>
        <v>#REF!</v>
      </c>
      <c r="AG41" t="e">
        <f>'Technical Skills Weighting'!#REF!+"`FU!rk"</f>
        <v>#REF!</v>
      </c>
      <c r="AH41" t="e">
        <f>'Technical Skills Weighting'!#REF!+"`FU!rl"</f>
        <v>#REF!</v>
      </c>
      <c r="AI41" t="e">
        <f>'Technical Skills Weighting'!#REF!+"`FU!rm"</f>
        <v>#REF!</v>
      </c>
      <c r="AJ41" t="e">
        <f>'Technical Skills Weighting'!#REF!+"`FU!rn"</f>
        <v>#REF!</v>
      </c>
      <c r="AK41" t="e">
        <f>'Technical Skills Weighting'!#REF!+"`FU!ro"</f>
        <v>#REF!</v>
      </c>
      <c r="AL41" t="e">
        <f>'Technical Skills Weighting'!#REF!+"`FU!rp"</f>
        <v>#REF!</v>
      </c>
      <c r="AM41" t="e">
        <f>'Technical Skills Weighting'!#REF!+"`FU!rq"</f>
        <v>#REF!</v>
      </c>
      <c r="AN41" t="e">
        <f>'Technical Skills Weighting'!#REF!+"`FU!rr"</f>
        <v>#REF!</v>
      </c>
      <c r="AO41" t="e">
        <f>'Technical Skills Weighting'!#REF!+"`FU!rs"</f>
        <v>#REF!</v>
      </c>
      <c r="AP41" t="e">
        <f>'Technical Skills Weighting'!#REF!+"`FU!rt"</f>
        <v>#REF!</v>
      </c>
      <c r="AQ41" t="e">
        <f>'Technical Skills Weighting'!#REF!+"`FU!ru"</f>
        <v>#REF!</v>
      </c>
      <c r="AR41" t="e">
        <f>'Technical Skills Weighting'!#REF!+"`FU!rv"</f>
        <v>#REF!</v>
      </c>
      <c r="AS41" t="e">
        <f>'Technical Skills Weighting'!#REF!+"`FU!rw"</f>
        <v>#REF!</v>
      </c>
      <c r="AT41" t="e">
        <f>'Technical Skills Weighting'!#REF!+"`FU!rx"</f>
        <v>#REF!</v>
      </c>
      <c r="AU41" t="e">
        <f>'Technical Skills Weighting'!#REF!+"`FU!ry"</f>
        <v>#REF!</v>
      </c>
      <c r="AV41" t="e">
        <f>'Technical Skills Weighting'!#REF!+"`FU!rz"</f>
        <v>#REF!</v>
      </c>
      <c r="AW41" t="e">
        <f>'Technical Skills Weighting'!#REF!+"`FU!r{"</f>
        <v>#REF!</v>
      </c>
      <c r="AX41" t="e">
        <f>'Technical Skills Weighting'!#REF!+"`FU!r|"</f>
        <v>#REF!</v>
      </c>
      <c r="AY41" t="e">
        <f>'Technical Skills Weighting'!#REF!+"`FU!r}"</f>
        <v>#REF!</v>
      </c>
      <c r="AZ41" t="e">
        <f>'Technical Skills Weighting'!#REF!+"`FU!r~"</f>
        <v>#REF!</v>
      </c>
      <c r="BA41" t="e">
        <f>'Technical Skills Weighting'!#REF!+"`FU!s#"</f>
        <v>#REF!</v>
      </c>
      <c r="BB41" t="e">
        <f>'Technical Skills Weighting'!#REF!+"`FU!s$"</f>
        <v>#REF!</v>
      </c>
      <c r="BC41" t="e">
        <f>'Technical Skills Weighting'!#REF!+"`FU!s%"</f>
        <v>#REF!</v>
      </c>
      <c r="BD41" t="e">
        <f>'Technical Skills Weighting'!#REF!+"`FU!s&amp;"</f>
        <v>#REF!</v>
      </c>
      <c r="BE41" t="e">
        <f>'Technical Skills Weighting'!#REF!+"`FU!s'"</f>
        <v>#REF!</v>
      </c>
      <c r="BF41" t="e">
        <f>'Technical Skills Weighting'!#REF!+"`FU!s("</f>
        <v>#REF!</v>
      </c>
      <c r="BG41" t="e">
        <f>'Technical Skills Weighting'!#REF!+"`FU!s)"</f>
        <v>#REF!</v>
      </c>
      <c r="BH41" t="e">
        <f>'Technical Skills Weighting'!#REF!+"`FU!s."</f>
        <v>#REF!</v>
      </c>
      <c r="BI41" t="e">
        <f>'Technical Skills Weighting'!#REF!+"`FU!s/"</f>
        <v>#REF!</v>
      </c>
      <c r="BJ41" t="e">
        <f>'Technical Skills Weighting'!#REF!+"`FU!s0"</f>
        <v>#REF!</v>
      </c>
      <c r="BK41" t="e">
        <f>'Technical Skills Weighting'!#REF!+"`FU!s1"</f>
        <v>#REF!</v>
      </c>
      <c r="BL41" t="e">
        <f>'Technical Skills Weighting'!#REF!+"`FU!s2"</f>
        <v>#REF!</v>
      </c>
      <c r="BM41" t="e">
        <f>'Technical Skills Weighting'!#REF!+"`FU!s3"</f>
        <v>#REF!</v>
      </c>
      <c r="BN41" t="e">
        <f>'Technical Skills Weighting'!#REF!+"`FU!s4"</f>
        <v>#REF!</v>
      </c>
      <c r="BO41" t="e">
        <f>'Technical Skills Weighting'!#REF!+"`FU!s5"</f>
        <v>#REF!</v>
      </c>
      <c r="BP41" t="e">
        <f>'Technical Skills Weighting'!#REF!+"`FU!s6"</f>
        <v>#REF!</v>
      </c>
      <c r="BQ41" t="e">
        <f>'Technical Skills Weighting'!#REF!+"`FU!s7"</f>
        <v>#REF!</v>
      </c>
      <c r="BR41" t="e">
        <f>'Technical Skills Weighting'!#REF!+"`FU!s8"</f>
        <v>#REF!</v>
      </c>
      <c r="BS41" t="e">
        <f>'Technical Skills Weighting'!#REF!+"`FU!s9"</f>
        <v>#REF!</v>
      </c>
      <c r="BT41" t="e">
        <f>'Technical Skills Weighting'!#REF!+"`FU!s:"</f>
        <v>#REF!</v>
      </c>
      <c r="BU41" t="e">
        <f>'Technical Skills Weighting'!#REF!+"`FU!s;"</f>
        <v>#REF!</v>
      </c>
      <c r="BV41" t="e">
        <f>'Technical Skills Weighting'!#REF!+"`FU!s&lt;"</f>
        <v>#REF!</v>
      </c>
      <c r="BW41" t="e">
        <f>'Technical Skills Weighting'!#REF!+"`FU!s="</f>
        <v>#REF!</v>
      </c>
      <c r="BX41" t="e">
        <f>'Technical Skills Weighting'!#REF!+"`FU!s&gt;"</f>
        <v>#REF!</v>
      </c>
      <c r="BY41" t="e">
        <f>'Technical Skills Weighting'!#REF!+"`FU!s?"</f>
        <v>#REF!</v>
      </c>
      <c r="BZ41" t="e">
        <f>'Technical Skills Weighting'!#REF!+"`FU!s@"</f>
        <v>#REF!</v>
      </c>
      <c r="CA41" t="e">
        <f>'Technical Skills Weighting'!#REF!+"`FU!sA"</f>
        <v>#REF!</v>
      </c>
      <c r="CB41" t="e">
        <f>'Technical Skills Weighting'!#REF!+"`FU!sB"</f>
        <v>#REF!</v>
      </c>
      <c r="CC41" t="e">
        <f>'Technical Skills Weighting'!#REF!+"`FU!sC"</f>
        <v>#REF!</v>
      </c>
      <c r="CD41" t="e">
        <f>'Technical Skills Weighting'!#REF!+"`FU!sD"</f>
        <v>#REF!</v>
      </c>
      <c r="CE41" t="e">
        <f>'Technical Skills Weighting'!#REF!+"`FU!sE"</f>
        <v>#REF!</v>
      </c>
      <c r="CF41" t="e">
        <f>'Technical Skills Weighting'!#REF!+"`FU!sF"</f>
        <v>#REF!</v>
      </c>
      <c r="CG41" t="e">
        <f>'Technical Skills Weighting'!#REF!+"`FU!sG"</f>
        <v>#REF!</v>
      </c>
      <c r="CH41" t="e">
        <f>'Technical Skills Weighting'!#REF!+"`FU!sH"</f>
        <v>#REF!</v>
      </c>
      <c r="CI41" t="e">
        <f>'Technical Skills Weighting'!#REF!+"`FU!sI"</f>
        <v>#REF!</v>
      </c>
      <c r="CJ41" t="e">
        <f>'Technical Skills Weighting'!#REF!+"`FU!sJ"</f>
        <v>#REF!</v>
      </c>
      <c r="CK41" t="e">
        <f>'Technical Skills Weighting'!#REF!+"`FU!sK"</f>
        <v>#REF!</v>
      </c>
      <c r="CL41" t="e">
        <f>'Technical Skills Weighting'!#REF!+"`FU!sL"</f>
        <v>#REF!</v>
      </c>
      <c r="CM41" t="e">
        <f>'Technical Skills Weighting'!#REF!+"`FU!sM"</f>
        <v>#REF!</v>
      </c>
      <c r="CN41" t="e">
        <f>'Technical Skills Weighting'!#REF!+"`FU!sN"</f>
        <v>#REF!</v>
      </c>
      <c r="CO41" t="e">
        <f>'Technical Skills Weighting'!#REF!+"`FU!sO"</f>
        <v>#REF!</v>
      </c>
      <c r="CP41" t="e">
        <f>'Technical Skills Weighting'!#REF!+"`FU!sP"</f>
        <v>#REF!</v>
      </c>
      <c r="CQ41" t="e">
        <f>'Technical Skills Weighting'!#REF!+"`FU!sQ"</f>
        <v>#REF!</v>
      </c>
      <c r="CR41" t="e">
        <f>'Technical Skills Weighting'!#REF!+"`FU!sR"</f>
        <v>#REF!</v>
      </c>
      <c r="CS41" t="e">
        <f>'Technical Skills Weighting'!#REF!+"`FU!sS"</f>
        <v>#REF!</v>
      </c>
      <c r="CT41" t="e">
        <f>'Technical Skills Weighting'!#REF!+"`FU!sT"</f>
        <v>#REF!</v>
      </c>
      <c r="CU41" t="e">
        <f>'Technical Skills Weighting'!#REF!+"`FU!sU"</f>
        <v>#REF!</v>
      </c>
      <c r="CV41" t="e">
        <f>'Technical Skills Weighting'!#REF!+"`FU!sV"</f>
        <v>#REF!</v>
      </c>
      <c r="CW41" t="e">
        <f>'Technical Skills Weighting'!#REF!+"`FU!sW"</f>
        <v>#REF!</v>
      </c>
      <c r="CX41" t="e">
        <f>'Technical Skills Weighting'!#REF!+"`FU!sX"</f>
        <v>#REF!</v>
      </c>
      <c r="CY41" t="e">
        <f>'Technical Skills Weighting'!#REF!+"`FU!sY"</f>
        <v>#REF!</v>
      </c>
      <c r="CZ41" t="e">
        <f>'Technical Skills Weighting'!#REF!+"`FU!sZ"</f>
        <v>#REF!</v>
      </c>
      <c r="DA41" t="e">
        <f>'Technical Skills Weighting'!#REF!+"`FU!s["</f>
        <v>#REF!</v>
      </c>
      <c r="DB41" t="e">
        <f>'Technical Skills Weighting'!#REF!+"`FU!s\"</f>
        <v>#REF!</v>
      </c>
      <c r="DC41" t="e">
        <f>'Technical Skills Weighting'!#REF!+"`FU!s]"</f>
        <v>#REF!</v>
      </c>
      <c r="DD41" t="e">
        <f>'Technical Skills Weighting'!#REF!+"`FU!s^"</f>
        <v>#REF!</v>
      </c>
      <c r="DE41" t="e">
        <f>'Technical Skills Weighting'!#REF!+"`FU!s_"</f>
        <v>#REF!</v>
      </c>
      <c r="DF41" t="e">
        <f>'Technical Skills Weighting'!#REF!+"`FU!s`"</f>
        <v>#REF!</v>
      </c>
      <c r="DG41" t="e">
        <f>'Technical Skills Weighting'!#REF!+"`FU!sa"</f>
        <v>#REF!</v>
      </c>
      <c r="DH41" t="e">
        <f>'Technical Skills Weighting'!#REF!+"`FU!sb"</f>
        <v>#REF!</v>
      </c>
      <c r="DI41" t="e">
        <f>'Technical Skills Weighting'!#REF!+"`FU!sc"</f>
        <v>#REF!</v>
      </c>
      <c r="DJ41" t="e">
        <f>'Technical Skills Weighting'!#REF!+"`FU!sd"</f>
        <v>#REF!</v>
      </c>
      <c r="DK41" t="e">
        <f>'Technical Skills Weighting'!#REF!+"`FU!se"</f>
        <v>#REF!</v>
      </c>
      <c r="DL41" t="e">
        <f>'Technical Skills Weighting'!#REF!+"`FU!sf"</f>
        <v>#REF!</v>
      </c>
      <c r="DM41" t="e">
        <f>'Technical Skills Weighting'!#REF!+"`FU!sg"</f>
        <v>#REF!</v>
      </c>
      <c r="DN41" t="e">
        <f>'Technical Skills Weighting'!#REF!+"`FU!sh"</f>
        <v>#REF!</v>
      </c>
      <c r="DO41" t="e">
        <f>'Technical Skills Weighting'!#REF!+"`FU!si"</f>
        <v>#REF!</v>
      </c>
      <c r="DP41" t="e">
        <f>'Technical Skills Weighting'!#REF!+"`FU!sj"</f>
        <v>#REF!</v>
      </c>
      <c r="DQ41" t="e">
        <f>'Technical Skills Weighting'!#REF!+"`FU!sk"</f>
        <v>#REF!</v>
      </c>
      <c r="DR41" t="e">
        <f>'Technical Skills Weighting'!#REF!+"`FU!sl"</f>
        <v>#REF!</v>
      </c>
      <c r="DS41" t="e">
        <f>'Technical Skills Weighting'!#REF!+"`FU!sm"</f>
        <v>#REF!</v>
      </c>
      <c r="DT41" t="e">
        <f>'Technical Skills Weighting'!#REF!+"`FU!sn"</f>
        <v>#REF!</v>
      </c>
      <c r="DU41" t="e">
        <f>'Technical Skills Weighting'!#REF!+"`FU!so"</f>
        <v>#REF!</v>
      </c>
      <c r="DV41" t="e">
        <f>'Technical Skills Weighting'!#REF!+"`FU!sp"</f>
        <v>#REF!</v>
      </c>
      <c r="DW41" t="e">
        <f>'Technical Skills Weighting'!#REF!+"`FU!sq"</f>
        <v>#REF!</v>
      </c>
      <c r="DX41" t="e">
        <f>'Technical Skills Weighting'!#REF!+"`FU!sr"</f>
        <v>#REF!</v>
      </c>
      <c r="DY41" t="e">
        <f>'Technical Skills Weighting'!#REF!+"`FU!ss"</f>
        <v>#REF!</v>
      </c>
      <c r="DZ41" t="e">
        <f>'Technical Skills Weighting'!#REF!+"`FU!st"</f>
        <v>#REF!</v>
      </c>
      <c r="EA41" t="e">
        <f>'Technical Skills Weighting'!#REF!+"`FU!su"</f>
        <v>#REF!</v>
      </c>
      <c r="EB41" t="e">
        <f>'Technical Skills Weighting'!#REF!+"`FU!sv"</f>
        <v>#REF!</v>
      </c>
      <c r="EC41" t="e">
        <f>'Technical Skills Weighting'!#REF!+"`FU!sw"</f>
        <v>#REF!</v>
      </c>
      <c r="ED41" t="e">
        <f>'Technical Skills Weighting'!#REF!+"`FU!sx"</f>
        <v>#REF!</v>
      </c>
      <c r="EE41" t="e">
        <f>'Technical Skills Weighting'!#REF!+"`FU!sy"</f>
        <v>#REF!</v>
      </c>
      <c r="EF41" t="e">
        <f>'Technical Skills Weighting'!#REF!+"`FU!sz"</f>
        <v>#REF!</v>
      </c>
      <c r="EG41" t="e">
        <f>'Technical Skills Weighting'!#REF!+"`FU!s{"</f>
        <v>#REF!</v>
      </c>
      <c r="EH41" t="e">
        <f>'Technical Skills Weighting'!#REF!+"`FU!s|"</f>
        <v>#REF!</v>
      </c>
      <c r="EI41" t="e">
        <f>'Technical Skills Weighting'!#REF!+"`FU!s}"</f>
        <v>#REF!</v>
      </c>
      <c r="EJ41" t="e">
        <f>'Technical Skills Weighting'!#REF!+"`FU!s~"</f>
        <v>#REF!</v>
      </c>
      <c r="EK41" t="e">
        <f>'Technical Skills Weighting'!#REF!+"`FU!t#"</f>
        <v>#REF!</v>
      </c>
      <c r="EL41" t="e">
        <f>'Technical Skills Weighting'!#REF!+"`FU!t$"</f>
        <v>#REF!</v>
      </c>
      <c r="EM41" t="e">
        <f>'Technical Skills Weighting'!#REF!+"`FU!t%"</f>
        <v>#REF!</v>
      </c>
      <c r="EN41" t="e">
        <f>'Technical Skills Weighting'!#REF!+"`FU!t&amp;"</f>
        <v>#REF!</v>
      </c>
      <c r="EO41" t="e">
        <f>'Technical Skills Weighting'!#REF!+"`FU!t'"</f>
        <v>#REF!</v>
      </c>
      <c r="EP41" t="e">
        <f>'Technical Skills Weighting'!#REF!+"`FU!t("</f>
        <v>#REF!</v>
      </c>
      <c r="EQ41" t="e">
        <f>'Technical Skills Weighting'!#REF!+"`FU!t)"</f>
        <v>#REF!</v>
      </c>
      <c r="ER41" t="e">
        <f>'Technical Skills Weighting'!#REF!+"`FU!t."</f>
        <v>#REF!</v>
      </c>
      <c r="ES41" t="e">
        <f>'Technical Skills Weighting'!#REF!+"`FU!t/"</f>
        <v>#REF!</v>
      </c>
      <c r="ET41" t="e">
        <f>'Technical Skills Weighting'!#REF!+"`FU!t0"</f>
        <v>#REF!</v>
      </c>
      <c r="EU41" t="e">
        <f>'Technical Skills Weighting'!#REF!+"`FU!t1"</f>
        <v>#REF!</v>
      </c>
      <c r="EV41" t="e">
        <f>'Technical Skills Weighting'!#REF!+"`FU!t2"</f>
        <v>#REF!</v>
      </c>
      <c r="EW41" t="e">
        <f>'Technical Skills Weighting'!#REF!+"`FU!t3"</f>
        <v>#REF!</v>
      </c>
      <c r="EX41" t="e">
        <f>'Technical Skills Weighting'!#REF!+"`FU!t4"</f>
        <v>#REF!</v>
      </c>
      <c r="EY41" t="e">
        <f>'Technical Skills Weighting'!#REF!+"`FU!t5"</f>
        <v>#REF!</v>
      </c>
      <c r="EZ41" t="e">
        <f>'Technical Skills Weighting'!#REF!+"`FU!t6"</f>
        <v>#REF!</v>
      </c>
      <c r="FA41" t="e">
        <f>'Technical Skills Weighting'!#REF!+"`FU!t7"</f>
        <v>#REF!</v>
      </c>
      <c r="FB41" t="e">
        <f>'Technical Skills Weighting'!#REF!+"`FU!t8"</f>
        <v>#REF!</v>
      </c>
      <c r="FC41" t="e">
        <f>'Technical Skills Weighting'!#REF!+"`FU!t9"</f>
        <v>#REF!</v>
      </c>
      <c r="FD41" t="e">
        <f>'Technical Skills Weighting'!#REF!+"`FU!t:"</f>
        <v>#REF!</v>
      </c>
      <c r="FE41" t="e">
        <f>'Technical Skills Weighting'!#REF!+"`FU!t;"</f>
        <v>#REF!</v>
      </c>
      <c r="FF41" t="e">
        <f>'Technical Skills Weighting'!#REF!+"`FU!t&lt;"</f>
        <v>#REF!</v>
      </c>
      <c r="FG41" t="e">
        <f>'Technical Skills Weighting'!#REF!+"`FU!t="</f>
        <v>#REF!</v>
      </c>
      <c r="FH41" t="e">
        <f>'Technical Skills Weighting'!#REF!+"`FU!t&gt;"</f>
        <v>#REF!</v>
      </c>
      <c r="FI41" t="e">
        <f>'Technical Skills Weighting'!#REF!+"`FU!t?"</f>
        <v>#REF!</v>
      </c>
      <c r="FJ41" t="e">
        <f>'Technical Skills Weighting'!#REF!+"`FU!t@"</f>
        <v>#REF!</v>
      </c>
      <c r="FK41" t="e">
        <f>'Technical Skills Weighting'!#REF!+"`FU!tA"</f>
        <v>#REF!</v>
      </c>
      <c r="FL41" t="e">
        <f>'Technical Skills Weighting'!#REF!+"`FU!tB"</f>
        <v>#REF!</v>
      </c>
      <c r="FM41" t="e">
        <f>'Technical Skills Weighting'!#REF!+"`FU!tC"</f>
        <v>#REF!</v>
      </c>
      <c r="FN41" t="e">
        <f>'Technical Skills Weighting'!#REF!+"`FU!tD"</f>
        <v>#REF!</v>
      </c>
      <c r="FO41" t="e">
        <f>'Technical Skills Weighting'!#REF!+"`FU!tE"</f>
        <v>#REF!</v>
      </c>
      <c r="FP41" t="e">
        <f>'Technical Skills Weighting'!#REF!+"`FU!tF"</f>
        <v>#REF!</v>
      </c>
      <c r="FQ41" t="e">
        <f>'Technical Skills Weighting'!#REF!+"`FU!tG"</f>
        <v>#REF!</v>
      </c>
      <c r="FR41" t="e">
        <f>'Technical Skills Weighting'!#REF!+"`FU!tH"</f>
        <v>#REF!</v>
      </c>
      <c r="FS41" t="e">
        <f>'Technical Skills Weighting'!#REF!+"`FU!tI"</f>
        <v>#REF!</v>
      </c>
      <c r="FT41" t="e">
        <f>'Technical Skills Weighting'!#REF!+"`FU!tJ"</f>
        <v>#REF!</v>
      </c>
      <c r="FU41" t="e">
        <f>'Technical Skills Weighting'!#REF!+"`FU!tK"</f>
        <v>#REF!</v>
      </c>
      <c r="FV41" t="e">
        <f>'Technical Skills Weighting'!#REF!+"`FU!tL"</f>
        <v>#REF!</v>
      </c>
      <c r="FW41" t="e">
        <f>'Technical Skills Weighting'!#REF!+"`FU!tM"</f>
        <v>#REF!</v>
      </c>
      <c r="FX41" t="e">
        <f>'Technical Skills Weighting'!#REF!+"`FU!tN"</f>
        <v>#REF!</v>
      </c>
      <c r="FY41" t="e">
        <f>'Technical Skills Weighting'!#REF!+"`FU!tO"</f>
        <v>#REF!</v>
      </c>
      <c r="FZ41" t="e">
        <f>'Technical Skills Weighting'!#REF!+"`FU!tP"</f>
        <v>#REF!</v>
      </c>
      <c r="GA41" t="e">
        <f>'Technical Skills Weighting'!#REF!+"`FU!tQ"</f>
        <v>#REF!</v>
      </c>
      <c r="GB41" t="e">
        <f>'Technical Skills Weighting'!#REF!+"`FU!tR"</f>
        <v>#REF!</v>
      </c>
      <c r="GC41" t="e">
        <f>'Technical Skills Weighting'!#REF!+"`FU!tS"</f>
        <v>#REF!</v>
      </c>
      <c r="GD41" t="e">
        <f>'Technical Skills Weighting'!#REF!+"`FU!tT"</f>
        <v>#REF!</v>
      </c>
      <c r="GE41" t="e">
        <f>'Technical Skills Weighting'!#REF!+"`FU!tU"</f>
        <v>#REF!</v>
      </c>
      <c r="GF41" t="e">
        <f>'Technical Skills Weighting'!#REF!+"`FU!tV"</f>
        <v>#REF!</v>
      </c>
      <c r="GG41" t="e">
        <f>'Technical Skills Weighting'!#REF!+"`FU!tW"</f>
        <v>#REF!</v>
      </c>
      <c r="GH41" t="e">
        <f>'Technical Skills Weighting'!#REF!+"`FU!tX"</f>
        <v>#REF!</v>
      </c>
      <c r="GI41" t="e">
        <f>'Technical Skills Weighting'!#REF!+"`FU!tY"</f>
        <v>#REF!</v>
      </c>
      <c r="GJ41" t="e">
        <f>'Technical Skills Weighting'!#REF!+"`FU!tZ"</f>
        <v>#REF!</v>
      </c>
      <c r="GK41" t="e">
        <f>'Technical Skills Weighting'!#REF!+"`FU!t["</f>
        <v>#REF!</v>
      </c>
      <c r="GL41" t="e">
        <f>'Technical Skills Weighting'!#REF!+"`FU!t\"</f>
        <v>#REF!</v>
      </c>
      <c r="GM41" t="e">
        <f>'Technical Skills Weighting'!#REF!+"`FU!t]"</f>
        <v>#REF!</v>
      </c>
      <c r="GN41" t="e">
        <f>'Technical Skills Weighting'!#REF!+"`FU!t^"</f>
        <v>#REF!</v>
      </c>
      <c r="GO41" t="e">
        <f>'Technical Skills Weighting'!#REF!+"`FU!t_"</f>
        <v>#REF!</v>
      </c>
      <c r="GP41" t="e">
        <f>'Technical Skills Weighting'!#REF!+"`FU!t`"</f>
        <v>#REF!</v>
      </c>
      <c r="GQ41" t="e">
        <f>'Technical Skills Weighting'!#REF!+"`FU!ta"</f>
        <v>#REF!</v>
      </c>
      <c r="GR41" t="e">
        <f>'Technical Skills Weighting'!#REF!+"`FU!tb"</f>
        <v>#REF!</v>
      </c>
      <c r="GS41" t="e">
        <f>'Technical Skills Weighting'!#REF!+"`FU!tc"</f>
        <v>#REF!</v>
      </c>
      <c r="GT41" t="e">
        <f>'Technical Skills Weighting'!#REF!+"`FU!td"</f>
        <v>#REF!</v>
      </c>
      <c r="GU41" t="e">
        <f>'Technical Skills Weighting'!#REF!+"`FU!te"</f>
        <v>#REF!</v>
      </c>
      <c r="GV41" t="e">
        <f>'Technical Skills Weighting'!#REF!+"`FU!tf"</f>
        <v>#REF!</v>
      </c>
      <c r="GW41" t="e">
        <f>'Technical Skills Weighting'!#REF!+"`FU!tg"</f>
        <v>#REF!</v>
      </c>
      <c r="GX41" t="e">
        <f>'Technical Skills Weighting'!#REF!+"`FU!th"</f>
        <v>#REF!</v>
      </c>
      <c r="GY41" t="e">
        <f>'Technical Skills Weighting'!#REF!+"`FU!ti"</f>
        <v>#REF!</v>
      </c>
      <c r="GZ41" t="e">
        <f>'Technical Skills Weighting'!#REF!+"`FU!tj"</f>
        <v>#REF!</v>
      </c>
      <c r="HA41" t="e">
        <f>'Technical Skills Weighting'!#REF!+"`FU!tk"</f>
        <v>#REF!</v>
      </c>
      <c r="HB41" t="e">
        <f>'Technical Skills Weighting'!#REF!+"`FU!tl"</f>
        <v>#REF!</v>
      </c>
      <c r="HC41" t="e">
        <f>'Technical Skills Weighting'!#REF!+"`FU!tm"</f>
        <v>#REF!</v>
      </c>
      <c r="HD41" t="e">
        <f>'Technical Skills Weighting'!#REF!+"`FU!tn"</f>
        <v>#REF!</v>
      </c>
      <c r="HE41" t="e">
        <f>'Technical Skills Weighting'!#REF!+"`FU!to"</f>
        <v>#REF!</v>
      </c>
      <c r="HF41" t="e">
        <f>'Technical Skills Weighting'!#REF!+"`FU!tp"</f>
        <v>#REF!</v>
      </c>
      <c r="HG41" t="e">
        <f>'Technical Skills Weighting'!#REF!+"`FU!tq"</f>
        <v>#REF!</v>
      </c>
      <c r="HH41" t="e">
        <f>'Technical Skills Weighting'!#REF!+"`FU!tr"</f>
        <v>#REF!</v>
      </c>
      <c r="HI41" t="e">
        <f>'Technical Skills Weighting'!#REF!+"`FU!ts"</f>
        <v>#REF!</v>
      </c>
      <c r="HJ41" t="e">
        <f>'Technical Skills Weighting'!#REF!+"`FU!tt"</f>
        <v>#REF!</v>
      </c>
      <c r="HK41" t="e">
        <f>'Technical Skills Weighting'!#REF!+"`FU!tu"</f>
        <v>#REF!</v>
      </c>
      <c r="HL41" t="e">
        <f>'Technical Skills Weighting'!#REF!+"`FU!tv"</f>
        <v>#REF!</v>
      </c>
      <c r="HM41" t="e">
        <f>'Technical Skills Weighting'!#REF!+"`FU!tw"</f>
        <v>#REF!</v>
      </c>
      <c r="HN41" t="e">
        <f>'Technical Skills Weighting'!#REF!+"`FU!tx"</f>
        <v>#REF!</v>
      </c>
      <c r="HO41" t="e">
        <f>'Technical Skills Weighting'!#REF!+"`FU!ty"</f>
        <v>#REF!</v>
      </c>
      <c r="HP41" t="e">
        <f>'Technical Skills Weighting'!#REF!+"`FU!tz"</f>
        <v>#REF!</v>
      </c>
      <c r="HQ41" t="e">
        <f>'Technical Skills Weighting'!#REF!+"`FU!t{"</f>
        <v>#REF!</v>
      </c>
      <c r="HR41" t="e">
        <f>'Technical Skills Weighting'!#REF!+"`FU!t|"</f>
        <v>#REF!</v>
      </c>
      <c r="HS41" t="e">
        <f>'Technical Skills Weighting'!#REF!+"`FU!t}"</f>
        <v>#REF!</v>
      </c>
      <c r="HT41" t="e">
        <f>'Technical Skills Weighting'!#REF!+"`FU!t~"</f>
        <v>#REF!</v>
      </c>
      <c r="HU41" t="e">
        <f>'Technical Skills Weighting'!#REF!+"`FU!u#"</f>
        <v>#REF!</v>
      </c>
      <c r="HV41" t="e">
        <f>'Technical Skills Weighting'!#REF!+"`FU!u$"</f>
        <v>#REF!</v>
      </c>
      <c r="HW41" t="e">
        <f>'Technical Skills Weighting'!#REF!+"`FU!u%"</f>
        <v>#REF!</v>
      </c>
      <c r="HX41" t="e">
        <f>'Technical Skills Weighting'!#REF!+"`FU!u&amp;"</f>
        <v>#REF!</v>
      </c>
      <c r="HY41" t="e">
        <f>'Technical Skills Weighting'!#REF!+"`FU!u'"</f>
        <v>#REF!</v>
      </c>
      <c r="HZ41" t="e">
        <f>'Technical Skills Weighting'!#REF!+"`FU!u("</f>
        <v>#REF!</v>
      </c>
      <c r="IA41" t="e">
        <f>'Technical Skills Weighting'!#REF!+"`FU!u)"</f>
        <v>#REF!</v>
      </c>
      <c r="IB41" t="e">
        <f>'Technical Skills Weighting'!#REF!+"`FU!u."</f>
        <v>#REF!</v>
      </c>
      <c r="IC41" t="e">
        <f>'Technical Skills Weighting'!#REF!+"`FU!u/"</f>
        <v>#REF!</v>
      </c>
      <c r="ID41" t="e">
        <f>'Technical Skills Weighting'!#REF!+"`FU!u0"</f>
        <v>#REF!</v>
      </c>
      <c r="IE41" t="e">
        <f>'Technical Skills Weighting'!#REF!+"`FU!u1"</f>
        <v>#REF!</v>
      </c>
      <c r="IF41" t="e">
        <f>'Technical Skills Weighting'!#REF!+"`FU!u2"</f>
        <v>#REF!</v>
      </c>
      <c r="IG41" t="e">
        <f>'Technical Skills Weighting'!#REF!+"`FU!u3"</f>
        <v>#REF!</v>
      </c>
      <c r="IH41" t="e">
        <f>'Technical Skills Weighting'!#REF!+"`FU!u4"</f>
        <v>#REF!</v>
      </c>
      <c r="II41" t="e">
        <f>'Technical Skills Weighting'!#REF!+"`FU!u5"</f>
        <v>#REF!</v>
      </c>
      <c r="IJ41" t="e">
        <f>'Technical Skills Weighting'!#REF!+"`FU!u6"</f>
        <v>#REF!</v>
      </c>
      <c r="IK41" t="e">
        <f>'Technical Skills Weighting'!#REF!+"`FU!u7"</f>
        <v>#REF!</v>
      </c>
      <c r="IL41" t="e">
        <f>'Technical Skills Weighting'!#REF!+"`FU!u8"</f>
        <v>#REF!</v>
      </c>
      <c r="IM41" t="e">
        <f>'Technical Skills Weighting'!#REF!+"`FU!u9"</f>
        <v>#REF!</v>
      </c>
      <c r="IN41" t="e">
        <f>'Technical Skills Weighting'!#REF!+"`FU!u:"</f>
        <v>#REF!</v>
      </c>
      <c r="IO41" t="e">
        <f>'Technical Skills Weighting'!#REF!+"`FU!u;"</f>
        <v>#REF!</v>
      </c>
      <c r="IP41" t="e">
        <f>'Technical Skills Weighting'!#REF!+"`FU!u&lt;"</f>
        <v>#REF!</v>
      </c>
      <c r="IQ41" t="e">
        <f>'Technical Skills Weighting'!#REF!+"`FU!u="</f>
        <v>#REF!</v>
      </c>
      <c r="IR41" t="e">
        <f>'Technical Skills Weighting'!#REF!+"`FU!u&gt;"</f>
        <v>#REF!</v>
      </c>
      <c r="IS41" t="e">
        <f>'Technical Skills Weighting'!#REF!+"`FU!u?"</f>
        <v>#REF!</v>
      </c>
      <c r="IT41" t="e">
        <f>'Technical Skills Weighting'!#REF!+"`FU!u@"</f>
        <v>#REF!</v>
      </c>
      <c r="IU41" t="e">
        <f>'Technical Skills Weighting'!#REF!+"`FU!uA"</f>
        <v>#REF!</v>
      </c>
      <c r="IV41" t="e">
        <f>'Technical Skills Weighting'!#REF!+"`FU!uB"</f>
        <v>#REF!</v>
      </c>
    </row>
    <row r="42" spans="6:256" x14ac:dyDescent="0.25">
      <c r="F42" t="e">
        <f>'Technical Skills Weighting'!#REF!+"`FU!uC"</f>
        <v>#REF!</v>
      </c>
      <c r="G42" t="e">
        <f>'Technical Skills Weighting'!#REF!+"`FU!uD"</f>
        <v>#REF!</v>
      </c>
      <c r="H42" t="e">
        <f>'Technical Skills Weighting'!#REF!+"`FU!uE"</f>
        <v>#REF!</v>
      </c>
      <c r="I42" t="e">
        <f>'Technical Skills Weighting'!#REF!+"`FU!uF"</f>
        <v>#REF!</v>
      </c>
      <c r="J42" t="e">
        <f>'Technical Skills Weighting'!#REF!+"`FU!uG"</f>
        <v>#REF!</v>
      </c>
      <c r="K42" t="e">
        <f>'Technical Skills Weighting'!#REF!+"`FU!uH"</f>
        <v>#REF!</v>
      </c>
      <c r="L42" t="e">
        <f>'Technical Skills Weighting'!#REF!+"`FU!uI"</f>
        <v>#REF!</v>
      </c>
      <c r="M42" t="e">
        <f>'Technical Skills Weighting'!#REF!+"`FU!uJ"</f>
        <v>#REF!</v>
      </c>
      <c r="N42" t="e">
        <f>'Technical Skills Weighting'!#REF!+"`FU!uK"</f>
        <v>#REF!</v>
      </c>
      <c r="O42" t="e">
        <f>'Technical Skills Weighting'!#REF!+"`FU!uL"</f>
        <v>#REF!</v>
      </c>
      <c r="P42" t="e">
        <f>'Technical Skills Weighting'!#REF!+"`FU!uM"</f>
        <v>#REF!</v>
      </c>
      <c r="Q42" t="e">
        <f>'Technical Skills Weighting'!#REF!+"`FU!uN"</f>
        <v>#REF!</v>
      </c>
      <c r="R42" t="e">
        <f>'Technical Skills Weighting'!#REF!+"`FU!uO"</f>
        <v>#REF!</v>
      </c>
      <c r="S42" t="e">
        <f>'Technical Skills Weighting'!#REF!+"`FU!uP"</f>
        <v>#REF!</v>
      </c>
      <c r="T42" t="e">
        <f>'Technical Skills Weighting'!#REF!+"`FU!uQ"</f>
        <v>#REF!</v>
      </c>
      <c r="U42" t="e">
        <f>'Technical Skills Weighting'!#REF!+"`FU!uR"</f>
        <v>#REF!</v>
      </c>
      <c r="V42" t="e">
        <f>'Technical Skills Weighting'!#REF!+"`FU!uS"</f>
        <v>#REF!</v>
      </c>
      <c r="W42" t="e">
        <f>'Technical Skills Weighting'!#REF!+"`FU!uT"</f>
        <v>#REF!</v>
      </c>
      <c r="X42" t="e">
        <f>'Technical Skills Weighting'!#REF!+"`FU!uU"</f>
        <v>#REF!</v>
      </c>
      <c r="Y42" t="e">
        <f>'Technical Skills Weighting'!#REF!+"`FU!uV"</f>
        <v>#REF!</v>
      </c>
      <c r="Z42" t="e">
        <f>'Technical Skills Weighting'!#REF!+"`FU!uW"</f>
        <v>#REF!</v>
      </c>
      <c r="AA42" t="e">
        <f>'Technical Skills Weighting'!#REF!+"`FU!uX"</f>
        <v>#REF!</v>
      </c>
      <c r="AB42" t="e">
        <f>'Technical Skills Weighting'!#REF!+"`FU!uY"</f>
        <v>#REF!</v>
      </c>
      <c r="AC42" t="e">
        <f>'Technical Skills Weighting'!#REF!+"`FU!uZ"</f>
        <v>#REF!</v>
      </c>
      <c r="AD42" t="e">
        <f>'Technical Skills Weighting'!#REF!+"`FU!u["</f>
        <v>#REF!</v>
      </c>
      <c r="AE42" t="e">
        <f>'Technical Skills Weighting'!#REF!+"`FU!u\"</f>
        <v>#REF!</v>
      </c>
      <c r="AF42" t="e">
        <f>'Technical Skills Weighting'!#REF!+"`FU!u]"</f>
        <v>#REF!</v>
      </c>
      <c r="AG42" t="e">
        <f>'Technical Skills Weighting'!#REF!+"`FU!u^"</f>
        <v>#REF!</v>
      </c>
      <c r="AH42" t="e">
        <f>'Technical Skills Weighting'!#REF!+"`FU!u_"</f>
        <v>#REF!</v>
      </c>
      <c r="AI42" t="e">
        <f>'Technical Skills Weighting'!#REF!+"`FU!u`"</f>
        <v>#REF!</v>
      </c>
      <c r="AJ42" t="e">
        <f>'Technical Skills Weighting'!#REF!+"`FU!ua"</f>
        <v>#REF!</v>
      </c>
      <c r="AK42" t="e">
        <f>'Technical Skills Weighting'!#REF!+"`FU!ub"</f>
        <v>#REF!</v>
      </c>
      <c r="AL42" t="e">
        <f>'Technical Skills Weighting'!#REF!+"`FU!uc"</f>
        <v>#REF!</v>
      </c>
      <c r="AM42" t="e">
        <f>'Technical Skills Weighting'!#REF!+"`FU!ud"</f>
        <v>#REF!</v>
      </c>
      <c r="AN42" t="e">
        <f>'Technical Skills Weighting'!#REF!+"`FU!ue"</f>
        <v>#REF!</v>
      </c>
      <c r="AO42" t="e">
        <f>'Technical Skills Weighting'!#REF!+"`FU!uf"</f>
        <v>#REF!</v>
      </c>
      <c r="AP42" t="e">
        <f>'Technical Skills Weighting'!#REF!+"`FU!ug"</f>
        <v>#REF!</v>
      </c>
      <c r="AQ42" t="e">
        <f>'Technical Skills Weighting'!#REF!+"`FU!uh"</f>
        <v>#REF!</v>
      </c>
      <c r="AR42" t="e">
        <f>'Technical Skills Weighting'!#REF!+"`FU!ui"</f>
        <v>#REF!</v>
      </c>
      <c r="AS42" t="e">
        <f>'Technical Skills Weighting'!#REF!+"`FU!uj"</f>
        <v>#REF!</v>
      </c>
      <c r="AT42" t="e">
        <f>'Technical Skills Weighting'!#REF!+"`FU!uk"</f>
        <v>#REF!</v>
      </c>
      <c r="AU42" t="e">
        <f>'Technical Skills Weighting'!#REF!+"`FU!ul"</f>
        <v>#REF!</v>
      </c>
      <c r="AV42" t="e">
        <f>'Technical Skills Weighting'!#REF!+"`FU!um"</f>
        <v>#REF!</v>
      </c>
      <c r="AW42" t="e">
        <f>'Technical Skills Weighting'!#REF!+"`FU!un"</f>
        <v>#REF!</v>
      </c>
      <c r="AX42" t="e">
        <f>'Technical Skills Weighting'!#REF!+"`FU!uo"</f>
        <v>#REF!</v>
      </c>
      <c r="AY42" t="e">
        <f>'Technical Skills Weighting'!#REF!+"`FU!up"</f>
        <v>#REF!</v>
      </c>
      <c r="AZ42" t="e">
        <f>'Technical Skills Weighting'!#REF!+"`FU!uq"</f>
        <v>#REF!</v>
      </c>
      <c r="BA42" t="e">
        <f>'Technical Skills Weighting'!#REF!+"`FU!ur"</f>
        <v>#REF!</v>
      </c>
      <c r="BB42" t="e">
        <f>'Technical Skills Weighting'!#REF!+"`FU!us"</f>
        <v>#REF!</v>
      </c>
      <c r="BC42" t="e">
        <f>'Technical Skills Weighting'!#REF!+"`FU!ut"</f>
        <v>#REF!</v>
      </c>
      <c r="BD42" t="e">
        <f>'Technical Skills Weighting'!#REF!+"`FU!uu"</f>
        <v>#REF!</v>
      </c>
      <c r="BE42" t="e">
        <f>'Technical Skills Weighting'!#REF!+"`FU!uv"</f>
        <v>#REF!</v>
      </c>
      <c r="BF42" t="e">
        <f>'Technical Skills Weighting'!#REF!+"`FU!uw"</f>
        <v>#REF!</v>
      </c>
      <c r="BG42" t="e">
        <f>'Technical Skills Weighting'!#REF!+"`FU!ux"</f>
        <v>#REF!</v>
      </c>
      <c r="BH42" t="e">
        <f>'Technical Skills Weighting'!#REF!+"`FU!uy"</f>
        <v>#REF!</v>
      </c>
      <c r="BI42" t="e">
        <f>'Technical Skills Weighting'!#REF!+"`FU!uz"</f>
        <v>#REF!</v>
      </c>
      <c r="BJ42" t="e">
        <f>'Technical Skills Weighting'!#REF!+"`FU!u{"</f>
        <v>#REF!</v>
      </c>
      <c r="BK42" t="e">
        <f>'Technical Skills Weighting'!#REF!+"`FU!u|"</f>
        <v>#REF!</v>
      </c>
      <c r="BL42" t="e">
        <f>'Technical Skills Weighting'!#REF!+"`FU!u}"</f>
        <v>#REF!</v>
      </c>
      <c r="BM42" t="e">
        <f>'Technical Skills Weighting'!#REF!+"`FU!u~"</f>
        <v>#REF!</v>
      </c>
      <c r="BN42" t="e">
        <f>'Technical Skills Weighting'!#REF!+"`FU!v#"</f>
        <v>#REF!</v>
      </c>
      <c r="BO42" t="e">
        <f>'Technical Skills Weighting'!#REF!+"`FU!v$"</f>
        <v>#REF!</v>
      </c>
      <c r="BP42" t="e">
        <f>'Technical Skills Weighting'!#REF!+"`FU!v%"</f>
        <v>#REF!</v>
      </c>
      <c r="BQ42" t="e">
        <f>'Technical Skills Weighting'!#REF!+"`FU!v&amp;"</f>
        <v>#REF!</v>
      </c>
      <c r="BR42" t="e">
        <f>'Technical Skills Weighting'!#REF!+"`FU!v'"</f>
        <v>#REF!</v>
      </c>
      <c r="BS42" t="e">
        <f>'Technical Skills Weighting'!#REF!+"`FU!v("</f>
        <v>#REF!</v>
      </c>
      <c r="BT42" t="e">
        <f>'Technical Skills Weighting'!#REF!+"`FU!v)"</f>
        <v>#REF!</v>
      </c>
      <c r="BU42" t="e">
        <f>'Technical Skills Weighting'!#REF!+"`FU!v."</f>
        <v>#REF!</v>
      </c>
      <c r="BV42" t="e">
        <f>'Technical Skills Weighting'!#REF!+"`FU!v/"</f>
        <v>#REF!</v>
      </c>
      <c r="BW42" t="e">
        <f>'Technical Skills Weighting'!#REF!+"`FU!v0"</f>
        <v>#REF!</v>
      </c>
      <c r="BX42" t="e">
        <f>'Technical Skills Weighting'!#REF!+"`FU!v1"</f>
        <v>#REF!</v>
      </c>
      <c r="BY42" t="e">
        <f>'Technical Skills Weighting'!#REF!+"`FU!v2"</f>
        <v>#REF!</v>
      </c>
      <c r="BZ42" t="e">
        <f>'Technical Skills Weighting'!#REF!+"`FU!v3"</f>
        <v>#REF!</v>
      </c>
      <c r="CA42" t="e">
        <f>'Technical Skills Weighting'!#REF!+"`FU!v4"</f>
        <v>#REF!</v>
      </c>
      <c r="CB42" t="e">
        <f>'Technical Skills Weighting'!#REF!+"`FU!v5"</f>
        <v>#REF!</v>
      </c>
      <c r="CC42" t="e">
        <f>'Technical Skills Weighting'!#REF!+"`FU!v6"</f>
        <v>#REF!</v>
      </c>
      <c r="CD42" t="e">
        <f>'Technical Skills Weighting'!#REF!+"`FU!v7"</f>
        <v>#REF!</v>
      </c>
      <c r="CE42" t="e">
        <f>'Technical Skills Weighting'!#REF!+"`FU!v8"</f>
        <v>#REF!</v>
      </c>
      <c r="CF42" t="e">
        <f>'Technical Skills Weighting'!#REF!+"`FU!v9"</f>
        <v>#REF!</v>
      </c>
      <c r="CG42" t="e">
        <f>'Technical Skills Weighting'!#REF!+"`FU!v:"</f>
        <v>#REF!</v>
      </c>
      <c r="CH42" t="e">
        <f>'Technical Skills Weighting'!#REF!+"`FU!v;"</f>
        <v>#REF!</v>
      </c>
      <c r="CI42" t="e">
        <f>'Technical Skills Weighting'!#REF!+"`FU!v&lt;"</f>
        <v>#REF!</v>
      </c>
      <c r="CJ42" t="e">
        <f>'Technical Skills Weighting'!#REF!+"`FU!v="</f>
        <v>#REF!</v>
      </c>
      <c r="CK42" t="e">
        <f>'Technical Skills Weighting'!#REF!+"`FU!v&gt;"</f>
        <v>#REF!</v>
      </c>
      <c r="CL42" t="e">
        <f>'Technical Skills Weighting'!#REF!+"`FU!v?"</f>
        <v>#REF!</v>
      </c>
      <c r="CM42" t="e">
        <f>'Technical Skills Weighting'!#REF!+"`FU!v@"</f>
        <v>#REF!</v>
      </c>
      <c r="CN42" t="e">
        <f>'Technical Skills Weighting'!#REF!+"`FU!vA"</f>
        <v>#REF!</v>
      </c>
      <c r="CO42" t="e">
        <f>'Technical Skills Weighting'!#REF!+"`FU!vB"</f>
        <v>#REF!</v>
      </c>
      <c r="CP42" t="e">
        <f>'Technical Skills Weighting'!#REF!+"`FU!vC"</f>
        <v>#REF!</v>
      </c>
      <c r="CQ42" t="e">
        <f>'Technical Skills Weighting'!#REF!+"`FU!vD"</f>
        <v>#REF!</v>
      </c>
      <c r="CR42" t="e">
        <f>'Technical Skills Weighting'!#REF!+"`FU!vE"</f>
        <v>#REF!</v>
      </c>
      <c r="CS42" t="e">
        <f>'Technical Skills Weighting'!#REF!+"`FU!vF"</f>
        <v>#REF!</v>
      </c>
      <c r="CT42" t="e">
        <f>'Technical Skills Weighting'!#REF!+"`FU!vG"</f>
        <v>#REF!</v>
      </c>
      <c r="CU42" t="e">
        <f>'Technical Skills Weighting'!#REF!+"`FU!vH"</f>
        <v>#REF!</v>
      </c>
      <c r="CV42" t="e">
        <f>'Technical Skills Weighting'!#REF!+"`FU!vI"</f>
        <v>#REF!</v>
      </c>
      <c r="CW42" t="e">
        <f>'Technical Skills Weighting'!#REF!+"`FU!vJ"</f>
        <v>#REF!</v>
      </c>
      <c r="CX42" t="e">
        <f>'Technical Skills Weighting'!#REF!+"`FU!vK"</f>
        <v>#REF!</v>
      </c>
      <c r="CY42" t="e">
        <f>'Technical Skills Weighting'!#REF!+"`FU!vL"</f>
        <v>#REF!</v>
      </c>
      <c r="CZ42" t="e">
        <f>'Technical Skills Weighting'!#REF!+"`FU!vM"</f>
        <v>#REF!</v>
      </c>
      <c r="DA42" t="e">
        <f>'Technical Skills Weighting'!#REF!+"`FU!vN"</f>
        <v>#REF!</v>
      </c>
      <c r="DB42" t="e">
        <f>'Technical Skills Weighting'!#REF!+"`FU!vO"</f>
        <v>#REF!</v>
      </c>
      <c r="DC42" t="e">
        <f>'Technical Skills Weighting'!#REF!+"`FU!vP"</f>
        <v>#REF!</v>
      </c>
      <c r="DD42" t="e">
        <f>'Technical Skills Weighting'!#REF!+"`FU!vQ"</f>
        <v>#REF!</v>
      </c>
      <c r="DE42" t="e">
        <f>'Technical Skills Weighting'!#REF!+"`FU!vR"</f>
        <v>#REF!</v>
      </c>
      <c r="DF42" t="e">
        <f>'Technical Skills Weighting'!#REF!+"`FU!vS"</f>
        <v>#REF!</v>
      </c>
      <c r="DG42" t="e">
        <f>'Technical Skills Weighting'!#REF!+"`FU!vT"</f>
        <v>#REF!</v>
      </c>
      <c r="DH42" t="e">
        <f>'Technical Skills Weighting'!#REF!+"`FU!vU"</f>
        <v>#REF!</v>
      </c>
      <c r="DI42" t="e">
        <f>'Technical Skills Weighting'!#REF!+"`FU!vV"</f>
        <v>#REF!</v>
      </c>
      <c r="DJ42" t="e">
        <f>'Technical Skills Weighting'!#REF!+"`FU!vW"</f>
        <v>#REF!</v>
      </c>
      <c r="DK42" t="e">
        <f>'Technical Skills Weighting'!#REF!+"`FU!vX"</f>
        <v>#REF!</v>
      </c>
      <c r="DL42" t="e">
        <f>'Technical Skills Weighting'!#REF!+"`FU!vY"</f>
        <v>#REF!</v>
      </c>
      <c r="DM42" t="e">
        <f>'Technical Skills Weighting'!#REF!+"`FU!vZ"</f>
        <v>#REF!</v>
      </c>
      <c r="DN42" t="e">
        <f>'Technical Skills Weighting'!#REF!+"`FU!v["</f>
        <v>#REF!</v>
      </c>
      <c r="DO42" t="e">
        <f>'Technical Skills Weighting'!#REF!+"`FU!v\"</f>
        <v>#REF!</v>
      </c>
      <c r="DP42" t="e">
        <f>'Technical Skills Weighting'!#REF!+"`FU!v]"</f>
        <v>#REF!</v>
      </c>
      <c r="DQ42" t="e">
        <f>'Technical Skills Weighting'!#REF!+"`FU!v^"</f>
        <v>#REF!</v>
      </c>
      <c r="DR42" t="e">
        <f>'Technical Skills Weighting'!#REF!+"`FU!v_"</f>
        <v>#REF!</v>
      </c>
      <c r="DS42" t="e">
        <f>'Technical Skills Weighting'!#REF!+"`FU!v`"</f>
        <v>#REF!</v>
      </c>
      <c r="DT42" t="e">
        <f>'Technical Skills Weighting'!#REF!+"`FU!va"</f>
        <v>#REF!</v>
      </c>
      <c r="DU42" t="e">
        <f>'Technical Skills Weighting'!#REF!+"`FU!vb"</f>
        <v>#REF!</v>
      </c>
      <c r="DV42" t="e">
        <f>'Technical Skills Weighting'!#REF!+"`FU!vc"</f>
        <v>#REF!</v>
      </c>
      <c r="DW42" t="e">
        <f>'Technical Skills Weighting'!#REF!+"`FU!vd"</f>
        <v>#REF!</v>
      </c>
      <c r="DX42" t="e">
        <f>'Technical Skills Weighting'!#REF!+"`FU!ve"</f>
        <v>#REF!</v>
      </c>
      <c r="DY42" t="e">
        <f>'Technical Skills Weighting'!#REF!+"`FU!vf"</f>
        <v>#REF!</v>
      </c>
      <c r="DZ42" t="e">
        <f>'Technical Skills Weighting'!#REF!+"`FU!vg"</f>
        <v>#REF!</v>
      </c>
      <c r="EA42" t="e">
        <f>'Technical Skills Weighting'!#REF!+"`FU!vh"</f>
        <v>#REF!</v>
      </c>
      <c r="EB42" t="e">
        <f>'Technical Skills Weighting'!#REF!+"`FU!vi"</f>
        <v>#REF!</v>
      </c>
      <c r="EC42" t="e">
        <f>'Technical Skills Weighting'!#REF!+"`FU!vj"</f>
        <v>#REF!</v>
      </c>
      <c r="ED42" t="e">
        <f>'Technical Skills Weighting'!#REF!+"`FU!vk"</f>
        <v>#REF!</v>
      </c>
      <c r="EE42" t="e">
        <f>'Technical Skills Weighting'!#REF!+"`FU!vl"</f>
        <v>#REF!</v>
      </c>
      <c r="EF42" t="e">
        <f>'Technical Skills Weighting'!#REF!+"`FU!vm"</f>
        <v>#REF!</v>
      </c>
      <c r="EG42" t="e">
        <f>'Technical Skills Weighting'!#REF!+"`FU!vn"</f>
        <v>#REF!</v>
      </c>
      <c r="EH42" t="e">
        <f>'Technical Skills Weighting'!#REF!+"`FU!vo"</f>
        <v>#REF!</v>
      </c>
      <c r="EI42" t="e">
        <f>'Technical Skills Weighting'!#REF!+"`FU!vp"</f>
        <v>#REF!</v>
      </c>
      <c r="EJ42" t="e">
        <f>'Technical Skills Weighting'!#REF!+"`FU!vq"</f>
        <v>#REF!</v>
      </c>
      <c r="EK42" t="e">
        <f>'Technical Skills Weighting'!#REF!+"`FU!vr"</f>
        <v>#REF!</v>
      </c>
      <c r="EL42" t="e">
        <f>'Technical Skills Weighting'!#REF!+"`FU!vs"</f>
        <v>#REF!</v>
      </c>
      <c r="EM42" t="e">
        <f>'Technical Skills Weighting'!#REF!+"`FU!vt"</f>
        <v>#REF!</v>
      </c>
      <c r="EN42" t="e">
        <f>'Technical Skills Weighting'!#REF!+"`FU!vu"</f>
        <v>#REF!</v>
      </c>
      <c r="EO42" t="e">
        <f>'Technical Skills Weighting'!#REF!+"`FU!vv"</f>
        <v>#REF!</v>
      </c>
      <c r="EP42" t="e">
        <f>'Technical Skills Weighting'!#REF!+"`FU!vw"</f>
        <v>#REF!</v>
      </c>
      <c r="EQ42" t="e">
        <f>'Technical Skills Weighting'!#REF!+"`FU!vx"</f>
        <v>#REF!</v>
      </c>
      <c r="ER42" t="e">
        <f>'Technical Skills Weighting'!#REF!+"`FU!vy"</f>
        <v>#REF!</v>
      </c>
      <c r="ES42" t="e">
        <f>'Technical Skills Weighting'!#REF!+"`FU!vz"</f>
        <v>#REF!</v>
      </c>
      <c r="ET42" t="e">
        <f>'Technical Skills Weighting'!#REF!+"`FU!v{"</f>
        <v>#REF!</v>
      </c>
      <c r="EU42" t="e">
        <f>'Technical Skills Weighting'!#REF!+"`FU!v|"</f>
        <v>#REF!</v>
      </c>
      <c r="EV42" t="e">
        <f>'Technical Skills Weighting'!#REF!+"`FU!v}"</f>
        <v>#REF!</v>
      </c>
      <c r="EW42" t="e">
        <f>'Technical Skills Weighting'!#REF!+"`FU!v~"</f>
        <v>#REF!</v>
      </c>
      <c r="EX42" t="e">
        <f>'Technical Skills Weighting'!#REF!+"`FU!w#"</f>
        <v>#REF!</v>
      </c>
      <c r="EY42" t="e">
        <f>'Technical Skills Weighting'!#REF!+"`FU!w$"</f>
        <v>#REF!</v>
      </c>
      <c r="EZ42" t="e">
        <f>'Technical Skills Weighting'!#REF!+"`FU!w%"</f>
        <v>#REF!</v>
      </c>
      <c r="FA42" t="e">
        <f>'Technical Skills Weighting'!#REF!+"`FU!w&amp;"</f>
        <v>#REF!</v>
      </c>
      <c r="FB42" t="e">
        <f>'Technical Skills Weighting'!#REF!+"`FU!w'"</f>
        <v>#REF!</v>
      </c>
      <c r="FC42" t="e">
        <f>'Technical Skills Weighting'!#REF!+"`FU!w("</f>
        <v>#REF!</v>
      </c>
      <c r="FD42" t="e">
        <f>'Technical Skills Weighting'!#REF!+"`FU!w)"</f>
        <v>#REF!</v>
      </c>
      <c r="FE42" t="e">
        <f>'Technical Skills Weighting'!#REF!+"`FU!w."</f>
        <v>#REF!</v>
      </c>
      <c r="FF42" t="e">
        <f>'Technical Skills Weighting'!#REF!+"`FU!w/"</f>
        <v>#REF!</v>
      </c>
      <c r="FG42" t="e">
        <f>'Technical Skills Weighting'!#REF!+"`FU!w0"</f>
        <v>#REF!</v>
      </c>
      <c r="FH42" t="e">
        <f>'Technical Skills Weighting'!#REF!+"`FU!w1"</f>
        <v>#REF!</v>
      </c>
      <c r="FI42" t="e">
        <f>'Technical Skills Weighting'!#REF!+"`FU!w2"</f>
        <v>#REF!</v>
      </c>
      <c r="FJ42" t="e">
        <f>'Technical Skills Weighting'!#REF!+"`FU!w3"</f>
        <v>#REF!</v>
      </c>
      <c r="FK42" t="e">
        <f>'Technical Skills Weighting'!#REF!+"`FU!w4"</f>
        <v>#REF!</v>
      </c>
      <c r="FL42" t="e">
        <f>'Technical Skills Weighting'!#REF!+"`FU!w5"</f>
        <v>#REF!</v>
      </c>
      <c r="FM42" t="e">
        <f>'Technical Skills Weighting'!#REF!+"`FU!w6"</f>
        <v>#REF!</v>
      </c>
      <c r="FN42" t="e">
        <f>'Technical Skills Weighting'!#REF!+"`FU!w7"</f>
        <v>#REF!</v>
      </c>
      <c r="FO42" t="e">
        <f>'Technical Skills Weighting'!#REF!+"`FU!w8"</f>
        <v>#REF!</v>
      </c>
      <c r="FP42" t="e">
        <f>'Technical Skills Weighting'!#REF!+"`FU!w9"</f>
        <v>#REF!</v>
      </c>
      <c r="FQ42" t="e">
        <f>'Technical Skills Weighting'!#REF!+"`FU!w:"</f>
        <v>#REF!</v>
      </c>
      <c r="FR42" t="e">
        <f>'Technical Skills Weighting'!#REF!+"`FU!w;"</f>
        <v>#REF!</v>
      </c>
      <c r="FS42" t="e">
        <f>'Technical Skills Weighting'!#REF!+"`FU!w&lt;"</f>
        <v>#REF!</v>
      </c>
      <c r="FT42" t="e">
        <f>'Technical Skills Weighting'!#REF!+"`FU!w="</f>
        <v>#REF!</v>
      </c>
      <c r="FU42" t="e">
        <f>'Technical Skills Weighting'!#REF!+"`FU!w&gt;"</f>
        <v>#REF!</v>
      </c>
      <c r="FV42" t="e">
        <f>'Technical Skills Weighting'!#REF!+"`FU!w?"</f>
        <v>#REF!</v>
      </c>
      <c r="FW42" t="e">
        <f>'Technical Skills Weighting'!#REF!+"`FU!w@"</f>
        <v>#REF!</v>
      </c>
      <c r="FX42" t="e">
        <f>'Technical Skills Weighting'!#REF!+"`FU!wA"</f>
        <v>#REF!</v>
      </c>
      <c r="FY42" t="e">
        <f>'Technical Skills Weighting'!#REF!+"`FU!wB"</f>
        <v>#REF!</v>
      </c>
      <c r="FZ42" t="e">
        <f>'Technical Skills Weighting'!#REF!+"`FU!wC"</f>
        <v>#REF!</v>
      </c>
      <c r="GA42" t="e">
        <f>'Technical Skills Weighting'!#REF!+"`FU!wD"</f>
        <v>#REF!</v>
      </c>
      <c r="GB42" t="e">
        <f>'Technical Skills Weighting'!#REF!+"`FU!wE"</f>
        <v>#REF!</v>
      </c>
      <c r="GC42" t="e">
        <f>'Technical Skills Weighting'!#REF!+"`FU!wF"</f>
        <v>#REF!</v>
      </c>
      <c r="GD42" t="e">
        <f>'Technical Skills Weighting'!#REF!+"`FU!wG"</f>
        <v>#REF!</v>
      </c>
      <c r="GE42" t="e">
        <f>'Technical Skills Weighting'!#REF!+"`FU!wH"</f>
        <v>#REF!</v>
      </c>
      <c r="GF42" t="e">
        <f>'Technical Skills Weighting'!#REF!+"`FU!wI"</f>
        <v>#REF!</v>
      </c>
      <c r="GG42" t="e">
        <f>'Technical Skills Weighting'!#REF!+"`FU!wJ"</f>
        <v>#REF!</v>
      </c>
      <c r="GH42" t="e">
        <f>'Technical Skills Weighting'!#REF!+"`FU!wK"</f>
        <v>#REF!</v>
      </c>
      <c r="GI42" t="e">
        <f>'Technical Skills Weighting'!#REF!+"`FU!wL"</f>
        <v>#REF!</v>
      </c>
      <c r="GJ42" t="e">
        <f>'Technical Skills Weighting'!#REF!+"`FU!wM"</f>
        <v>#REF!</v>
      </c>
      <c r="GK42" t="e">
        <f>'Technical Skills Weighting'!#REF!+"`FU!wN"</f>
        <v>#REF!</v>
      </c>
      <c r="GL42" t="e">
        <f>'Technical Skills Weighting'!#REF!+"`FU!wO"</f>
        <v>#REF!</v>
      </c>
      <c r="GM42" t="e">
        <f>'Technical Skills Weighting'!#REF!+"`FU!wP"</f>
        <v>#REF!</v>
      </c>
      <c r="GN42" t="e">
        <f>'Technical Skills Weighting'!#REF!+"`FU!wQ"</f>
        <v>#REF!</v>
      </c>
      <c r="GO42" t="e">
        <f>'Technical Skills Weighting'!#REF!+"`FU!wR"</f>
        <v>#REF!</v>
      </c>
      <c r="GP42" t="e">
        <f>'Technical Skills Weighting'!#REF!+"`FU!wS"</f>
        <v>#REF!</v>
      </c>
      <c r="GQ42" t="e">
        <f>'Technical Skills Weighting'!#REF!+"`FU!wT"</f>
        <v>#REF!</v>
      </c>
      <c r="GR42" t="e">
        <f>'Technical Skills Weighting'!#REF!+"`FU!wU"</f>
        <v>#REF!</v>
      </c>
      <c r="GS42" t="e">
        <f>'Technical Skills Weighting'!#REF!+"`FU!wV"</f>
        <v>#REF!</v>
      </c>
      <c r="GT42" t="e">
        <f>'Technical Skills Weighting'!#REF!+"`FU!wW"</f>
        <v>#REF!</v>
      </c>
      <c r="GU42" t="e">
        <f>'Technical Skills Weighting'!#REF!+"`FU!wX"</f>
        <v>#REF!</v>
      </c>
      <c r="GV42" t="e">
        <f>'Technical Skills Weighting'!#REF!+"`FU!wY"</f>
        <v>#REF!</v>
      </c>
      <c r="GW42" t="e">
        <f>'Technical Skills Weighting'!#REF!+"`FU!wZ"</f>
        <v>#REF!</v>
      </c>
      <c r="GX42" t="e">
        <f>'Technical Skills Weighting'!#REF!+"`FU!w["</f>
        <v>#REF!</v>
      </c>
      <c r="GY42" t="e">
        <f>'Technical Skills Weighting'!#REF!+"`FU!w\"</f>
        <v>#REF!</v>
      </c>
      <c r="GZ42" t="e">
        <f>'Technical Skills Weighting'!#REF!+"`FU!w]"</f>
        <v>#REF!</v>
      </c>
      <c r="HA42" t="e">
        <f>'Technical Skills Weighting'!#REF!+"`FU!w^"</f>
        <v>#REF!</v>
      </c>
      <c r="HB42" t="e">
        <f>'Technical Skills Weighting'!#REF!+"`FU!w_"</f>
        <v>#REF!</v>
      </c>
      <c r="HC42" t="e">
        <f>'Technical Skills Weighting'!#REF!+"`FU!w`"</f>
        <v>#REF!</v>
      </c>
      <c r="HD42" t="e">
        <f>'Technical Skills Weighting'!#REF!+"`FU!wa"</f>
        <v>#REF!</v>
      </c>
      <c r="HE42" t="e">
        <f>'Technical Skills Weighting'!#REF!+"`FU!wb"</f>
        <v>#REF!</v>
      </c>
      <c r="HF42" t="e">
        <f>'Technical Skills Weighting'!#REF!+"`FU!wc"</f>
        <v>#REF!</v>
      </c>
      <c r="HG42" t="e">
        <f>'Technical Skills Weighting'!#REF!+"`FU!wd"</f>
        <v>#REF!</v>
      </c>
      <c r="HH42" t="e">
        <f>'Technical Skills Weighting'!#REF!+"`FU!we"</f>
        <v>#REF!</v>
      </c>
      <c r="HI42" t="e">
        <f>'Technical Skills Weighting'!#REF!+"`FU!wf"</f>
        <v>#REF!</v>
      </c>
      <c r="HJ42" t="e">
        <f>'Technical Skills Weighting'!#REF!+"`FU!wg"</f>
        <v>#REF!</v>
      </c>
      <c r="HK42" t="e">
        <f>'Technical Skills Weighting'!#REF!+"`FU!wh"</f>
        <v>#REF!</v>
      </c>
      <c r="HL42" t="e">
        <f>'Technical Skills Weighting'!#REF!+"`FU!wi"</f>
        <v>#REF!</v>
      </c>
      <c r="HM42" t="e">
        <f>'Technical Skills Weighting'!#REF!+"`FU!wj"</f>
        <v>#REF!</v>
      </c>
      <c r="HN42" t="e">
        <f>'Technical Skills Weighting'!#REF!+"`FU!wk"</f>
        <v>#REF!</v>
      </c>
      <c r="HO42" t="e">
        <f>'Technical Skills Weighting'!#REF!+"`FU!wl"</f>
        <v>#REF!</v>
      </c>
      <c r="HP42" t="e">
        <f>'Technical Skills Weighting'!#REF!+"`FU!wm"</f>
        <v>#REF!</v>
      </c>
      <c r="HQ42" t="e">
        <f>'Technical Skills Weighting'!#REF!+"`FU!wn"</f>
        <v>#REF!</v>
      </c>
      <c r="HR42" t="e">
        <f>'Technical Skills Weighting'!#REF!+"`FU!wo"</f>
        <v>#REF!</v>
      </c>
      <c r="HS42" t="e">
        <f>'Technical Skills Weighting'!#REF!+"`FU!wp"</f>
        <v>#REF!</v>
      </c>
      <c r="HT42" t="e">
        <f>'Technical Skills Weighting'!#REF!+"`FU!wq"</f>
        <v>#REF!</v>
      </c>
      <c r="HU42" t="e">
        <f>'Technical Skills Weighting'!#REF!+"`FU!wr"</f>
        <v>#REF!</v>
      </c>
      <c r="HV42" t="e">
        <f>'Technical Skills Weighting'!#REF!+"`FU!ws"</f>
        <v>#REF!</v>
      </c>
      <c r="HW42" t="e">
        <f>'Technical Skills Weighting'!#REF!+"`FU!wt"</f>
        <v>#REF!</v>
      </c>
      <c r="HX42" t="e">
        <f>'Technical Skills Weighting'!#REF!+"`FU!wu"</f>
        <v>#REF!</v>
      </c>
      <c r="HY42" t="e">
        <f>'Technical Skills Weighting'!#REF!+"`FU!wv"</f>
        <v>#REF!</v>
      </c>
      <c r="HZ42" t="e">
        <f>'Technical Skills Weighting'!#REF!+"`FU!ww"</f>
        <v>#REF!</v>
      </c>
      <c r="IA42" t="e">
        <f>'Technical Skills Weighting'!#REF!+"`FU!wx"</f>
        <v>#REF!</v>
      </c>
      <c r="IB42" t="e">
        <f>'Technical Skills Weighting'!#REF!+"`FU!wy"</f>
        <v>#REF!</v>
      </c>
      <c r="IC42" t="e">
        <f>'Technical Skills Weighting'!#REF!+"`FU!wz"</f>
        <v>#REF!</v>
      </c>
      <c r="ID42" t="e">
        <f>'Technical Skills Weighting'!#REF!+"`FU!w{"</f>
        <v>#REF!</v>
      </c>
      <c r="IE42" t="e">
        <f>'Technical Skills Weighting'!#REF!+"`FU!w|"</f>
        <v>#REF!</v>
      </c>
      <c r="IF42" t="e">
        <f>'Technical Skills Weighting'!#REF!+"`FU!w}"</f>
        <v>#REF!</v>
      </c>
      <c r="IG42" t="e">
        <f>'Technical Skills Weighting'!#REF!+"`FU!w~"</f>
        <v>#REF!</v>
      </c>
      <c r="IH42" t="e">
        <f>'Technical Skills Weighting'!#REF!+"`FU!x#"</f>
        <v>#REF!</v>
      </c>
      <c r="II42" t="e">
        <f>'Technical Skills Weighting'!#REF!+"`FU!x$"</f>
        <v>#REF!</v>
      </c>
      <c r="IJ42" t="e">
        <f>'Technical Skills Weighting'!#REF!+"`FU!x%"</f>
        <v>#REF!</v>
      </c>
      <c r="IK42" t="e">
        <f>'Technical Skills Weighting'!#REF!+"`FU!x&amp;"</f>
        <v>#REF!</v>
      </c>
      <c r="IL42" t="e">
        <f>'Technical Skills Weighting'!#REF!+"`FU!x'"</f>
        <v>#REF!</v>
      </c>
      <c r="IM42" t="e">
        <f>'Technical Skills Weighting'!#REF!+"`FU!x("</f>
        <v>#REF!</v>
      </c>
      <c r="IN42" t="e">
        <f>'Technical Skills Weighting'!#REF!+"`FU!x)"</f>
        <v>#REF!</v>
      </c>
      <c r="IO42" t="e">
        <f>'Technical Skills Weighting'!#REF!+"`FU!x."</f>
        <v>#REF!</v>
      </c>
      <c r="IP42" t="e">
        <f>'Technical Skills Weighting'!#REF!+"`FU!x/"</f>
        <v>#REF!</v>
      </c>
      <c r="IQ42" t="e">
        <f>'Technical Skills Weighting'!#REF!+"`FU!x0"</f>
        <v>#REF!</v>
      </c>
      <c r="IR42" t="e">
        <f>'Technical Skills Weighting'!#REF!+"`FU!x1"</f>
        <v>#REF!</v>
      </c>
      <c r="IS42" t="e">
        <f>'Technical Skills Weighting'!#REF!+"`FU!x2"</f>
        <v>#REF!</v>
      </c>
      <c r="IT42" t="e">
        <f>'Technical Skills Weighting'!#REF!+"`FU!x3"</f>
        <v>#REF!</v>
      </c>
      <c r="IU42" t="e">
        <f>'Technical Skills Weighting'!#REF!+"`FU!x4"</f>
        <v>#REF!</v>
      </c>
      <c r="IV42" t="e">
        <f>'Technical Skills Weighting'!#REF!+"`FU!x5"</f>
        <v>#REF!</v>
      </c>
    </row>
    <row r="43" spans="6:256" x14ac:dyDescent="0.25">
      <c r="F43" t="e">
        <f>'Technical Skills Weighting'!#REF!+"`FU!x6"</f>
        <v>#REF!</v>
      </c>
      <c r="G43" t="e">
        <f>'Technical Skills Weighting'!#REF!+"`FU!x7"</f>
        <v>#REF!</v>
      </c>
      <c r="H43" t="e">
        <f>'Technical Skills Weighting'!#REF!+"`FU!x8"</f>
        <v>#REF!</v>
      </c>
      <c r="I43" t="e">
        <f>'Technical Skills Weighting'!#REF!+"`FU!x9"</f>
        <v>#REF!</v>
      </c>
      <c r="J43" t="e">
        <f>'Technical Skills Weighting'!#REF!+"`FU!x:"</f>
        <v>#REF!</v>
      </c>
      <c r="K43" t="e">
        <f>'Technical Skills Weighting'!#REF!+"`FU!x;"</f>
        <v>#REF!</v>
      </c>
      <c r="L43" t="e">
        <f>'Technical Skills Weighting'!#REF!+"`FU!x&lt;"</f>
        <v>#REF!</v>
      </c>
      <c r="M43" t="e">
        <f>'Technical Skills Weighting'!#REF!+"`FU!x="</f>
        <v>#REF!</v>
      </c>
      <c r="N43" t="e">
        <f>'Technical Skills Weighting'!#REF!+"`FU!x&gt;"</f>
        <v>#REF!</v>
      </c>
      <c r="O43" t="e">
        <f>'Technical Skills Weighting'!#REF!+"`FU!x?"</f>
        <v>#REF!</v>
      </c>
      <c r="P43" t="e">
        <f>'Technical Skills Weighting'!#REF!+"`FU!x@"</f>
        <v>#REF!</v>
      </c>
      <c r="Q43" t="e">
        <f>'Technical Skills Weighting'!#REF!+"`FU!xA"</f>
        <v>#REF!</v>
      </c>
      <c r="R43" t="e">
        <f>'Technical Skills Weighting'!#REF!+"`FU!xB"</f>
        <v>#REF!</v>
      </c>
      <c r="S43" t="e">
        <f>'Technical Skills Weighting'!#REF!+"`FU!xC"</f>
        <v>#REF!</v>
      </c>
      <c r="T43" t="e">
        <f>'Technical Skills Weighting'!#REF!+"`FU!xD"</f>
        <v>#REF!</v>
      </c>
      <c r="U43" t="e">
        <f>'Technical Skills Weighting'!#REF!+"`FU!xE"</f>
        <v>#REF!</v>
      </c>
      <c r="V43" t="e">
        <f>'Technical Skills Weighting'!#REF!+"`FU!xF"</f>
        <v>#REF!</v>
      </c>
      <c r="W43" t="e">
        <f>'Technical Skills Weighting'!#REF!+"`FU!xG"</f>
        <v>#REF!</v>
      </c>
      <c r="X43" t="e">
        <f>'Technical Skills Weighting'!#REF!+"`FU!xH"</f>
        <v>#REF!</v>
      </c>
      <c r="Y43" t="e">
        <f>'Technical Skills Weighting'!#REF!+"`FU!xI"</f>
        <v>#REF!</v>
      </c>
      <c r="Z43" t="e">
        <f>'Technical Skills Weighting'!#REF!+"`FU!xJ"</f>
        <v>#REF!</v>
      </c>
      <c r="AA43" t="e">
        <f>'Technical Skills Weighting'!#REF!+"`FU!xK"</f>
        <v>#REF!</v>
      </c>
      <c r="AB43" t="e">
        <f>'Technical Skills Weighting'!#REF!+"`FU!xL"</f>
        <v>#REF!</v>
      </c>
      <c r="AC43" t="e">
        <f>'Technical Skills Weighting'!#REF!+"`FU!xM"</f>
        <v>#REF!</v>
      </c>
      <c r="AD43" t="e">
        <f>'Technical Skills Weighting'!#REF!+"`FU!xN"</f>
        <v>#REF!</v>
      </c>
      <c r="AE43" t="e">
        <f>'Technical Skills Weighting'!#REF!+"`FU!xO"</f>
        <v>#REF!</v>
      </c>
      <c r="AF43" t="e">
        <f>'Technical Skills Weighting'!#REF!+"`FU!xP"</f>
        <v>#REF!</v>
      </c>
      <c r="AG43" t="e">
        <f>'Technical Skills Weighting'!#REF!+"`FU!xQ"</f>
        <v>#REF!</v>
      </c>
      <c r="AH43" t="e">
        <f>'Technical Skills Weighting'!#REF!+"`FU!xR"</f>
        <v>#REF!</v>
      </c>
      <c r="AI43" t="e">
        <f>'Technical Skills Weighting'!#REF!+"`FU!xS"</f>
        <v>#REF!</v>
      </c>
      <c r="AJ43" t="e">
        <f>'Technical Skills Weighting'!#REF!+"`FU!xT"</f>
        <v>#REF!</v>
      </c>
      <c r="AK43" t="e">
        <f>'Technical Skills Weighting'!#REF!+"`FU!xU"</f>
        <v>#REF!</v>
      </c>
      <c r="AL43" t="e">
        <f>'Technical Skills Weighting'!#REF!+"`FU!xV"</f>
        <v>#REF!</v>
      </c>
      <c r="AM43" t="e">
        <f>'Technical Skills Weighting'!#REF!+"`FU!xW"</f>
        <v>#REF!</v>
      </c>
      <c r="AN43" t="e">
        <f>'Technical Skills Weighting'!#REF!+"`FU!xX"</f>
        <v>#REF!</v>
      </c>
      <c r="AO43" t="e">
        <f>'Technical Skills Weighting'!#REF!+"`FU!xY"</f>
        <v>#REF!</v>
      </c>
      <c r="AP43" t="e">
        <f>'Technical Skills Weighting'!#REF!+"`FU!xZ"</f>
        <v>#REF!</v>
      </c>
      <c r="AQ43" t="e">
        <f>'Technical Skills Weighting'!#REF!+"`FU!x["</f>
        <v>#REF!</v>
      </c>
      <c r="AR43" t="e">
        <f>'Technical Skills Weighting'!#REF!+"`FU!x\"</f>
        <v>#REF!</v>
      </c>
      <c r="AS43" t="e">
        <f>'Technical Skills Weighting'!#REF!+"`FU!x]"</f>
        <v>#REF!</v>
      </c>
      <c r="AT43" t="e">
        <f>'Technical Skills Weighting'!#REF!+"`FU!x^"</f>
        <v>#REF!</v>
      </c>
      <c r="AU43" t="e">
        <f>'Technical Skills Weighting'!#REF!+"`FU!x_"</f>
        <v>#REF!</v>
      </c>
      <c r="AV43" t="e">
        <f>'Technical Skills Weighting'!#REF!+"`FU!x`"</f>
        <v>#REF!</v>
      </c>
      <c r="AW43" t="e">
        <f>'Technical Skills Weighting'!#REF!+"`FU!xa"</f>
        <v>#REF!</v>
      </c>
      <c r="AX43" t="e">
        <f>'Technical Skills Weighting'!#REF!+"`FU!xb"</f>
        <v>#REF!</v>
      </c>
      <c r="AY43" t="e">
        <f>'Technical Skills Weighting'!#REF!+"`FU!xc"</f>
        <v>#REF!</v>
      </c>
      <c r="AZ43" t="e">
        <f>'Technical Skills Weighting'!#REF!+"`FU!xd"</f>
        <v>#REF!</v>
      </c>
      <c r="BA43" t="e">
        <f>'Technical Skills Weighting'!#REF!+"`FU!xe"</f>
        <v>#REF!</v>
      </c>
      <c r="BB43" t="e">
        <f>'Technical Skills Weighting'!#REF!+"`FU!xf"</f>
        <v>#REF!</v>
      </c>
      <c r="BC43" t="e">
        <f>'Technical Skills Weighting'!#REF!+"`FU!xg"</f>
        <v>#REF!</v>
      </c>
      <c r="BD43" t="e">
        <f>'Technical Skills Weighting'!#REF!+"`FU!xh"</f>
        <v>#REF!</v>
      </c>
      <c r="BE43" t="e">
        <f>'Technical Skills Weighting'!#REF!+"`FU!xi"</f>
        <v>#REF!</v>
      </c>
      <c r="BF43" t="e">
        <f>'Technical Skills Weighting'!#REF!+"`FU!xj"</f>
        <v>#REF!</v>
      </c>
      <c r="BG43" t="e">
        <f>'Technical Skills Weighting'!#REF!+"`FU!xk"</f>
        <v>#REF!</v>
      </c>
      <c r="BH43" t="e">
        <f>'Technical Skills Weighting'!#REF!+"`FU!xl"</f>
        <v>#REF!</v>
      </c>
      <c r="BI43" t="e">
        <f>'Technical Skills Weighting'!#REF!+"`FU!xm"</f>
        <v>#REF!</v>
      </c>
      <c r="BJ43" t="e">
        <f>'Technical Skills Weighting'!#REF!+"`FU!xn"</f>
        <v>#REF!</v>
      </c>
      <c r="BK43" t="e">
        <f>'Technical Skills Weighting'!#REF!+"`FU!xo"</f>
        <v>#REF!</v>
      </c>
      <c r="BL43" t="e">
        <f>'Technical Skills Weighting'!#REF!+"`FU!xp"</f>
        <v>#REF!</v>
      </c>
      <c r="BM43" t="e">
        <f>'Technical Skills Weighting'!#REF!+"`FU!xq"</f>
        <v>#REF!</v>
      </c>
      <c r="BN43" t="e">
        <f>'Technical Skills Weighting'!#REF!+"`FU!xr"</f>
        <v>#REF!</v>
      </c>
      <c r="BO43" t="e">
        <f>'Technical Skills Weighting'!#REF!+"`FU!xs"</f>
        <v>#REF!</v>
      </c>
      <c r="BP43" t="e">
        <f>'Technical Skills Weighting'!#REF!+"`FU!xt"</f>
        <v>#REF!</v>
      </c>
      <c r="BQ43" t="e">
        <f>'Technical Skills Weighting'!#REF!+"`FU!xu"</f>
        <v>#REF!</v>
      </c>
      <c r="BR43" t="e">
        <f>'Technical Skills Weighting'!#REF!+"`FU!xv"</f>
        <v>#REF!</v>
      </c>
      <c r="BS43" t="e">
        <f>'Technical Skills Weighting'!#REF!+"`FU!xw"</f>
        <v>#REF!</v>
      </c>
      <c r="BT43" t="e">
        <f>'Technical Skills Weighting'!#REF!+"`FU!xx"</f>
        <v>#REF!</v>
      </c>
      <c r="BU43" t="e">
        <f>'Technical Skills Weighting'!#REF!+"`FU!xy"</f>
        <v>#REF!</v>
      </c>
      <c r="BV43" t="e">
        <f>'Technical Skills Weighting'!#REF!+"`FU!xz"</f>
        <v>#REF!</v>
      </c>
      <c r="BW43" t="e">
        <f>'Technical Skills Weighting'!#REF!+"`FU!x{"</f>
        <v>#REF!</v>
      </c>
      <c r="BX43" t="e">
        <f>'Technical Skills Weighting'!#REF!+"`FU!x|"</f>
        <v>#REF!</v>
      </c>
      <c r="BY43" t="e">
        <f>'Technical Skills Weighting'!#REF!+"`FU!x}"</f>
        <v>#REF!</v>
      </c>
      <c r="BZ43" t="e">
        <f>'Technical Skills Weighting'!#REF!+"`FU!x~"</f>
        <v>#REF!</v>
      </c>
      <c r="CA43" t="e">
        <f>'Technical Skills Weighting'!#REF!+"`FU!y#"</f>
        <v>#REF!</v>
      </c>
      <c r="CB43" t="e">
        <f>'Technical Skills Weighting'!#REF!+"`FU!y$"</f>
        <v>#REF!</v>
      </c>
      <c r="CC43" t="e">
        <f>'Technical Skills Weighting'!#REF!+"`FU!y%"</f>
        <v>#REF!</v>
      </c>
      <c r="CD43" t="e">
        <f>'Technical Skills Weighting'!#REF!+"`FU!y&amp;"</f>
        <v>#REF!</v>
      </c>
      <c r="CE43" t="e">
        <f>'Technical Skills Weighting'!#REF!+"`FU!y'"</f>
        <v>#REF!</v>
      </c>
      <c r="CF43" t="e">
        <f>'Technical Skills Weighting'!#REF!+"`FU!y("</f>
        <v>#REF!</v>
      </c>
      <c r="CG43" t="e">
        <f>'Technical Skills Weighting'!#REF!+"`FU!y)"</f>
        <v>#REF!</v>
      </c>
      <c r="CH43" t="e">
        <f>'Technical Skills Weighting'!#REF!+"`FU!y."</f>
        <v>#REF!</v>
      </c>
      <c r="CI43" t="e">
        <f>'Technical Skills Weighting'!#REF!+"`FU!y/"</f>
        <v>#REF!</v>
      </c>
      <c r="CJ43" t="e">
        <f>'Technical Skills Weighting'!#REF!+"`FU!y0"</f>
        <v>#REF!</v>
      </c>
      <c r="CK43" t="e">
        <f>'Technical Skills Weighting'!#REF!+"`FU!y1"</f>
        <v>#REF!</v>
      </c>
      <c r="CL43" t="e">
        <f>'Technical Skills Weighting'!#REF!+"`FU!y2"</f>
        <v>#REF!</v>
      </c>
      <c r="CM43" t="e">
        <f>'Technical Skills Weighting'!#REF!+"`FU!y3"</f>
        <v>#REF!</v>
      </c>
      <c r="CN43" t="e">
        <f>'Technical Skills Weighting'!#REF!+"`FU!y4"</f>
        <v>#REF!</v>
      </c>
      <c r="CO43" t="e">
        <f>'Technical Skills Weighting'!#REF!+"`FU!y5"</f>
        <v>#REF!</v>
      </c>
      <c r="CP43" t="e">
        <f>'Technical Skills Weighting'!#REF!+"`FU!y6"</f>
        <v>#REF!</v>
      </c>
      <c r="CQ43" t="e">
        <f>'Technical Skills Weighting'!#REF!+"`FU!y7"</f>
        <v>#REF!</v>
      </c>
      <c r="CR43" t="e">
        <f>'Technical Skills Weighting'!#REF!+"`FU!y8"</f>
        <v>#REF!</v>
      </c>
      <c r="CS43" t="e">
        <f>'Technical Skills Weighting'!#REF!+"`FU!y9"</f>
        <v>#REF!</v>
      </c>
      <c r="CT43" t="e">
        <f>'Technical Skills Weighting'!#REF!+"`FU!y:"</f>
        <v>#REF!</v>
      </c>
      <c r="CU43" t="e">
        <f>'Technical Skills Weighting'!#REF!+"`FU!y;"</f>
        <v>#REF!</v>
      </c>
      <c r="CV43" t="e">
        <f>'Technical Skills Weighting'!#REF!+"`FU!y&lt;"</f>
        <v>#REF!</v>
      </c>
      <c r="CW43" t="e">
        <f>'Technical Skills Weighting'!#REF!+"`FU!y="</f>
        <v>#REF!</v>
      </c>
      <c r="CX43" t="e">
        <f>'Technical Skills Weighting'!#REF!+"`FU!y&gt;"</f>
        <v>#REF!</v>
      </c>
      <c r="CY43" t="e">
        <f>'Technical Skills Weighting'!#REF!+"`FU!y?"</f>
        <v>#REF!</v>
      </c>
      <c r="CZ43" t="e">
        <f>'Technical Skills Weighting'!#REF!+"`FU!y@"</f>
        <v>#REF!</v>
      </c>
      <c r="DA43" t="e">
        <f>'Technical Skills Weighting'!#REF!+"`FU!yA"</f>
        <v>#REF!</v>
      </c>
      <c r="DB43" t="e">
        <f>'Technical Skills Weighting'!#REF!+"`FU!yB"</f>
        <v>#REF!</v>
      </c>
      <c r="DC43" t="e">
        <f>'Technical Skills Weighting'!#REF!+"`FU!yC"</f>
        <v>#REF!</v>
      </c>
      <c r="DD43" t="e">
        <f>'Technical Skills Weighting'!#REF!+"`FU!yD"</f>
        <v>#REF!</v>
      </c>
      <c r="DE43" t="e">
        <f>'Technical Skills Weighting'!#REF!+"`FU!yE"</f>
        <v>#REF!</v>
      </c>
      <c r="DF43" t="e">
        <f>'Technical Skills Weighting'!#REF!+"`FU!yF"</f>
        <v>#REF!</v>
      </c>
      <c r="DG43" t="e">
        <f>'Technical Skills Weighting'!#REF!+"`FU!yG"</f>
        <v>#REF!</v>
      </c>
      <c r="DH43" t="e">
        <f>'Technical Skills Weighting'!#REF!+"`FU!yH"</f>
        <v>#REF!</v>
      </c>
      <c r="DI43" t="e">
        <f>'Technical Skills Weighting'!#REF!+"`FU!yI"</f>
        <v>#REF!</v>
      </c>
      <c r="DJ43" t="e">
        <f>'Technical Skills Weighting'!#REF!+"`FU!yJ"</f>
        <v>#REF!</v>
      </c>
      <c r="DK43" t="e">
        <f>'Technical Skills Weighting'!#REF!+"`FU!yK"</f>
        <v>#REF!</v>
      </c>
      <c r="DL43" t="e">
        <f>'Technical Skills Weighting'!#REF!+"`FU!yL"</f>
        <v>#REF!</v>
      </c>
      <c r="DM43" t="e">
        <f>'Technical Skills Weighting'!#REF!+"`FU!yM"</f>
        <v>#REF!</v>
      </c>
      <c r="DN43" t="e">
        <f>'Technical Skills Weighting'!#REF!+"`FU!yN"</f>
        <v>#REF!</v>
      </c>
      <c r="DO43" t="e">
        <f>'Technical Skills Weighting'!#REF!+"`FU!yO"</f>
        <v>#REF!</v>
      </c>
      <c r="DP43" t="e">
        <f>'Technical Skills Weighting'!#REF!+"`FU!yP"</f>
        <v>#REF!</v>
      </c>
      <c r="DQ43" t="e">
        <f>'Technical Skills Weighting'!#REF!+"`FU!yQ"</f>
        <v>#REF!</v>
      </c>
      <c r="DR43" t="e">
        <f>'Technical Skills Weighting'!#REF!+"`FU!yR"</f>
        <v>#REF!</v>
      </c>
      <c r="DS43" t="e">
        <f>'Technical Skills Weighting'!#REF!+"`FU!yS"</f>
        <v>#REF!</v>
      </c>
      <c r="DT43" t="e">
        <f>'Technical Skills Weighting'!#REF!+"`FU!yT"</f>
        <v>#REF!</v>
      </c>
      <c r="DU43" t="e">
        <f>'Technical Skills Weighting'!#REF!+"`FU!yU"</f>
        <v>#REF!</v>
      </c>
      <c r="DV43" t="e">
        <f>'Technical Skills Weighting'!#REF!+"`FU!yV"</f>
        <v>#REF!</v>
      </c>
      <c r="DW43" t="e">
        <f>'Technical Skills Weighting'!#REF!+"`FU!yW"</f>
        <v>#REF!</v>
      </c>
      <c r="DX43" t="e">
        <f>'Technical Skills Weighting'!#REF!+"`FU!yX"</f>
        <v>#REF!</v>
      </c>
      <c r="DY43" t="e">
        <f>'Technical Skills Weighting'!#REF!+"`FU!yY"</f>
        <v>#REF!</v>
      </c>
      <c r="DZ43" t="e">
        <f>'Technical Skills Weighting'!#REF!+"`FU!yZ"</f>
        <v>#REF!</v>
      </c>
      <c r="EA43" t="e">
        <f>'Technical Skills Weighting'!#REF!+"`FU!y["</f>
        <v>#REF!</v>
      </c>
      <c r="EB43" t="e">
        <f>'Technical Skills Weighting'!#REF!+"`FU!y\"</f>
        <v>#REF!</v>
      </c>
      <c r="EC43" t="e">
        <f>'Technical Skills Weighting'!#REF!+"`FU!y]"</f>
        <v>#REF!</v>
      </c>
      <c r="ED43" t="e">
        <f>'Technical Skills Weighting'!#REF!+"`FU!y^"</f>
        <v>#REF!</v>
      </c>
      <c r="EE43" t="e">
        <f>'Technical Skills Weighting'!#REF!+"`FU!y_"</f>
        <v>#REF!</v>
      </c>
      <c r="EF43" t="e">
        <f>'Technical Skills Weighting'!#REF!+"`FU!y`"</f>
        <v>#REF!</v>
      </c>
      <c r="EG43" t="e">
        <f>'Technical Skills Weighting'!#REF!+"`FU!ya"</f>
        <v>#REF!</v>
      </c>
      <c r="EH43" t="e">
        <f>'Technical Skills Weighting'!#REF!+"`FU!yb"</f>
        <v>#REF!</v>
      </c>
      <c r="EI43" t="e">
        <f>'Technical Skills Weighting'!#REF!+"`FU!yc"</f>
        <v>#REF!</v>
      </c>
      <c r="EJ43" t="e">
        <f>'Technical Skills Weighting'!#REF!+"`FU!yd"</f>
        <v>#REF!</v>
      </c>
      <c r="EK43" t="e">
        <f>'Technical Skills Weighting'!#REF!+"`FU!ye"</f>
        <v>#REF!</v>
      </c>
      <c r="EL43" t="e">
        <f>'Technical Skills Weighting'!#REF!+"`FU!yf"</f>
        <v>#REF!</v>
      </c>
      <c r="EM43" t="e">
        <f>'Technical Skills Weighting'!#REF!+"`FU!yg"</f>
        <v>#REF!</v>
      </c>
      <c r="EN43" t="e">
        <f>'Technical Skills Weighting'!#REF!+"`FU!yh"</f>
        <v>#REF!</v>
      </c>
      <c r="EO43" t="e">
        <f>'Technical Skills Weighting'!#REF!+"`FU!yi"</f>
        <v>#REF!</v>
      </c>
      <c r="EP43" t="e">
        <f>'Technical Skills Weighting'!#REF!+"`FU!yj"</f>
        <v>#REF!</v>
      </c>
      <c r="EQ43" t="e">
        <f>'Technical Skills Weighting'!#REF!+"`FU!yk"</f>
        <v>#REF!</v>
      </c>
      <c r="ER43" t="e">
        <f>'Technical Skills Weighting'!#REF!+"`FU!yl"</f>
        <v>#REF!</v>
      </c>
      <c r="ES43" t="e">
        <f>'Technical Skills Weighting'!#REF!+"`FU!ym"</f>
        <v>#REF!</v>
      </c>
      <c r="ET43" t="e">
        <f>'Technical Skills Weighting'!#REF!+"`FU!yn"</f>
        <v>#REF!</v>
      </c>
      <c r="EU43" t="e">
        <f>'Technical Skills Weighting'!#REF!+"`FU!yo"</f>
        <v>#REF!</v>
      </c>
      <c r="EV43" t="e">
        <f>'Technical Skills Weighting'!#REF!+"`FU!yp"</f>
        <v>#REF!</v>
      </c>
      <c r="EW43" t="e">
        <f>'Technical Skills Weighting'!#REF!+"`FU!yq"</f>
        <v>#REF!</v>
      </c>
      <c r="EX43" t="e">
        <f>'Technical Skills Weighting'!#REF!+"`FU!yr"</f>
        <v>#REF!</v>
      </c>
      <c r="EY43" t="e">
        <f>'Technical Skills Weighting'!#REF!+"`FU!ys"</f>
        <v>#REF!</v>
      </c>
      <c r="EZ43" t="e">
        <f>'Technical Skills Weighting'!#REF!+"`FU!yt"</f>
        <v>#REF!</v>
      </c>
      <c r="FA43" t="e">
        <f>'Technical Skills Weighting'!#REF!+"`FU!yu"</f>
        <v>#REF!</v>
      </c>
      <c r="FB43" t="e">
        <f>'Technical Skills Weighting'!#REF!+"`FU!yv"</f>
        <v>#REF!</v>
      </c>
      <c r="FC43" t="e">
        <f>'Technical Skills Weighting'!#REF!+"`FU!yw"</f>
        <v>#REF!</v>
      </c>
      <c r="FD43" t="e">
        <f>'Technical Skills Weighting'!#REF!+"`FU!yx"</f>
        <v>#REF!</v>
      </c>
      <c r="FE43" t="e">
        <f>'Technical Skills Weighting'!#REF!+"`FU!yy"</f>
        <v>#REF!</v>
      </c>
      <c r="FF43" t="e">
        <f>'Technical Skills Weighting'!#REF!+"`FU!yz"</f>
        <v>#REF!</v>
      </c>
      <c r="FG43" t="e">
        <f>'Technical Skills Weighting'!#REF!+"`FU!y{"</f>
        <v>#REF!</v>
      </c>
      <c r="FH43" t="e">
        <f>'Technical Skills Weighting'!#REF!+"`FU!y|"</f>
        <v>#REF!</v>
      </c>
      <c r="FI43" t="e">
        <f>'Technical Skills Weighting'!#REF!+"`FU!y}"</f>
        <v>#REF!</v>
      </c>
      <c r="FJ43" t="e">
        <f>'Technical Skills Weighting'!#REF!+"`FU!y~"</f>
        <v>#REF!</v>
      </c>
      <c r="FK43" t="e">
        <f>'Technical Skills Weighting'!#REF!+"`FU!z#"</f>
        <v>#REF!</v>
      </c>
      <c r="FL43" t="e">
        <f>'Technical Skills Weighting'!#REF!+"`FU!z$"</f>
        <v>#REF!</v>
      </c>
      <c r="FM43" t="e">
        <f>'Technical Skills Weighting'!#REF!+"`FU!z%"</f>
        <v>#REF!</v>
      </c>
      <c r="FN43" t="e">
        <f>'Technical Skills Weighting'!#REF!+"`FU!z&amp;"</f>
        <v>#REF!</v>
      </c>
      <c r="FO43" t="e">
        <f>'Technical Skills Weighting'!#REF!+"`FU!z'"</f>
        <v>#REF!</v>
      </c>
      <c r="FP43" t="e">
        <f>'Technical Skills Weighting'!#REF!+"`FU!z("</f>
        <v>#REF!</v>
      </c>
      <c r="FQ43" t="e">
        <f>'Technical Skills Weighting'!#REF!+"`FU!z)"</f>
        <v>#REF!</v>
      </c>
      <c r="FR43" t="e">
        <f>'Technical Skills Weighting'!#REF!+"`FU!z."</f>
        <v>#REF!</v>
      </c>
      <c r="FS43" t="e">
        <f>'Technical Skills Weighting'!#REF!+"`FU!z/"</f>
        <v>#REF!</v>
      </c>
      <c r="FT43" t="e">
        <f>'Technical Skills Weighting'!#REF!+"`FU!z0"</f>
        <v>#REF!</v>
      </c>
      <c r="FU43" t="e">
        <f>'Technical Skills Weighting'!#REF!+"`FU!z1"</f>
        <v>#REF!</v>
      </c>
      <c r="FV43" t="e">
        <f>'Technical Skills Weighting'!#REF!+"`FU!z2"</f>
        <v>#REF!</v>
      </c>
      <c r="FW43" t="e">
        <f>'Technical Skills Weighting'!#REF!+"`FU!z3"</f>
        <v>#REF!</v>
      </c>
      <c r="FX43" t="e">
        <f>'Technical Skills Weighting'!#REF!+"`FU!z4"</f>
        <v>#REF!</v>
      </c>
      <c r="FY43" t="e">
        <f>'Technical Skills Weighting'!#REF!+"`FU!z5"</f>
        <v>#REF!</v>
      </c>
      <c r="FZ43" t="e">
        <f>'Technical Skills Weighting'!#REF!+"`FU!z6"</f>
        <v>#REF!</v>
      </c>
      <c r="GA43" t="e">
        <f>'Technical Skills Weighting'!#REF!+"`FU!z7"</f>
        <v>#REF!</v>
      </c>
      <c r="GB43" t="e">
        <f>'Technical Skills Weighting'!#REF!+"`FU!z8"</f>
        <v>#REF!</v>
      </c>
      <c r="GC43" t="e">
        <f>'Technical Skills Weighting'!#REF!+"`FU!z9"</f>
        <v>#REF!</v>
      </c>
      <c r="GD43" t="e">
        <f>'Technical Skills Weighting'!#REF!+"`FU!z:"</f>
        <v>#REF!</v>
      </c>
      <c r="GE43" t="e">
        <f>'Technical Skills Weighting'!#REF!+"`FU!z;"</f>
        <v>#REF!</v>
      </c>
      <c r="GF43" t="e">
        <f>'Technical Skills Weighting'!#REF!+"`FU!z&lt;"</f>
        <v>#REF!</v>
      </c>
      <c r="GG43" t="e">
        <f>'Technical Skills Weighting'!#REF!+"`FU!z="</f>
        <v>#REF!</v>
      </c>
      <c r="GH43" t="e">
        <f>'Technical Skills Weighting'!#REF!+"`FU!z&gt;"</f>
        <v>#REF!</v>
      </c>
      <c r="GI43" t="e">
        <f>'Technical Skills Weighting'!#REF!+"`FU!z?"</f>
        <v>#REF!</v>
      </c>
      <c r="GJ43" t="e">
        <f>'Technical Skills Weighting'!#REF!+"`FU!z@"</f>
        <v>#REF!</v>
      </c>
      <c r="GK43" t="e">
        <f>'Technical Skills Weighting'!#REF!+"`FU!zA"</f>
        <v>#REF!</v>
      </c>
      <c r="GL43" t="e">
        <f>'Technical Skills Weighting'!#REF!+"`FU!zB"</f>
        <v>#REF!</v>
      </c>
      <c r="GM43" t="e">
        <f>'Technical Skills Weighting'!#REF!+"`FU!zC"</f>
        <v>#REF!</v>
      </c>
      <c r="GN43" t="e">
        <f>'Technical Skills Weighting'!#REF!+"`FU!zD"</f>
        <v>#REF!</v>
      </c>
      <c r="GO43" t="e">
        <f>'Technical Skills Weighting'!#REF!+"`FU!zE"</f>
        <v>#REF!</v>
      </c>
      <c r="GP43" t="e">
        <f>'Technical Skills Weighting'!#REF!+"`FU!zF"</f>
        <v>#REF!</v>
      </c>
      <c r="GQ43" t="e">
        <f>'Technical Skills Weighting'!#REF!+"`FU!zG"</f>
        <v>#REF!</v>
      </c>
      <c r="GR43" t="e">
        <f>'Technical Skills Weighting'!#REF!+"`FU!zH"</f>
        <v>#REF!</v>
      </c>
      <c r="GS43" t="e">
        <f>'Technical Skills Weighting'!#REF!+"`FU!zI"</f>
        <v>#REF!</v>
      </c>
      <c r="GT43" t="e">
        <f>'Technical Skills Weighting'!#REF!+"`FU!zJ"</f>
        <v>#REF!</v>
      </c>
      <c r="GU43" t="e">
        <f>'Technical Skills Weighting'!#REF!+"`FU!zK"</f>
        <v>#REF!</v>
      </c>
      <c r="GV43" t="e">
        <f>'Technical Skills Weighting'!#REF!+"`FU!zL"</f>
        <v>#REF!</v>
      </c>
      <c r="GW43" t="e">
        <f>'Technical Skills Weighting'!#REF!+"`FU!zM"</f>
        <v>#REF!</v>
      </c>
      <c r="GX43" t="e">
        <f>'Technical Skills Weighting'!#REF!+"`FU!zN"</f>
        <v>#REF!</v>
      </c>
      <c r="GY43" t="e">
        <f>'Technical Skills Weighting'!#REF!+"`FU!zO"</f>
        <v>#REF!</v>
      </c>
      <c r="GZ43" t="e">
        <f>'Technical Skills Weighting'!#REF!+"`FU!zP"</f>
        <v>#REF!</v>
      </c>
      <c r="HA43" t="e">
        <f>'Technical Skills Weighting'!#REF!+"`FU!zQ"</f>
        <v>#REF!</v>
      </c>
      <c r="HB43" t="e">
        <f>'Technical Skills Weighting'!#REF!+"`FU!zR"</f>
        <v>#REF!</v>
      </c>
      <c r="HC43" t="e">
        <f>'Technical Skills Weighting'!#REF!+"`FU!zS"</f>
        <v>#REF!</v>
      </c>
      <c r="HD43" t="e">
        <f>'Technical Skills Weighting'!#REF!+"`FU!zT"</f>
        <v>#REF!</v>
      </c>
      <c r="HE43" t="e">
        <f>'Technical Skills Weighting'!#REF!+"`FU!zU"</f>
        <v>#REF!</v>
      </c>
      <c r="HF43" t="e">
        <f>'Technical Skills Weighting'!#REF!+"`FU!zV"</f>
        <v>#REF!</v>
      </c>
      <c r="HG43" t="e">
        <f>'Technical Skills Weighting'!#REF!+"`FU!zW"</f>
        <v>#REF!</v>
      </c>
      <c r="HH43" t="e">
        <f>'Technical Skills Weighting'!#REF!+"`FU!zX"</f>
        <v>#REF!</v>
      </c>
      <c r="HI43" t="e">
        <f>'Technical Skills Weighting'!#REF!+"`FU!zY"</f>
        <v>#REF!</v>
      </c>
      <c r="HJ43" t="e">
        <f>'Technical Skills Weighting'!#REF!+"`FU!zZ"</f>
        <v>#REF!</v>
      </c>
      <c r="HK43" t="e">
        <f>'Technical Skills Weighting'!#REF!+"`FU!z["</f>
        <v>#REF!</v>
      </c>
      <c r="HL43" t="e">
        <f>'Technical Skills Weighting'!#REF!+"`FU!z\"</f>
        <v>#REF!</v>
      </c>
      <c r="HM43" t="e">
        <f>'Technical Skills Weighting'!#REF!+"`FU!z]"</f>
        <v>#REF!</v>
      </c>
      <c r="HN43" t="e">
        <f>'Technical Skills Weighting'!#REF!+"`FU!z^"</f>
        <v>#REF!</v>
      </c>
      <c r="HO43" t="e">
        <f>'Technical Skills Weighting'!#REF!+"`FU!z_"</f>
        <v>#REF!</v>
      </c>
      <c r="HP43" t="e">
        <f>'Technical Skills Weighting'!#REF!+"`FU!z`"</f>
        <v>#REF!</v>
      </c>
      <c r="HQ43" t="e">
        <f>'Technical Skills Weighting'!#REF!+"`FU!za"</f>
        <v>#REF!</v>
      </c>
      <c r="HR43" t="e">
        <f>'Technical Skills Weighting'!#REF!+"`FU!zb"</f>
        <v>#REF!</v>
      </c>
      <c r="HS43" t="e">
        <f>'Technical Skills Weighting'!#REF!+"`FU!zc"</f>
        <v>#REF!</v>
      </c>
      <c r="HT43" t="e">
        <f>'Technical Skills Weighting'!#REF!+"`FU!zd"</f>
        <v>#REF!</v>
      </c>
      <c r="HU43" t="e">
        <f>'Technical Skills Weighting'!#REF!+"`FU!ze"</f>
        <v>#REF!</v>
      </c>
      <c r="HV43" t="e">
        <f>'Technical Skills Weighting'!#REF!+"`FU!zf"</f>
        <v>#REF!</v>
      </c>
      <c r="HW43" t="e">
        <f>'Technical Skills Weighting'!#REF!+"`FU!zg"</f>
        <v>#REF!</v>
      </c>
      <c r="HX43" t="e">
        <f>'Technical Skills Weighting'!#REF!+"`FU!zh"</f>
        <v>#REF!</v>
      </c>
      <c r="HY43" t="e">
        <f>'Technical Skills Weighting'!#REF!+"`FU!zi"</f>
        <v>#REF!</v>
      </c>
      <c r="HZ43" t="e">
        <f>'Technical Skills Weighting'!#REF!+"`FU!zj"</f>
        <v>#REF!</v>
      </c>
      <c r="IA43" t="e">
        <f>'Technical Skills Weighting'!#REF!+"`FU!zk"</f>
        <v>#REF!</v>
      </c>
      <c r="IB43" t="e">
        <f>'Technical Skills Weighting'!#REF!+"`FU!zl"</f>
        <v>#REF!</v>
      </c>
      <c r="IC43" t="e">
        <f>'Technical Skills Weighting'!#REF!+"`FU!zm"</f>
        <v>#REF!</v>
      </c>
      <c r="ID43" t="e">
        <f>'Technical Skills Weighting'!#REF!+"`FU!zn"</f>
        <v>#REF!</v>
      </c>
      <c r="IE43" t="e">
        <f>'Technical Skills Weighting'!#REF!+"`FU!zo"</f>
        <v>#REF!</v>
      </c>
      <c r="IF43" t="e">
        <f>'Technical Skills Weighting'!#REF!+"`FU!zp"</f>
        <v>#REF!</v>
      </c>
      <c r="IG43" t="e">
        <f>'Technical Skills Weighting'!#REF!+"`FU!zq"</f>
        <v>#REF!</v>
      </c>
      <c r="IH43" t="e">
        <f>'Technical Skills Weighting'!#REF!+"`FU!zr"</f>
        <v>#REF!</v>
      </c>
      <c r="II43" t="e">
        <f>'Technical Skills Weighting'!#REF!+"`FU!zs"</f>
        <v>#REF!</v>
      </c>
      <c r="IJ43" t="e">
        <f>'Technical Skills Weighting'!#REF!+"`FU!zt"</f>
        <v>#REF!</v>
      </c>
      <c r="IK43" t="e">
        <f>'Technical Skills Weighting'!#REF!+"`FU!zu"</f>
        <v>#REF!</v>
      </c>
      <c r="IL43" t="e">
        <f>'Technical Skills Weighting'!#REF!+"`FU!zv"</f>
        <v>#REF!</v>
      </c>
      <c r="IM43" t="e">
        <f>'Technical Skills Weighting'!#REF!+"`FU!zw"</f>
        <v>#REF!</v>
      </c>
      <c r="IN43" t="e">
        <f>'Technical Skills Weighting'!#REF!+"`FU!zx"</f>
        <v>#REF!</v>
      </c>
      <c r="IO43" t="e">
        <f>'Technical Skills Weighting'!#REF!+"`FU!zy"</f>
        <v>#REF!</v>
      </c>
      <c r="IP43" t="e">
        <f>'Technical Skills Weighting'!#REF!+"`FU!zz"</f>
        <v>#REF!</v>
      </c>
      <c r="IQ43" t="e">
        <f>'Technical Skills Weighting'!#REF!+"`FU!z{"</f>
        <v>#REF!</v>
      </c>
      <c r="IR43" t="e">
        <f>'Technical Skills Weighting'!#REF!+"`FU!z|"</f>
        <v>#REF!</v>
      </c>
      <c r="IS43" t="e">
        <f>'Technical Skills Weighting'!#REF!+"`FU!z}"</f>
        <v>#REF!</v>
      </c>
      <c r="IT43" t="e">
        <f>'Technical Skills Weighting'!#REF!+"`FU!z~"</f>
        <v>#REF!</v>
      </c>
      <c r="IU43" t="e">
        <f>'Technical Skills Weighting'!#REF!+"`FU!{#"</f>
        <v>#REF!</v>
      </c>
      <c r="IV43" t="e">
        <f>'Technical Skills Weighting'!#REF!+"`FU!{$"</f>
        <v>#REF!</v>
      </c>
    </row>
    <row r="44" spans="6:256" x14ac:dyDescent="0.25">
      <c r="F44" t="e">
        <f>'Technical Skills Weighting'!#REF!+"`FU!{%"</f>
        <v>#REF!</v>
      </c>
      <c r="G44" t="e">
        <f>'Technical Skills Weighting'!#REF!+"`FU!{&amp;"</f>
        <v>#REF!</v>
      </c>
      <c r="H44" t="e">
        <f>'Technical Skills Weighting'!#REF!+"`FU!{'"</f>
        <v>#REF!</v>
      </c>
      <c r="I44" t="e">
        <f>'Technical Skills Weighting'!#REF!+"`FU!{("</f>
        <v>#REF!</v>
      </c>
      <c r="J44" t="e">
        <f>'Technical Skills Weighting'!#REF!+"`FU!{)"</f>
        <v>#REF!</v>
      </c>
      <c r="K44" t="e">
        <f>'Technical Skills Weighting'!#REF!+"`FU!{."</f>
        <v>#REF!</v>
      </c>
      <c r="L44" t="e">
        <f>'Technical Skills Weighting'!#REF!+"`FU!{/"</f>
        <v>#REF!</v>
      </c>
      <c r="M44" t="e">
        <f>'Technical Skills Weighting'!#REF!+"`FU!{0"</f>
        <v>#REF!</v>
      </c>
      <c r="N44" t="e">
        <f>'Technical Skills Weighting'!#REF!+"`FU!{1"</f>
        <v>#REF!</v>
      </c>
      <c r="O44" t="e">
        <f>'Technical Skills Weighting'!#REF!+"`FU!{2"</f>
        <v>#REF!</v>
      </c>
      <c r="P44" t="e">
        <f>'Technical Skills Weighting'!#REF!+"`FU!{3"</f>
        <v>#REF!</v>
      </c>
      <c r="Q44" t="e">
        <f>'Technical Skills Weighting'!#REF!+"`FU!{4"</f>
        <v>#REF!</v>
      </c>
      <c r="R44" t="e">
        <f>'Technical Skills Weighting'!#REF!+"`FU!{5"</f>
        <v>#REF!</v>
      </c>
      <c r="S44" t="e">
        <f>'Technical Skills Weighting'!#REF!+"`FU!{6"</f>
        <v>#REF!</v>
      </c>
      <c r="T44" t="e">
        <f>'Technical Skills Weighting'!#REF!+"`FU!{7"</f>
        <v>#REF!</v>
      </c>
      <c r="U44" t="e">
        <f>'Technical Skills Weighting'!#REF!+"`FU!{8"</f>
        <v>#REF!</v>
      </c>
      <c r="V44" t="e">
        <f>'Technical Skills Weighting'!#REF!+"`FU!{9"</f>
        <v>#REF!</v>
      </c>
      <c r="W44" t="e">
        <f>'Technical Skills Weighting'!#REF!+"`FU!{:"</f>
        <v>#REF!</v>
      </c>
      <c r="X44" t="e">
        <f>'Technical Skills Weighting'!#REF!+"`FU!{;"</f>
        <v>#REF!</v>
      </c>
      <c r="Y44" t="e">
        <f>'Technical Skills Weighting'!#REF!+"`FU!{&lt;"</f>
        <v>#REF!</v>
      </c>
      <c r="Z44" t="e">
        <f>'Technical Skills Weighting'!#REF!+"`FU!{="</f>
        <v>#REF!</v>
      </c>
      <c r="AA44" t="e">
        <f>'Technical Skills Weighting'!#REF!+"`FU!{&gt;"</f>
        <v>#REF!</v>
      </c>
      <c r="AB44" t="e">
        <f>'Technical Skills Weighting'!#REF!+"`FU!{?"</f>
        <v>#REF!</v>
      </c>
      <c r="AC44" t="e">
        <f>'Technical Skills Weighting'!#REF!+"`FU!{@"</f>
        <v>#REF!</v>
      </c>
      <c r="AD44" t="e">
        <f>'Technical Skills Weighting'!#REF!+"`FU!{A"</f>
        <v>#REF!</v>
      </c>
      <c r="AE44" t="e">
        <f>'Technical Skills Weighting'!#REF!+"`FU!{B"</f>
        <v>#REF!</v>
      </c>
      <c r="AF44" t="e">
        <f>'Technical Skills Weighting'!#REF!+"`FU!{C"</f>
        <v>#REF!</v>
      </c>
      <c r="AG44" t="e">
        <f>'Technical Skills Weighting'!#REF!+"`FU!{D"</f>
        <v>#REF!</v>
      </c>
      <c r="AH44" t="e">
        <f>'Technical Skills Weighting'!#REF!+"`FU!{E"</f>
        <v>#REF!</v>
      </c>
      <c r="AI44" t="e">
        <f>'Technical Skills Weighting'!#REF!+"`FU!{F"</f>
        <v>#REF!</v>
      </c>
      <c r="AJ44" t="e">
        <f>'Technical Skills Weighting'!#REF!+"`FU!{G"</f>
        <v>#REF!</v>
      </c>
      <c r="AK44" t="e">
        <f>'Technical Skills Weighting'!#REF!+"`FU!{H"</f>
        <v>#REF!</v>
      </c>
      <c r="AL44" t="e">
        <f>'Technical Skills Weighting'!#REF!+"`FU!{I"</f>
        <v>#REF!</v>
      </c>
      <c r="AM44" t="e">
        <f>'Technical Skills Weighting'!#REF!+"`FU!{J"</f>
        <v>#REF!</v>
      </c>
      <c r="AN44" t="e">
        <f>'Technical Skills Weighting'!#REF!+"`FU!{K"</f>
        <v>#REF!</v>
      </c>
      <c r="AO44" t="e">
        <f>'Technical Skills Weighting'!#REF!+"`FU!{L"</f>
        <v>#REF!</v>
      </c>
      <c r="AP44" t="e">
        <f>'Technical Skills Weighting'!#REF!+"`FU!{M"</f>
        <v>#REF!</v>
      </c>
      <c r="AQ44" t="e">
        <f>'Technical Skills Weighting'!#REF!+"`FU!{N"</f>
        <v>#REF!</v>
      </c>
      <c r="AR44" t="e">
        <f>'Technical Skills Weighting'!#REF!+"`FU!{O"</f>
        <v>#REF!</v>
      </c>
      <c r="AS44" t="e">
        <f>'Technical Skills Weighting'!#REF!+"`FU!{P"</f>
        <v>#REF!</v>
      </c>
      <c r="AT44" t="e">
        <f>'Technical Skills Weighting'!#REF!+"`FU!{Q"</f>
        <v>#REF!</v>
      </c>
      <c r="AU44" t="e">
        <f>'Technical Skills Weighting'!#REF!+"`FU!{R"</f>
        <v>#REF!</v>
      </c>
      <c r="AV44" t="e">
        <f>'Technical Skills Weighting'!#REF!+"`FU!{S"</f>
        <v>#REF!</v>
      </c>
      <c r="AW44" t="e">
        <f>'Technical Skills Weighting'!#REF!+"`FU!{T"</f>
        <v>#REF!</v>
      </c>
      <c r="AX44" t="e">
        <f>'Technical Skills Weighting'!#REF!+"`FU!{U"</f>
        <v>#REF!</v>
      </c>
      <c r="AY44" t="e">
        <f>'Technical Skills Weighting'!#REF!+"`FU!{V"</f>
        <v>#REF!</v>
      </c>
      <c r="AZ44" t="e">
        <f>'Technical Skills Weighting'!#REF!+"`FU!{W"</f>
        <v>#REF!</v>
      </c>
      <c r="BA44" t="e">
        <f>'Technical Skills Weighting'!#REF!+"`FU!{X"</f>
        <v>#REF!</v>
      </c>
      <c r="BB44" t="e">
        <f>'Technical Skills Weighting'!#REF!+"`FU!{Y"</f>
        <v>#REF!</v>
      </c>
      <c r="BC44" t="e">
        <f>'Technical Skills Weighting'!#REF!+"`FU!{Z"</f>
        <v>#REF!</v>
      </c>
      <c r="BD44" t="e">
        <f>'Technical Skills Weighting'!#REF!+"`FU!{["</f>
        <v>#REF!</v>
      </c>
      <c r="BE44" t="e">
        <f>'Technical Skills Weighting'!#REF!+"`FU!{\"</f>
        <v>#REF!</v>
      </c>
      <c r="BF44" t="e">
        <f>'Technical Skills Weighting'!#REF!+"`FU!{]"</f>
        <v>#REF!</v>
      </c>
      <c r="BG44" t="e">
        <f>'Technical Skills Weighting'!#REF!+"`FU!{^"</f>
        <v>#REF!</v>
      </c>
      <c r="BH44" t="e">
        <f>'Technical Skills Weighting'!#REF!+"`FU!{_"</f>
        <v>#REF!</v>
      </c>
      <c r="BI44" t="e">
        <f>'Technical Skills Weighting'!#REF!+"`FU!{`"</f>
        <v>#REF!</v>
      </c>
      <c r="BJ44" t="e">
        <f>'Technical Skills Weighting'!#REF!+"`FU!{a"</f>
        <v>#REF!</v>
      </c>
      <c r="BK44" t="e">
        <f>'Technical Skills Weighting'!#REF!+"`FU!{b"</f>
        <v>#REF!</v>
      </c>
      <c r="BL44" t="e">
        <f>'Technical Skills Weighting'!#REF!+"`FU!{c"</f>
        <v>#REF!</v>
      </c>
      <c r="BM44" t="e">
        <f>'Technical Skills Weighting'!#REF!+"`FU!{d"</f>
        <v>#REF!</v>
      </c>
      <c r="BN44" t="e">
        <f>'Technical Skills Weighting'!#REF!+"`FU!{e"</f>
        <v>#REF!</v>
      </c>
      <c r="BO44" t="e">
        <f>'Technical Skills Weighting'!#REF!+"`FU!{f"</f>
        <v>#REF!</v>
      </c>
      <c r="BP44" t="e">
        <f>'Technical Skills Weighting'!#REF!+"`FU!{g"</f>
        <v>#REF!</v>
      </c>
      <c r="BQ44" t="e">
        <f>'Technical Skills Weighting'!#REF!+"`FU!{h"</f>
        <v>#REF!</v>
      </c>
      <c r="BR44" t="e">
        <f>'Technical Skills Weighting'!#REF!+"`FU!{i"</f>
        <v>#REF!</v>
      </c>
      <c r="BS44" t="e">
        <f>'Technical Skills Weighting'!#REF!+"`FU!{j"</f>
        <v>#REF!</v>
      </c>
      <c r="BT44" t="e">
        <f>'Technical Skills Weighting'!#REF!+"`FU!{k"</f>
        <v>#REF!</v>
      </c>
      <c r="BU44" t="e">
        <f>'Technical Skills Weighting'!#REF!+"`FU!{l"</f>
        <v>#REF!</v>
      </c>
      <c r="BV44" t="e">
        <f>'Technical Skills Weighting'!#REF!+"`FU!{m"</f>
        <v>#REF!</v>
      </c>
      <c r="BW44" t="e">
        <f>'Technical Skills Weighting'!#REF!+"`FU!{n"</f>
        <v>#REF!</v>
      </c>
      <c r="BX44" t="e">
        <f>'Technical Skills Weighting'!#REF!+"`FU!{o"</f>
        <v>#REF!</v>
      </c>
      <c r="BY44" t="e">
        <f>'Technical Skills Weighting'!#REF!+"`FU!{p"</f>
        <v>#REF!</v>
      </c>
      <c r="BZ44" t="e">
        <f>'Technical Skills Weighting'!#REF!+"`FU!{q"</f>
        <v>#REF!</v>
      </c>
      <c r="CA44" t="e">
        <f>'Technical Skills Weighting'!#REF!+"`FU!{r"</f>
        <v>#REF!</v>
      </c>
      <c r="CB44" t="e">
        <f>'Technical Skills Weighting'!#REF!+"`FU!{s"</f>
        <v>#REF!</v>
      </c>
      <c r="CC44" t="e">
        <f>'Technical Skills Weighting'!#REF!+"`FU!{t"</f>
        <v>#REF!</v>
      </c>
      <c r="CD44" t="e">
        <f>'Technical Skills Weighting'!#REF!+"`FU!{u"</f>
        <v>#REF!</v>
      </c>
      <c r="CE44" t="e">
        <f>'Technical Skills Weighting'!#REF!+"`FU!{v"</f>
        <v>#REF!</v>
      </c>
      <c r="CF44" t="e">
        <f>'Technical Skills Weighting'!#REF!+"`FU!{w"</f>
        <v>#REF!</v>
      </c>
      <c r="CG44" t="e">
        <f>'Technical Skills Weighting'!#REF!+"`FU!{x"</f>
        <v>#REF!</v>
      </c>
      <c r="CH44" t="e">
        <f>'Technical Skills Weighting'!#REF!+"`FU!{y"</f>
        <v>#REF!</v>
      </c>
      <c r="CI44" t="e">
        <f>'Technical Skills Weighting'!#REF!+"`FU!{z"</f>
        <v>#REF!</v>
      </c>
      <c r="CJ44" t="e">
        <f>'Technical Skills Weighting'!#REF!+"`FU!{{"</f>
        <v>#REF!</v>
      </c>
      <c r="CK44" t="e">
        <f>'Technical Skills Weighting'!#REF!+"`FU!{|"</f>
        <v>#REF!</v>
      </c>
      <c r="CL44" t="e">
        <f>'Technical Skills Weighting'!#REF!+"`FU!{}"</f>
        <v>#REF!</v>
      </c>
      <c r="CM44" t="e">
        <f>'Technical Skills Weighting'!#REF!+"`FU!{~"</f>
        <v>#REF!</v>
      </c>
      <c r="CN44" t="e">
        <f>'Technical Skills Weighting'!#REF!+"`FU!|#"</f>
        <v>#REF!</v>
      </c>
      <c r="CO44" t="e">
        <f>'Technical Skills Weighting'!#REF!+"`FU!|$"</f>
        <v>#REF!</v>
      </c>
      <c r="CP44" t="e">
        <f>'Technical Skills Weighting'!#REF!+"`FU!|%"</f>
        <v>#REF!</v>
      </c>
      <c r="CQ44" t="e">
        <f>'Technical Skills Weighting'!#REF!+"`FU!|&amp;"</f>
        <v>#REF!</v>
      </c>
      <c r="CR44" t="e">
        <f>'Technical Skills Weighting'!#REF!+"`FU!|'"</f>
        <v>#REF!</v>
      </c>
      <c r="CS44" t="e">
        <f>'Technical Skills Weighting'!#REF!+"`FU!|("</f>
        <v>#REF!</v>
      </c>
      <c r="CT44" t="e">
        <f>'Technical Skills Weighting'!#REF!+"`FU!|)"</f>
        <v>#REF!</v>
      </c>
      <c r="CU44" t="e">
        <f>'Technical Skills Weighting'!#REF!+"`FU!|."</f>
        <v>#REF!</v>
      </c>
      <c r="CV44" t="e">
        <f>'Technical Skills Weighting'!#REF!+"`FU!|/"</f>
        <v>#REF!</v>
      </c>
      <c r="CW44" t="e">
        <f>'Technical Skills Weighting'!#REF!+"`FU!|0"</f>
        <v>#REF!</v>
      </c>
      <c r="CX44" t="e">
        <f>'Technical Skills Weighting'!#REF!+"`FU!|1"</f>
        <v>#REF!</v>
      </c>
      <c r="CY44" t="e">
        <f>'Technical Skills Weighting'!#REF!+"`FU!|2"</f>
        <v>#REF!</v>
      </c>
      <c r="CZ44" t="e">
        <f>'Technical Skills Weighting'!#REF!+"`FU!|3"</f>
        <v>#REF!</v>
      </c>
      <c r="DA44" t="e">
        <f>'Technical Skills Weighting'!#REF!+"`FU!|4"</f>
        <v>#REF!</v>
      </c>
      <c r="DB44" t="e">
        <f>'Technical Skills Weighting'!#REF!+"`FU!|5"</f>
        <v>#REF!</v>
      </c>
      <c r="DC44" t="e">
        <f>'Technical Skills Weighting'!#REF!+"`FU!|6"</f>
        <v>#REF!</v>
      </c>
      <c r="DD44" t="e">
        <f>'Technical Skills Weighting'!#REF!+"`FU!|7"</f>
        <v>#REF!</v>
      </c>
      <c r="DE44" t="e">
        <f>'Technical Skills Weighting'!#REF!+"`FU!|8"</f>
        <v>#REF!</v>
      </c>
      <c r="DF44" t="e">
        <f>'Technical Skills Weighting'!#REF!+"`FU!|9"</f>
        <v>#REF!</v>
      </c>
      <c r="DG44" t="e">
        <f>'Technical Skills Weighting'!#REF!+"`FU!|:"</f>
        <v>#REF!</v>
      </c>
      <c r="DH44" t="e">
        <f>'Technical Skills Weighting'!#REF!+"`FU!|;"</f>
        <v>#REF!</v>
      </c>
      <c r="DI44" t="e">
        <f>'Technical Skills Weighting'!#REF!+"`FU!|&lt;"</f>
        <v>#REF!</v>
      </c>
      <c r="DJ44" t="e">
        <f>'Technical Skills Weighting'!#REF!+"`FU!|="</f>
        <v>#REF!</v>
      </c>
      <c r="DK44" t="e">
        <f>'Technical Skills Weighting'!#REF!+"`FU!|&gt;"</f>
        <v>#REF!</v>
      </c>
      <c r="DL44" t="e">
        <f>'Technical Skills Weighting'!#REF!+"`FU!|?"</f>
        <v>#REF!</v>
      </c>
      <c r="DM44" t="e">
        <f>'Technical Skills Weighting'!#REF!+"`FU!|@"</f>
        <v>#REF!</v>
      </c>
      <c r="DN44" t="e">
        <f>'Technical Skills Weighting'!#REF!+"`FU!|A"</f>
        <v>#REF!</v>
      </c>
      <c r="DO44" t="e">
        <f>'Technical Skills Weighting'!#REF!+"`FU!|B"</f>
        <v>#REF!</v>
      </c>
      <c r="DP44" t="e">
        <f>'Technical Skills Weighting'!#REF!+"`FU!|C"</f>
        <v>#REF!</v>
      </c>
      <c r="DQ44" t="e">
        <f>'Technical Skills Weighting'!#REF!+"`FU!|D"</f>
        <v>#REF!</v>
      </c>
      <c r="DR44" t="e">
        <f>'Technical Skills Weighting'!#REF!+"`FU!|E"</f>
        <v>#REF!</v>
      </c>
      <c r="DS44" t="e">
        <f>'Technical Skills Weighting'!#REF!+"`FU!|F"</f>
        <v>#REF!</v>
      </c>
      <c r="DT44" t="e">
        <f>'Technical Skills Weighting'!#REF!+"`FU!|G"</f>
        <v>#REF!</v>
      </c>
      <c r="DU44" t="e">
        <f>'Technical Skills Weighting'!#REF!+"`FU!|H"</f>
        <v>#REF!</v>
      </c>
      <c r="DV44" t="e">
        <f>'Technical Skills Weighting'!#REF!+"`FU!|I"</f>
        <v>#REF!</v>
      </c>
      <c r="DW44" t="e">
        <f>'Technical Skills Weighting'!#REF!+"`FU!|J"</f>
        <v>#REF!</v>
      </c>
      <c r="DX44" t="e">
        <f>'Technical Skills Weighting'!#REF!+"`FU!|K"</f>
        <v>#REF!</v>
      </c>
      <c r="DY44" t="e">
        <f>'Technical Skills Weighting'!#REF!+"`FU!|L"</f>
        <v>#REF!</v>
      </c>
      <c r="DZ44" t="e">
        <f>'Technical Skills Weighting'!#REF!+"`FU!|M"</f>
        <v>#REF!</v>
      </c>
      <c r="EA44" t="e">
        <f>'Technical Skills Weighting'!#REF!+"`FU!|N"</f>
        <v>#REF!</v>
      </c>
      <c r="EB44" t="e">
        <f>'Technical Skills Weighting'!#REF!+"`FU!|O"</f>
        <v>#REF!</v>
      </c>
      <c r="EC44" t="e">
        <f>'Technical Skills Weighting'!#REF!+"`FU!|P"</f>
        <v>#REF!</v>
      </c>
      <c r="ED44" t="e">
        <f>'Technical Skills Weighting'!#REF!+"`FU!|Q"</f>
        <v>#REF!</v>
      </c>
      <c r="EE44" t="e">
        <f>'Technical Skills Weighting'!#REF!+"`FU!|R"</f>
        <v>#REF!</v>
      </c>
      <c r="EF44" t="e">
        <f>'Technical Skills Weighting'!#REF!+"`FU!|S"</f>
        <v>#REF!</v>
      </c>
      <c r="EG44" t="e">
        <f>'Technical Skills Weighting'!#REF!+"`FU!|T"</f>
        <v>#REF!</v>
      </c>
      <c r="EH44" t="e">
        <f>'Technical Skills Weighting'!#REF!+"`FU!|U"</f>
        <v>#REF!</v>
      </c>
      <c r="EI44" t="e">
        <f>'Technical Skills Weighting'!#REF!+"`FU!|V"</f>
        <v>#REF!</v>
      </c>
      <c r="EJ44" t="e">
        <f>'Technical Skills Weighting'!#REF!+"`FU!|W"</f>
        <v>#REF!</v>
      </c>
      <c r="EK44" t="e">
        <f>'Technical Skills Weighting'!#REF!+"`FU!|X"</f>
        <v>#REF!</v>
      </c>
      <c r="EL44" t="e">
        <f>'Technical Skills Weighting'!#REF!+"`FU!|Y"</f>
        <v>#REF!</v>
      </c>
      <c r="EM44" t="e">
        <f>'Technical Skills Weighting'!#REF!+"`FU!|Z"</f>
        <v>#REF!</v>
      </c>
      <c r="EN44" t="e">
        <f>'Technical Skills Weighting'!#REF!+"`FU!|["</f>
        <v>#REF!</v>
      </c>
      <c r="EO44" t="e">
        <f>'Technical Skills Weighting'!#REF!+"`FU!|\"</f>
        <v>#REF!</v>
      </c>
      <c r="EP44" t="e">
        <f>'Technical Skills Weighting'!#REF!+"`FU!|]"</f>
        <v>#REF!</v>
      </c>
      <c r="EQ44" t="e">
        <f>'Technical Skills Weighting'!#REF!+"`FU!|^"</f>
        <v>#REF!</v>
      </c>
      <c r="ER44" t="e">
        <f>'Technical Skills Weighting'!#REF!+"`FU!|_"</f>
        <v>#REF!</v>
      </c>
      <c r="ES44" t="e">
        <f>'Technical Skills Weighting'!#REF!+"`FU!|`"</f>
        <v>#REF!</v>
      </c>
      <c r="ET44" t="e">
        <f>'Technical Skills Weighting'!#REF!+"`FU!|a"</f>
        <v>#REF!</v>
      </c>
      <c r="EU44" t="e">
        <f>'Technical Skills Weighting'!#REF!+"`FU!|b"</f>
        <v>#REF!</v>
      </c>
      <c r="EV44" t="e">
        <f>'Technical Skills Weighting'!#REF!+"`FU!|c"</f>
        <v>#REF!</v>
      </c>
      <c r="EW44" t="e">
        <f>'Technical Skills Weighting'!#REF!+"`FU!|d"</f>
        <v>#REF!</v>
      </c>
      <c r="EX44" t="e">
        <f>'Technical Skills Weighting'!#REF!+"`FU!|e"</f>
        <v>#REF!</v>
      </c>
      <c r="EY44" t="e">
        <f>'Technical Skills Weighting'!#REF!+"`FU!|f"</f>
        <v>#REF!</v>
      </c>
      <c r="EZ44" t="e">
        <f>'Technical Skills Weighting'!#REF!+"`FU!|g"</f>
        <v>#REF!</v>
      </c>
      <c r="FA44" t="e">
        <f>'Technical Skills Weighting'!#REF!+"`FU!|h"</f>
        <v>#REF!</v>
      </c>
      <c r="FB44" t="e">
        <f>'Technical Skills Weighting'!#REF!+"`FU!|i"</f>
        <v>#REF!</v>
      </c>
      <c r="FC44" t="e">
        <f>'Technical Skills Weighting'!#REF!+"`FU!|j"</f>
        <v>#REF!</v>
      </c>
      <c r="FD44" t="e">
        <f>'Technical Skills Weighting'!#REF!+"`FU!|k"</f>
        <v>#REF!</v>
      </c>
      <c r="FE44" t="e">
        <f>'Technical Skills Weighting'!#REF!+"`FU!|l"</f>
        <v>#REF!</v>
      </c>
      <c r="FF44" t="e">
        <f>'Technical Skills Weighting'!#REF!+"`FU!|m"</f>
        <v>#REF!</v>
      </c>
      <c r="FG44" t="e">
        <f>'Technical Skills Weighting'!#REF!+"`FU!|n"</f>
        <v>#REF!</v>
      </c>
      <c r="FH44" t="e">
        <f>'Technical Skills Weighting'!#REF!+"`FU!|o"</f>
        <v>#REF!</v>
      </c>
      <c r="FI44" t="e">
        <f>'Technical Skills Weighting'!#REF!+"`FU!|p"</f>
        <v>#REF!</v>
      </c>
      <c r="FJ44" t="e">
        <f>'Technical Skills Weighting'!#REF!+"`FU!|q"</f>
        <v>#REF!</v>
      </c>
      <c r="FK44" t="e">
        <f>'Technical Skills Weighting'!#REF!+"`FU!|r"</f>
        <v>#REF!</v>
      </c>
      <c r="FL44" t="e">
        <f>'Technical Skills Weighting'!#REF!+"`FU!|s"</f>
        <v>#REF!</v>
      </c>
      <c r="FM44" t="e">
        <f>'Technical Skills Weighting'!#REF!+"`FU!|t"</f>
        <v>#REF!</v>
      </c>
      <c r="FN44" t="e">
        <f>'Technical Skills Weighting'!#REF!+"`FU!|u"</f>
        <v>#REF!</v>
      </c>
      <c r="FO44" t="e">
        <f>'Technical Skills Weighting'!#REF!+"`FU!|v"</f>
        <v>#REF!</v>
      </c>
      <c r="FP44" t="e">
        <f>'Technical Skills Weighting'!#REF!+"`FU!|w"</f>
        <v>#REF!</v>
      </c>
      <c r="FQ44" t="e">
        <f>'Technical Skills Weighting'!#REF!+"`FU!|x"</f>
        <v>#REF!</v>
      </c>
      <c r="FR44" t="e">
        <f>'Technical Skills Weighting'!#REF!+"`FU!|y"</f>
        <v>#REF!</v>
      </c>
      <c r="FS44" t="e">
        <f>'Technical Skills Weighting'!#REF!+"`FU!|z"</f>
        <v>#REF!</v>
      </c>
      <c r="FT44" t="e">
        <f>'Technical Skills Weighting'!#REF!+"`FU!|{"</f>
        <v>#REF!</v>
      </c>
      <c r="FU44" t="e">
        <f>'Technical Skills Weighting'!#REF!+"`FU!||"</f>
        <v>#REF!</v>
      </c>
      <c r="FV44" t="e">
        <f>'Technical Skills Weighting'!#REF!+"`FU!|}"</f>
        <v>#REF!</v>
      </c>
      <c r="FW44" t="e">
        <f>'Technical Skills Weighting'!#REF!+"`FU!|~"</f>
        <v>#REF!</v>
      </c>
      <c r="FX44" t="e">
        <f>'Technical Skills Weighting'!#REF!+"`FU!}#"</f>
        <v>#REF!</v>
      </c>
      <c r="FY44" t="e">
        <f>'Technical Skills Weighting'!#REF!+"`FU!}$"</f>
        <v>#REF!</v>
      </c>
      <c r="FZ44" t="e">
        <f>'Technical Skills Weighting'!#REF!+"`FU!}%"</f>
        <v>#REF!</v>
      </c>
      <c r="GA44" t="e">
        <f>'Technical Skills Weighting'!#REF!+"`FU!}&amp;"</f>
        <v>#REF!</v>
      </c>
      <c r="GB44" t="e">
        <f>'Technical Skills Weighting'!#REF!+"`FU!}'"</f>
        <v>#REF!</v>
      </c>
      <c r="GC44" t="e">
        <f>'Technical Skills Weighting'!#REF!+"`FU!}("</f>
        <v>#REF!</v>
      </c>
      <c r="GD44" t="e">
        <f>'Technical Skills Weighting'!#REF!+"`FU!})"</f>
        <v>#REF!</v>
      </c>
      <c r="GE44" t="e">
        <f>'Technical Skills Weighting'!#REF!+"`FU!}."</f>
        <v>#REF!</v>
      </c>
      <c r="GF44" t="e">
        <f>'Technical Skills Weighting'!#REF!+"`FU!}/"</f>
        <v>#REF!</v>
      </c>
      <c r="GG44" t="e">
        <f>'Technical Skills Weighting'!#REF!+"`FU!}0"</f>
        <v>#REF!</v>
      </c>
      <c r="GH44" t="e">
        <f>'Technical Skills Weighting'!#REF!+"`FU!}1"</f>
        <v>#REF!</v>
      </c>
      <c r="GI44" t="e">
        <f>'Technical Skills Weighting'!#REF!+"`FU!}2"</f>
        <v>#REF!</v>
      </c>
      <c r="GJ44" t="e">
        <f>'Technical Skills Weighting'!#REF!+"`FU!}3"</f>
        <v>#REF!</v>
      </c>
      <c r="GK44" t="e">
        <f>'Technical Skills Weighting'!#REF!+"`FU!}4"</f>
        <v>#REF!</v>
      </c>
      <c r="GL44" t="e">
        <f>'Technical Skills Weighting'!#REF!+"`FU!}5"</f>
        <v>#REF!</v>
      </c>
      <c r="GM44" t="e">
        <f>'Technical Skills Weighting'!#REF!+"`FU!}6"</f>
        <v>#REF!</v>
      </c>
      <c r="GN44" t="e">
        <f>'Technical Skills Weighting'!#REF!+"`FU!}7"</f>
        <v>#REF!</v>
      </c>
      <c r="GO44" t="e">
        <f>'Technical Skills Weighting'!#REF!+"`FU!}8"</f>
        <v>#REF!</v>
      </c>
      <c r="GP44" t="e">
        <f>'Technical Skills Weighting'!#REF!+"`FU!}9"</f>
        <v>#REF!</v>
      </c>
      <c r="GQ44" t="e">
        <f>'Technical Skills Weighting'!#REF!+"`FU!}:"</f>
        <v>#REF!</v>
      </c>
      <c r="GR44" t="e">
        <f>'Technical Skills Weighting'!#REF!+"`FU!};"</f>
        <v>#REF!</v>
      </c>
      <c r="GS44" t="e">
        <f>'Technical Skills Weighting'!#REF!+"`FU!}&lt;"</f>
        <v>#REF!</v>
      </c>
      <c r="GT44" t="e">
        <f>'Technical Skills Weighting'!#REF!+"`FU!}="</f>
        <v>#REF!</v>
      </c>
      <c r="GU44" t="e">
        <f>'Technical Skills Weighting'!#REF!+"`FU!}&gt;"</f>
        <v>#REF!</v>
      </c>
      <c r="GV44" t="e">
        <f>'Technical Skills Weighting'!#REF!+"`FU!}?"</f>
        <v>#REF!</v>
      </c>
      <c r="GW44" t="e">
        <f>'Technical Skills Weighting'!#REF!+"`FU!}@"</f>
        <v>#REF!</v>
      </c>
      <c r="GX44" t="e">
        <f>'Technical Skills Weighting'!#REF!+"`FU!}A"</f>
        <v>#REF!</v>
      </c>
      <c r="GY44" t="e">
        <f>'Technical Skills Weighting'!#REF!+"`FU!}B"</f>
        <v>#REF!</v>
      </c>
      <c r="GZ44" t="e">
        <f>'Technical Skills Weighting'!#REF!+"`FU!}C"</f>
        <v>#REF!</v>
      </c>
      <c r="HA44" t="e">
        <f>'Technical Skills Weighting'!#REF!+"`FU!}D"</f>
        <v>#REF!</v>
      </c>
      <c r="HB44" t="e">
        <f>'Technical Skills Weighting'!#REF!+"`FU!}E"</f>
        <v>#REF!</v>
      </c>
      <c r="HC44" t="e">
        <f>'Technical Skills Weighting'!#REF!+"`FU!}F"</f>
        <v>#REF!</v>
      </c>
      <c r="HD44" t="e">
        <f>'Technical Skills Weighting'!#REF!+"`FU!}G"</f>
        <v>#REF!</v>
      </c>
      <c r="HE44" t="e">
        <f>'Technical Skills Weighting'!#REF!+"`FU!}H"</f>
        <v>#REF!</v>
      </c>
      <c r="HF44" t="e">
        <f>'Technical Skills Weighting'!#REF!+"`FU!}I"</f>
        <v>#REF!</v>
      </c>
      <c r="HG44" t="e">
        <f>'Technical Skills Weighting'!#REF!+"`FU!}J"</f>
        <v>#REF!</v>
      </c>
      <c r="HH44" t="e">
        <f>'Technical Skills Weighting'!#REF!+"`FU!}K"</f>
        <v>#REF!</v>
      </c>
      <c r="HI44" t="e">
        <f>'Technical Skills Weighting'!#REF!+"`FU!}L"</f>
        <v>#REF!</v>
      </c>
      <c r="HJ44" t="e">
        <f>'Technical Skills Weighting'!#REF!+"`FU!}M"</f>
        <v>#REF!</v>
      </c>
      <c r="HK44" t="e">
        <f>'Technical Skills Weighting'!#REF!+"`FU!}N"</f>
        <v>#REF!</v>
      </c>
      <c r="HL44" t="e">
        <f>'Technical Skills Weighting'!#REF!+"`FU!}O"</f>
        <v>#REF!</v>
      </c>
      <c r="HM44" t="e">
        <f>'Technical Skills Weighting'!#REF!+"`FU!}P"</f>
        <v>#REF!</v>
      </c>
      <c r="HN44" t="e">
        <f>'Technical Skills Weighting'!#REF!+"`FU!}Q"</f>
        <v>#REF!</v>
      </c>
      <c r="HO44" t="e">
        <f>'Technical Skills Weighting'!#REF!+"`FU!}R"</f>
        <v>#REF!</v>
      </c>
      <c r="HP44" t="e">
        <f>'Technical Skills Weighting'!#REF!+"`FU!}S"</f>
        <v>#REF!</v>
      </c>
      <c r="HQ44" t="e">
        <f>'Technical Skills Weighting'!#REF!+"`FU!}T"</f>
        <v>#REF!</v>
      </c>
      <c r="HR44" t="e">
        <f>'Technical Skills Weighting'!#REF!+"`FU!}U"</f>
        <v>#REF!</v>
      </c>
      <c r="HS44" t="e">
        <f>'Technical Skills Weighting'!#REF!+"`FU!}V"</f>
        <v>#REF!</v>
      </c>
      <c r="HT44" t="e">
        <f>'Technical Skills Weighting'!#REF!+"`FU!}W"</f>
        <v>#REF!</v>
      </c>
      <c r="HU44" t="e">
        <f>'Technical Skills Weighting'!#REF!+"`FU!}X"</f>
        <v>#REF!</v>
      </c>
      <c r="HV44" t="e">
        <f>'Technical Skills Weighting'!#REF!+"`FU!}Y"</f>
        <v>#REF!</v>
      </c>
      <c r="HW44" t="e">
        <f>'Technical Skills Weighting'!#REF!+"`FU!}Z"</f>
        <v>#REF!</v>
      </c>
      <c r="HX44" t="e">
        <f>'Technical Skills Weighting'!#REF!+"`FU!}["</f>
        <v>#REF!</v>
      </c>
      <c r="HY44" t="e">
        <f>'Technical Skills Weighting'!#REF!+"`FU!}\"</f>
        <v>#REF!</v>
      </c>
      <c r="HZ44" t="e">
        <f>'Technical Skills Weighting'!#REF!+"`FU!}]"</f>
        <v>#REF!</v>
      </c>
      <c r="IA44" t="e">
        <f>'Technical Skills Weighting'!#REF!+"`FU!}^"</f>
        <v>#REF!</v>
      </c>
      <c r="IB44" t="e">
        <f>'Technical Skills Weighting'!#REF!+"`FU!}_"</f>
        <v>#REF!</v>
      </c>
      <c r="IC44" t="e">
        <f>'Technical Skills Weighting'!#REF!+"`FU!}`"</f>
        <v>#REF!</v>
      </c>
      <c r="ID44" t="e">
        <f>'Technical Skills Weighting'!#REF!+"`FU!}a"</f>
        <v>#REF!</v>
      </c>
      <c r="IE44" t="e">
        <f>'Technical Skills Weighting'!#REF!+"`FU!}b"</f>
        <v>#REF!</v>
      </c>
      <c r="IF44" t="e">
        <f>'Technical Skills Weighting'!#REF!+"`FU!}c"</f>
        <v>#REF!</v>
      </c>
      <c r="IG44" t="e">
        <f>'Technical Skills Weighting'!#REF!+"`FU!}d"</f>
        <v>#REF!</v>
      </c>
      <c r="IH44" t="e">
        <f>'Technical Skills Weighting'!#REF!+"`FU!}e"</f>
        <v>#REF!</v>
      </c>
      <c r="II44" t="e">
        <f>'Technical Skills Weighting'!#REF!+"`FU!}f"</f>
        <v>#REF!</v>
      </c>
      <c r="IJ44" t="e">
        <f>'Technical Skills Weighting'!#REF!+"`FU!}g"</f>
        <v>#REF!</v>
      </c>
      <c r="IK44" t="e">
        <f>'Technical Skills Weighting'!#REF!+"`FU!}h"</f>
        <v>#REF!</v>
      </c>
      <c r="IL44" t="e">
        <f>'Technical Skills Weighting'!#REF!+"`FU!}i"</f>
        <v>#REF!</v>
      </c>
      <c r="IM44" t="e">
        <f>'Technical Skills Weighting'!#REF!+"`FU!}j"</f>
        <v>#REF!</v>
      </c>
      <c r="IN44" t="e">
        <f>'Technical Skills Weighting'!#REF!+"`FU!}k"</f>
        <v>#REF!</v>
      </c>
      <c r="IO44" t="e">
        <f>'Technical Skills Weighting'!#REF!+"`FU!}l"</f>
        <v>#REF!</v>
      </c>
      <c r="IP44" t="e">
        <f>'Technical Skills Weighting'!#REF!+"`FU!}m"</f>
        <v>#REF!</v>
      </c>
      <c r="IQ44" t="e">
        <f>'Technical Skills Weighting'!#REF!+"`FU!}n"</f>
        <v>#REF!</v>
      </c>
      <c r="IR44" t="e">
        <f>'Technical Skills Weighting'!#REF!+"`FU!}o"</f>
        <v>#REF!</v>
      </c>
      <c r="IS44" t="e">
        <f>'Technical Skills Weighting'!#REF!+"`FU!}p"</f>
        <v>#REF!</v>
      </c>
      <c r="IT44" t="e">
        <f>'Technical Skills Weighting'!#REF!+"`FU!}q"</f>
        <v>#REF!</v>
      </c>
      <c r="IU44" t="e">
        <f>'Technical Skills Weighting'!#REF!+"`FU!}r"</f>
        <v>#REF!</v>
      </c>
      <c r="IV44" t="e">
        <f>'Technical Skills Weighting'!#REF!+"`FU!}s"</f>
        <v>#REF!</v>
      </c>
    </row>
    <row r="45" spans="6:256" x14ac:dyDescent="0.25">
      <c r="F45" t="e">
        <f>'Technical Skills Weighting'!#REF!+"`FU!}t"</f>
        <v>#REF!</v>
      </c>
      <c r="G45" t="e">
        <f>'Technical Skills Weighting'!#REF!+"`FU!}u"</f>
        <v>#REF!</v>
      </c>
      <c r="H45" t="e">
        <f>'Technical Skills Weighting'!#REF!+"`FU!}v"</f>
        <v>#REF!</v>
      </c>
      <c r="I45" t="e">
        <f>'Technical Skills Weighting'!#REF!+"`FU!}w"</f>
        <v>#REF!</v>
      </c>
      <c r="J45" t="e">
        <f>'Technical Skills Weighting'!#REF!+"`FU!}x"</f>
        <v>#REF!</v>
      </c>
      <c r="K45" t="e">
        <f>'Technical Skills Weighting'!#REF!+"`FU!}y"</f>
        <v>#REF!</v>
      </c>
      <c r="L45" t="e">
        <f>'Technical Skills Weighting'!#REF!+"`FU!}z"</f>
        <v>#REF!</v>
      </c>
      <c r="M45" t="e">
        <f>'Technical Skills Weighting'!#REF!+"`FU!}{"</f>
        <v>#REF!</v>
      </c>
      <c r="N45" t="e">
        <f>'Technical Skills Weighting'!#REF!+"`FU!}|"</f>
        <v>#REF!</v>
      </c>
      <c r="O45" t="e">
        <f>'Technical Skills Weighting'!#REF!+"`FU!}}"</f>
        <v>#REF!</v>
      </c>
      <c r="P45" t="e">
        <f>'Technical Skills Weighting'!#REF!+"`FU!}~"</f>
        <v>#REF!</v>
      </c>
      <c r="Q45" t="e">
        <f>'Technical Skills Weighting'!#REF!+"`FU!~#"</f>
        <v>#REF!</v>
      </c>
      <c r="R45" t="e">
        <f>'Technical Skills Weighting'!#REF!+"`FU!~$"</f>
        <v>#REF!</v>
      </c>
      <c r="S45" t="e">
        <f>'Technical Skills Weighting'!#REF!+"`FU!~%"</f>
        <v>#REF!</v>
      </c>
      <c r="T45" t="e">
        <f>'Technical Skills Weighting'!#REF!+"`FU!~&amp;"</f>
        <v>#REF!</v>
      </c>
      <c r="U45" t="e">
        <f>'Technical Skills Weighting'!#REF!+"`FU!~'"</f>
        <v>#REF!</v>
      </c>
      <c r="V45" t="e">
        <f>'Technical Skills Weighting'!#REF!+"`FU!~("</f>
        <v>#REF!</v>
      </c>
      <c r="W45" t="e">
        <f>'Technical Skills Weighting'!#REF!+"`FU!~)"</f>
        <v>#REF!</v>
      </c>
      <c r="X45" t="e">
        <f>'Technical Skills Weighting'!#REF!+"`FU!~."</f>
        <v>#REF!</v>
      </c>
      <c r="Y45" t="e">
        <f>'Technical Skills Weighting'!#REF!+"`FU!~/"</f>
        <v>#REF!</v>
      </c>
      <c r="Z45" t="e">
        <f>'Technical Skills Weighting'!#REF!+"`FU!~0"</f>
        <v>#REF!</v>
      </c>
      <c r="AA45" t="e">
        <f>'Technical Skills Weighting'!#REF!+"`FU!~1"</f>
        <v>#REF!</v>
      </c>
      <c r="AB45" t="e">
        <f>'Technical Skills Weighting'!#REF!+"`FU!~2"</f>
        <v>#REF!</v>
      </c>
      <c r="AC45" t="e">
        <f>'Technical Skills Weighting'!#REF!+"`FU!~3"</f>
        <v>#REF!</v>
      </c>
      <c r="AD45" t="e">
        <f>'Technical Skills Weighting'!#REF!+"`FU!~4"</f>
        <v>#REF!</v>
      </c>
      <c r="AE45" t="e">
        <f>'Technical Skills Weighting'!#REF!+"`FU!~5"</f>
        <v>#REF!</v>
      </c>
      <c r="AF45" t="e">
        <f>'Technical Skills Weighting'!#REF!+"`FU!~6"</f>
        <v>#REF!</v>
      </c>
      <c r="AG45" t="e">
        <f>'Technical Skills Weighting'!#REF!+"`FU!~7"</f>
        <v>#REF!</v>
      </c>
      <c r="AH45" t="e">
        <f>'Technical Skills Weighting'!#REF!+"`FU!~8"</f>
        <v>#REF!</v>
      </c>
      <c r="AI45" t="e">
        <f>'Technical Skills Weighting'!#REF!+"`FU!~9"</f>
        <v>#REF!</v>
      </c>
      <c r="AJ45" t="e">
        <f>'Technical Skills Weighting'!#REF!+"`FU!~:"</f>
        <v>#REF!</v>
      </c>
      <c r="AK45" t="e">
        <f>'Technical Skills Weighting'!#REF!+"`FU!~;"</f>
        <v>#REF!</v>
      </c>
      <c r="AL45" t="e">
        <f>'Technical Skills Weighting'!#REF!+"`FU!~&lt;"</f>
        <v>#REF!</v>
      </c>
      <c r="AM45" t="e">
        <f>'Technical Skills Weighting'!#REF!+"`FU!~="</f>
        <v>#REF!</v>
      </c>
      <c r="AN45" t="e">
        <f>'Technical Skills Weighting'!#REF!+"`FU!~&gt;"</f>
        <v>#REF!</v>
      </c>
      <c r="AO45" t="e">
        <f>'Technical Skills Weighting'!#REF!+"`FU!~?"</f>
        <v>#REF!</v>
      </c>
      <c r="AP45" t="e">
        <f>'Technical Skills Weighting'!#REF!+"`FU!~@"</f>
        <v>#REF!</v>
      </c>
      <c r="AQ45" t="e">
        <f>'Technical Skills Weighting'!#REF!+"`FU!~A"</f>
        <v>#REF!</v>
      </c>
      <c r="AR45" t="e">
        <f>'Technical Skills Weighting'!#REF!+"`FU!~B"</f>
        <v>#REF!</v>
      </c>
      <c r="AS45" t="e">
        <f>'Technical Skills Weighting'!#REF!+"`FU!~C"</f>
        <v>#REF!</v>
      </c>
      <c r="AT45" t="e">
        <f>'Technical Skills Weighting'!#REF!+"`FU!~D"</f>
        <v>#REF!</v>
      </c>
      <c r="AU45" t="e">
        <f>'Technical Skills Weighting'!#REF!+"`FU!~E"</f>
        <v>#REF!</v>
      </c>
      <c r="AV45" t="e">
        <f>'Technical Skills Weighting'!#REF!+"`FU!~F"</f>
        <v>#REF!</v>
      </c>
      <c r="AW45" t="e">
        <f>'Technical Skills Weighting'!#REF!+"`FU!~G"</f>
        <v>#REF!</v>
      </c>
      <c r="AX45" t="e">
        <f>'Technical Skills Weighting'!#REF!+"`FU!~H"</f>
        <v>#REF!</v>
      </c>
      <c r="AY45" t="e">
        <f>'Technical Skills Weighting'!#REF!+"`FU!~I"</f>
        <v>#REF!</v>
      </c>
      <c r="AZ45" t="e">
        <f>'Technical Skills Weighting'!#REF!+"`FU!~J"</f>
        <v>#REF!</v>
      </c>
      <c r="BA45" t="e">
        <f>'Technical Skills Weighting'!#REF!+"`FU!~K"</f>
        <v>#REF!</v>
      </c>
      <c r="BB45" t="e">
        <f>'Technical Skills Weighting'!#REF!+"`FU!~L"</f>
        <v>#REF!</v>
      </c>
      <c r="BC45" t="e">
        <f>'Technical Skills Weighting'!#REF!+"`FU!~M"</f>
        <v>#REF!</v>
      </c>
      <c r="BD45" t="e">
        <f>'Technical Skills Weighting'!#REF!+"`FU!~N"</f>
        <v>#REF!</v>
      </c>
      <c r="BE45" t="e">
        <f>'Technical Skills Weighting'!#REF!+"`FU!~O"</f>
        <v>#REF!</v>
      </c>
      <c r="BF45" t="e">
        <f>'Technical Skills Weighting'!#REF!+"`FU!~P"</f>
        <v>#REF!</v>
      </c>
      <c r="BG45" t="e">
        <f>'Technical Skills Weighting'!#REF!+"`FU!~Q"</f>
        <v>#REF!</v>
      </c>
      <c r="BH45" t="e">
        <f>'Technical Skills Weighting'!#REF!+"`FU!~R"</f>
        <v>#REF!</v>
      </c>
      <c r="BI45" t="e">
        <f>'Technical Skills Weighting'!#REF!+"`FU!~S"</f>
        <v>#REF!</v>
      </c>
      <c r="BJ45" t="e">
        <f>'Technical Skills Weighting'!#REF!+"`FU!~T"</f>
        <v>#REF!</v>
      </c>
      <c r="BK45" t="e">
        <f>'Technical Skills Weighting'!#REF!+"`FU!~U"</f>
        <v>#REF!</v>
      </c>
      <c r="BL45" t="e">
        <f>'Technical Skills Weighting'!#REF!+"`FU!~V"</f>
        <v>#REF!</v>
      </c>
      <c r="BM45" t="e">
        <f>'Technical Skills Weighting'!#REF!+"`FU!~W"</f>
        <v>#REF!</v>
      </c>
      <c r="BN45" t="e">
        <f>'Technical Skills Weighting'!#REF!+"`FU!~X"</f>
        <v>#REF!</v>
      </c>
      <c r="BO45" t="e">
        <f>'Technical Skills Weighting'!#REF!+"`FU!~Y"</f>
        <v>#REF!</v>
      </c>
      <c r="BP45" t="e">
        <f>'Technical Skills Weighting'!#REF!+"`FU!~Z"</f>
        <v>#REF!</v>
      </c>
      <c r="BQ45" t="e">
        <f>'Technical Skills Weighting'!#REF!+"`FU!~["</f>
        <v>#REF!</v>
      </c>
      <c r="BR45" t="e">
        <f>'Technical Skills Weighting'!#REF!+"`FU!~\"</f>
        <v>#REF!</v>
      </c>
      <c r="BS45" t="e">
        <f>'Technical Skills Weighting'!#REF!+"`FU!~]"</f>
        <v>#REF!</v>
      </c>
      <c r="BT45" t="e">
        <f>'Technical Skills Weighting'!#REF!+"`FU!~^"</f>
        <v>#REF!</v>
      </c>
      <c r="BU45" t="e">
        <f>'Technical Skills Weighting'!#REF!+"`FU!~_"</f>
        <v>#REF!</v>
      </c>
      <c r="BV45" t="e">
        <f>'Technical Skills Weighting'!#REF!+"`FU!~`"</f>
        <v>#REF!</v>
      </c>
      <c r="BW45" t="e">
        <f>'Technical Skills Weighting'!#REF!+"`FU!~a"</f>
        <v>#REF!</v>
      </c>
      <c r="BX45" t="e">
        <f>'Technical Skills Weighting'!#REF!+"`FU!~b"</f>
        <v>#REF!</v>
      </c>
      <c r="BY45" t="e">
        <f>'Technical Skills Weighting'!#REF!+"`FU!~c"</f>
        <v>#REF!</v>
      </c>
      <c r="BZ45" t="e">
        <f>'Technical Skills Weighting'!#REF!+"`FU!~d"</f>
        <v>#REF!</v>
      </c>
      <c r="CA45" t="e">
        <f>'Technical Skills Weighting'!#REF!+"`FU!~e"</f>
        <v>#REF!</v>
      </c>
      <c r="CB45" t="e">
        <f>'Technical Skills Weighting'!#REF!+"`FU!~f"</f>
        <v>#REF!</v>
      </c>
      <c r="CC45" t="e">
        <f>'Technical Skills Weighting'!#REF!+"`FU!~g"</f>
        <v>#REF!</v>
      </c>
      <c r="CD45" t="e">
        <f>'Technical Skills Weighting'!#REF!+"`FU!~h"</f>
        <v>#REF!</v>
      </c>
      <c r="CE45" t="e">
        <f>'Technical Skills Weighting'!#REF!+"`FU!~i"</f>
        <v>#REF!</v>
      </c>
      <c r="CF45" t="e">
        <f>'Technical Skills Weighting'!#REF!+"`FU!~j"</f>
        <v>#REF!</v>
      </c>
      <c r="CG45" t="e">
        <f>'Technical Skills Weighting'!#REF!+"`FU!~k"</f>
        <v>#REF!</v>
      </c>
      <c r="CH45" t="e">
        <f>'Technical Skills Weighting'!#REF!+"`FU!~l"</f>
        <v>#REF!</v>
      </c>
      <c r="CI45" t="e">
        <f>'Technical Skills Weighting'!#REF!+"`FU!~m"</f>
        <v>#REF!</v>
      </c>
      <c r="CJ45" t="e">
        <f>'Technical Skills Weighting'!#REF!+"`FU!~n"</f>
        <v>#REF!</v>
      </c>
      <c r="CK45" t="e">
        <f>'Technical Skills Weighting'!#REF!+"`FU!~o"</f>
        <v>#REF!</v>
      </c>
      <c r="CL45" t="e">
        <f>'Technical Skills Weighting'!#REF!+"`FU!~p"</f>
        <v>#REF!</v>
      </c>
      <c r="CM45" t="e">
        <f>'Technical Skills Weighting'!#REF!+"`FU!~q"</f>
        <v>#REF!</v>
      </c>
      <c r="CN45" t="e">
        <f>'Technical Skills Weighting'!#REF!+"`FU!~r"</f>
        <v>#REF!</v>
      </c>
      <c r="CO45" t="e">
        <f>'Technical Skills Weighting'!#REF!+"`FU!~s"</f>
        <v>#REF!</v>
      </c>
      <c r="CP45" t="e">
        <f>'Technical Skills Weighting'!#REF!+"`FU!~t"</f>
        <v>#REF!</v>
      </c>
      <c r="CQ45" t="e">
        <f>'Technical Skills Weighting'!#REF!+"`FU!~u"</f>
        <v>#REF!</v>
      </c>
      <c r="CR45" t="e">
        <f>'Technical Skills Weighting'!#REF!+"`FU!~v"</f>
        <v>#REF!</v>
      </c>
      <c r="CS45" t="e">
        <f>'Technical Skills Weighting'!#REF!+"`FU!~w"</f>
        <v>#REF!</v>
      </c>
      <c r="CT45" t="e">
        <f>'Technical Skills Weighting'!#REF!+"`FU!~x"</f>
        <v>#REF!</v>
      </c>
      <c r="CU45" t="e">
        <f>'Technical Skills Weighting'!#REF!+"`FU!~y"</f>
        <v>#REF!</v>
      </c>
      <c r="CV45" t="e">
        <f>'Technical Skills Weighting'!#REF!+"`FU!~z"</f>
        <v>#REF!</v>
      </c>
      <c r="CW45" t="e">
        <f>'Technical Skills Weighting'!#REF!+"`FU!~{"</f>
        <v>#REF!</v>
      </c>
      <c r="CX45" t="e">
        <f>'Technical Skills Weighting'!#REF!+"`FU!~|"</f>
        <v>#REF!</v>
      </c>
      <c r="CY45" t="e">
        <f>'Technical Skills Weighting'!#REF!+"`FU!~}"</f>
        <v>#REF!</v>
      </c>
      <c r="CZ45" t="e">
        <f>'Technical Skills Weighting'!#REF!+"`FU!~~"</f>
        <v>#REF!</v>
      </c>
      <c r="DA45" t="e">
        <f>'Technical Skills Weighting'!#REF!+"`FU!$##"</f>
        <v>#REF!</v>
      </c>
      <c r="DB45" t="e">
        <f>'Technical Skills Weighting'!#REF!+"`FU!$#$"</f>
        <v>#REF!</v>
      </c>
      <c r="DC45" t="e">
        <f>'Technical Skills Weighting'!#REF!+"`FU!$#%"</f>
        <v>#REF!</v>
      </c>
      <c r="DD45" t="e">
        <f>'Technical Skills Weighting'!#REF!+"`FU!$#&amp;"</f>
        <v>#REF!</v>
      </c>
      <c r="DE45" t="e">
        <f>'Technical Skills Weighting'!#REF!+"`FU!$#'"</f>
        <v>#REF!</v>
      </c>
      <c r="DF45" t="e">
        <f>'Technical Skills Weighting'!#REF!+"`FU!$#("</f>
        <v>#REF!</v>
      </c>
      <c r="DG45" t="e">
        <f>'Technical Skills Weighting'!#REF!+"`FU!$#)"</f>
        <v>#REF!</v>
      </c>
      <c r="DH45" t="e">
        <f>'Technical Skills Weighting'!#REF!+"`FU!$#."</f>
        <v>#REF!</v>
      </c>
      <c r="DI45" t="e">
        <f>'Technical Skills Weighting'!#REF!+"`FU!$#/"</f>
        <v>#REF!</v>
      </c>
      <c r="DJ45" t="e">
        <f>'Technical Skills Weighting'!#REF!+"`FU!$#0"</f>
        <v>#REF!</v>
      </c>
      <c r="DK45" t="e">
        <f>'Technical Skills Weighting'!#REF!+"`FU!$#1"</f>
        <v>#REF!</v>
      </c>
      <c r="DL45" t="e">
        <f>'Technical Skills Weighting'!#REF!+"`FU!$#2"</f>
        <v>#REF!</v>
      </c>
      <c r="DM45" t="e">
        <f>'Technical Skills Weighting'!#REF!+"`FU!$#3"</f>
        <v>#REF!</v>
      </c>
      <c r="DN45" t="e">
        <f>'Technical Skills Weighting'!#REF!+"`FU!$#4"</f>
        <v>#REF!</v>
      </c>
      <c r="DO45" t="e">
        <f>'Technical Skills Weighting'!#REF!+"`FU!$#5"</f>
        <v>#REF!</v>
      </c>
      <c r="DP45" t="e">
        <f>'Technical Skills Weighting'!#REF!+"`FU!$#6"</f>
        <v>#REF!</v>
      </c>
      <c r="DQ45" t="e">
        <f>'Technical Skills Weighting'!#REF!+"`FU!$#7"</f>
        <v>#REF!</v>
      </c>
      <c r="DR45" t="e">
        <f>'Technical Skills Weighting'!#REF!+"`FU!$#8"</f>
        <v>#REF!</v>
      </c>
      <c r="DS45" t="e">
        <f>'Technical Skills Weighting'!#REF!+"`FU!$#9"</f>
        <v>#REF!</v>
      </c>
      <c r="DT45" t="e">
        <f>'Technical Skills Weighting'!#REF!+"`FU!$#:"</f>
        <v>#REF!</v>
      </c>
      <c r="DU45" t="e">
        <f>'Technical Skills Weighting'!#REF!+"`FU!$#;"</f>
        <v>#REF!</v>
      </c>
      <c r="DV45" t="e">
        <f>'Technical Skills Weighting'!#REF!+"`FU!$#&lt;"</f>
        <v>#REF!</v>
      </c>
      <c r="DW45" t="e">
        <f>'Technical Skills Weighting'!#REF!+"`FU!$#="</f>
        <v>#REF!</v>
      </c>
      <c r="DX45" t="e">
        <f>'Technical Skills Weighting'!#REF!+"`FU!$#&gt;"</f>
        <v>#REF!</v>
      </c>
      <c r="DY45" t="e">
        <f>'Technical Skills Weighting'!#REF!+"`FU!$#?"</f>
        <v>#REF!</v>
      </c>
      <c r="DZ45" t="e">
        <f>'Technical Skills Weighting'!#REF!+"`FU!$#@"</f>
        <v>#REF!</v>
      </c>
      <c r="EA45" t="e">
        <f>'Technical Skills Weighting'!#REF!+"`FU!$#A"</f>
        <v>#REF!</v>
      </c>
      <c r="EB45" t="e">
        <f>'Technical Skills Weighting'!#REF!+"`FU!$#B"</f>
        <v>#REF!</v>
      </c>
      <c r="EC45" t="e">
        <f>'Technical Skills Weighting'!#REF!+"`FU!$#C"</f>
        <v>#REF!</v>
      </c>
      <c r="ED45" t="e">
        <f>'Technical Skills Weighting'!#REF!+"`FU!$#D"</f>
        <v>#REF!</v>
      </c>
      <c r="EE45" t="e">
        <f>'Technical Skills Weighting'!#REF!+"`FU!$#E"</f>
        <v>#REF!</v>
      </c>
      <c r="EF45" t="e">
        <f>'Technical Skills Weighting'!#REF!+"`FU!$#F"</f>
        <v>#REF!</v>
      </c>
      <c r="EG45" t="e">
        <f>'Technical Skills Weighting'!#REF!+"`FU!$#G"</f>
        <v>#REF!</v>
      </c>
      <c r="EH45" t="e">
        <f>'Technical Skills Weighting'!#REF!+"`FU!$#H"</f>
        <v>#REF!</v>
      </c>
      <c r="EI45" t="e">
        <f>'Technical Skills Weighting'!#REF!+"`FU!$#I"</f>
        <v>#REF!</v>
      </c>
      <c r="EJ45" t="e">
        <f>'Technical Skills Weighting'!#REF!+"`FU!$#J"</f>
        <v>#REF!</v>
      </c>
      <c r="EK45" t="e">
        <f>'Technical Skills Weighting'!#REF!+"`FU!$#K"</f>
        <v>#REF!</v>
      </c>
      <c r="EL45" t="e">
        <f>'Technical Skills Weighting'!#REF!+"`FU!$#L"</f>
        <v>#REF!</v>
      </c>
      <c r="EM45" t="e">
        <f>'Technical Skills Weighting'!#REF!+"`FU!$#M"</f>
        <v>#REF!</v>
      </c>
      <c r="EN45" t="e">
        <f>'Technical Skills Weighting'!#REF!+"`FU!$#N"</f>
        <v>#REF!</v>
      </c>
      <c r="EO45" t="e">
        <f>'Technical Skills Weighting'!#REF!+"`FU!$#O"</f>
        <v>#REF!</v>
      </c>
      <c r="EP45" t="e">
        <f>'Technical Skills Weighting'!#REF!+"`FU!$#P"</f>
        <v>#REF!</v>
      </c>
      <c r="EQ45" t="e">
        <f>'Technical Skills Weighting'!#REF!+"`FU!$#Q"</f>
        <v>#REF!</v>
      </c>
      <c r="ER45" t="e">
        <f>'Technical Skills Weighting'!#REF!+"`FU!$#R"</f>
        <v>#REF!</v>
      </c>
      <c r="ES45" t="e">
        <f>'Technical Skills Weighting'!#REF!+"`FU!$#S"</f>
        <v>#REF!</v>
      </c>
      <c r="ET45" t="e">
        <f>'Technical Skills Weighting'!#REF!+"`FU!$#T"</f>
        <v>#REF!</v>
      </c>
      <c r="EU45" t="e">
        <f>'Technical Skills Weighting'!#REF!+"`FU!$#U"</f>
        <v>#REF!</v>
      </c>
      <c r="EV45" t="e">
        <f>'Technical Skills Weighting'!#REF!+"`FU!$#V"</f>
        <v>#REF!</v>
      </c>
      <c r="EW45" t="e">
        <f>'Technical Skills Weighting'!#REF!+"`FU!$#W"</f>
        <v>#REF!</v>
      </c>
      <c r="EX45" t="e">
        <f>'Technical Skills Weighting'!#REF!+"`FU!$#X"</f>
        <v>#REF!</v>
      </c>
      <c r="EY45" t="e">
        <f>'Technical Skills Weighting'!#REF!+"`FU!$#Y"</f>
        <v>#REF!</v>
      </c>
      <c r="EZ45" t="e">
        <f>'Technical Skills Weighting'!#REF!+"`FU!$#Z"</f>
        <v>#REF!</v>
      </c>
      <c r="FA45" t="e">
        <f>'Technical Skills Weighting'!#REF!+"`FU!$#["</f>
        <v>#REF!</v>
      </c>
      <c r="FB45" t="e">
        <f>'Technical Skills Weighting'!#REF!+"`FU!$#\"</f>
        <v>#REF!</v>
      </c>
      <c r="FC45" t="e">
        <f>'Technical Skills Weighting'!#REF!+"`FU!$#]"</f>
        <v>#REF!</v>
      </c>
      <c r="FD45" t="e">
        <f>'Technical Skills Weighting'!#REF!+"`FU!$#^"</f>
        <v>#REF!</v>
      </c>
      <c r="FE45" t="e">
        <f>'Technical Skills Weighting'!#REF!+"`FU!$#_"</f>
        <v>#REF!</v>
      </c>
      <c r="FF45" t="e">
        <f>'Technical Skills Weighting'!#REF!+"`FU!$#`"</f>
        <v>#REF!</v>
      </c>
      <c r="FG45" t="e">
        <f>'Technical Skills Weighting'!#REF!+"`FU!$#a"</f>
        <v>#REF!</v>
      </c>
      <c r="FH45" t="e">
        <f>'Technical Skills Weighting'!#REF!+"`FU!$#b"</f>
        <v>#REF!</v>
      </c>
      <c r="FI45" t="e">
        <f>'Technical Skills Weighting'!#REF!+"`FU!$#c"</f>
        <v>#REF!</v>
      </c>
      <c r="FJ45" t="e">
        <f>'Technical Skills Weighting'!#REF!+"`FU!$#d"</f>
        <v>#REF!</v>
      </c>
      <c r="FK45" t="e">
        <f>'Technical Skills Weighting'!#REF!+"`FU!$#e"</f>
        <v>#REF!</v>
      </c>
      <c r="FL45" t="e">
        <f>'Technical Skills Weighting'!#REF!+"`FU!$#f"</f>
        <v>#REF!</v>
      </c>
      <c r="FM45" t="e">
        <f>'Technical Skills Weighting'!#REF!+"`FU!$#g"</f>
        <v>#REF!</v>
      </c>
      <c r="FN45" t="e">
        <f>'Technical Skills Weighting'!#REF!+"`FU!$#h"</f>
        <v>#REF!</v>
      </c>
      <c r="FO45" t="e">
        <f>'Technical Skills Weighting'!#REF!+"`FU!$#i"</f>
        <v>#REF!</v>
      </c>
      <c r="FP45" t="e">
        <f>'Technical Skills Weighting'!#REF!+"`FU!$#j"</f>
        <v>#REF!</v>
      </c>
      <c r="FQ45" t="e">
        <f>'Technical Skills Weighting'!#REF!+"`FU!$#k"</f>
        <v>#REF!</v>
      </c>
      <c r="FR45" t="e">
        <f>'Technical Skills Weighting'!#REF!+"`FU!$#l"</f>
        <v>#REF!</v>
      </c>
      <c r="FS45" t="e">
        <f>'Technical Skills Weighting'!#REF!+"`FU!$#m"</f>
        <v>#REF!</v>
      </c>
      <c r="FT45" t="e">
        <f>'Technical Skills Weighting'!#REF!+"`FU!$#n"</f>
        <v>#REF!</v>
      </c>
      <c r="FU45" t="e">
        <f>'Technical Skills Weighting'!#REF!+"`FU!$#o"</f>
        <v>#REF!</v>
      </c>
      <c r="FV45" t="e">
        <f>'Technical Skills Weighting'!#REF!+"`FU!$#p"</f>
        <v>#REF!</v>
      </c>
      <c r="FW45" t="e">
        <f>'Technical Skills Weighting'!#REF!+"`FU!$#q"</f>
        <v>#REF!</v>
      </c>
      <c r="FX45" t="e">
        <f>'Technical Skills Weighting'!#REF!+"`FU!$#r"</f>
        <v>#REF!</v>
      </c>
      <c r="FY45" t="e">
        <f>'Technical Skills Weighting'!#REF!+"`FU!$#s"</f>
        <v>#REF!</v>
      </c>
      <c r="FZ45" t="e">
        <f>'Technical Skills Weighting'!#REF!+"`FU!$#t"</f>
        <v>#REF!</v>
      </c>
      <c r="GA45" t="e">
        <f>'Technical Skills Weighting'!#REF!+"`FU!$#u"</f>
        <v>#REF!</v>
      </c>
      <c r="GB45" t="e">
        <f>'Technical Skills Weighting'!#REF!+"`FU!$#v"</f>
        <v>#REF!</v>
      </c>
      <c r="GC45" t="e">
        <f>'Technical Skills Weighting'!#REF!+"`FU!$#w"</f>
        <v>#REF!</v>
      </c>
      <c r="GD45" t="e">
        <f>'Technical Skills Weighting'!#REF!+"`FU!$#x"</f>
        <v>#REF!</v>
      </c>
      <c r="GE45" t="e">
        <f>'Technical Skills Weighting'!#REF!+"`FU!$#y"</f>
        <v>#REF!</v>
      </c>
      <c r="GF45" t="e">
        <f>'Technical Skills Weighting'!#REF!+"`FU!$#z"</f>
        <v>#REF!</v>
      </c>
      <c r="GG45" t="e">
        <f>'Technical Skills Weighting'!#REF!+"`FU!$#{"</f>
        <v>#REF!</v>
      </c>
      <c r="GH45" t="e">
        <f>'Technical Skills Weighting'!#REF!+"`FU!$#|"</f>
        <v>#REF!</v>
      </c>
      <c r="GI45" t="e">
        <f>'Technical Skills Weighting'!#REF!+"`FU!$#}"</f>
        <v>#REF!</v>
      </c>
      <c r="GJ45" t="e">
        <f>'Technical Skills Weighting'!#REF!+"`FU!$#~"</f>
        <v>#REF!</v>
      </c>
      <c r="GK45" t="e">
        <f>'Technical Skills Weighting'!#REF!+"`FU!$$#"</f>
        <v>#REF!</v>
      </c>
      <c r="GL45" t="e">
        <f>'Technical Skills Weighting'!#REF!+"`FU!$$$"</f>
        <v>#REF!</v>
      </c>
      <c r="GM45" t="e">
        <f>'Technical Skills Weighting'!#REF!+"`FU!$$%"</f>
        <v>#REF!</v>
      </c>
      <c r="GN45" t="e">
        <f>'Technical Skills Weighting'!#REF!+"`FU!$$&amp;"</f>
        <v>#REF!</v>
      </c>
      <c r="GO45" t="e">
        <f>'Technical Skills Weighting'!#REF!+"`FU!$$'"</f>
        <v>#REF!</v>
      </c>
      <c r="GP45" t="e">
        <f>'Technical Skills Weighting'!#REF!+"`FU!$$("</f>
        <v>#REF!</v>
      </c>
      <c r="GQ45" t="e">
        <f>'Technical Skills Weighting'!#REF!+"`FU!$$)"</f>
        <v>#REF!</v>
      </c>
      <c r="GR45" t="e">
        <f>'Technical Skills Weighting'!#REF!+"`FU!$$."</f>
        <v>#REF!</v>
      </c>
      <c r="GS45" t="e">
        <f>'Technical Skills Weighting'!#REF!+"`FU!$$/"</f>
        <v>#REF!</v>
      </c>
      <c r="GT45" t="e">
        <f>'Technical Skills Weighting'!#REF!+"`FU!$$0"</f>
        <v>#REF!</v>
      </c>
      <c r="GU45" t="e">
        <f>'Technical Skills Weighting'!#REF!+"`FU!$$1"</f>
        <v>#REF!</v>
      </c>
      <c r="GV45" t="e">
        <f>'Technical Skills Weighting'!#REF!+"`FU!$$2"</f>
        <v>#REF!</v>
      </c>
      <c r="GW45" t="e">
        <f>'Technical Skills Weighting'!#REF!+"`FU!$$3"</f>
        <v>#REF!</v>
      </c>
      <c r="GX45" t="e">
        <f>'Technical Skills Weighting'!#REF!+"`FU!$$4"</f>
        <v>#REF!</v>
      </c>
      <c r="GY45" t="e">
        <f>'Technical Skills Weighting'!#REF!+"`FU!$$5"</f>
        <v>#REF!</v>
      </c>
      <c r="GZ45" t="e">
        <f>'Technical Skills Weighting'!#REF!+"`FU!$$6"</f>
        <v>#REF!</v>
      </c>
      <c r="HA45" t="e">
        <f>'Technical Skills Weighting'!#REF!+"`FU!$$7"</f>
        <v>#REF!</v>
      </c>
      <c r="HB45" t="e">
        <f>'Technical Skills Weighting'!#REF!+"`FU!$$8"</f>
        <v>#REF!</v>
      </c>
      <c r="HC45" t="e">
        <f>'Technical Skills Weighting'!#REF!+"`FU!$$9"</f>
        <v>#REF!</v>
      </c>
      <c r="HD45" t="e">
        <f>'Technical Skills Weighting'!#REF!+"`FU!$$:"</f>
        <v>#REF!</v>
      </c>
      <c r="HE45" t="e">
        <f>'Technical Skills Weighting'!#REF!+"`FU!$$;"</f>
        <v>#REF!</v>
      </c>
      <c r="HF45" t="e">
        <f>'Technical Skills Weighting'!#REF!+"`FU!$$&lt;"</f>
        <v>#REF!</v>
      </c>
      <c r="HG45" t="e">
        <f>'Technical Skills Weighting'!#REF!+"`FU!$$="</f>
        <v>#REF!</v>
      </c>
      <c r="HH45" t="e">
        <f>'Technical Skills Weighting'!#REF!+"`FU!$$&gt;"</f>
        <v>#REF!</v>
      </c>
      <c r="HI45" t="e">
        <f>'Technical Skills Weighting'!#REF!+"`FU!$$?"</f>
        <v>#REF!</v>
      </c>
      <c r="HJ45" t="e">
        <f>'Technical Skills Weighting'!#REF!+"`FU!$$@"</f>
        <v>#REF!</v>
      </c>
      <c r="HK45" t="e">
        <f>'Technical Skills Weighting'!#REF!+"`FU!$$A"</f>
        <v>#REF!</v>
      </c>
      <c r="HL45" t="e">
        <f>'Technical Skills Weighting'!#REF!+"`FU!$$B"</f>
        <v>#REF!</v>
      </c>
      <c r="HM45" t="e">
        <f>'Technical Skills Weighting'!#REF!+"`FU!$$C"</f>
        <v>#REF!</v>
      </c>
      <c r="HN45" t="e">
        <f>'Technical Skills Weighting'!#REF!+"`FU!$$D"</f>
        <v>#REF!</v>
      </c>
      <c r="HO45" t="e">
        <f>'Technical Skills Weighting'!#REF!+"`FU!$$E"</f>
        <v>#REF!</v>
      </c>
      <c r="HP45" t="e">
        <f>'Technical Skills Weighting'!#REF!+"`FU!$$F"</f>
        <v>#REF!</v>
      </c>
      <c r="HQ45" t="e">
        <f>'Technical Skills Weighting'!#REF!+"`FU!$$G"</f>
        <v>#REF!</v>
      </c>
      <c r="HR45" t="e">
        <f>'Technical Skills Weighting'!#REF!+"`FU!$$H"</f>
        <v>#REF!</v>
      </c>
      <c r="HS45" t="e">
        <f>'Technical Skills Weighting'!#REF!+"`FU!$$I"</f>
        <v>#REF!</v>
      </c>
      <c r="HT45" t="e">
        <f>'Technical Skills Weighting'!#REF!+"`FU!$$J"</f>
        <v>#REF!</v>
      </c>
      <c r="HU45" t="e">
        <f>'Technical Skills Weighting'!#REF!+"`FU!$$K"</f>
        <v>#REF!</v>
      </c>
      <c r="HV45" t="e">
        <f>'Technical Skills Weighting'!#REF!+"`FU!$$L"</f>
        <v>#REF!</v>
      </c>
      <c r="HW45" t="e">
        <f>'Technical Skills Weighting'!#REF!+"`FU!$$M"</f>
        <v>#REF!</v>
      </c>
      <c r="HX45" t="e">
        <f>'Technical Skills Weighting'!#REF!+"`FU!$$N"</f>
        <v>#REF!</v>
      </c>
      <c r="HY45" t="e">
        <f>'Technical Skills Weighting'!#REF!+"`FU!$$O"</f>
        <v>#REF!</v>
      </c>
      <c r="HZ45" t="e">
        <f>'Technical Skills Weighting'!#REF!+"`FU!$$P"</f>
        <v>#REF!</v>
      </c>
      <c r="IA45" t="e">
        <f>'Technical Skills Weighting'!#REF!+"`FU!$$Q"</f>
        <v>#REF!</v>
      </c>
      <c r="IB45" t="e">
        <f>'Technical Skills Weighting'!#REF!+"`FU!$$R"</f>
        <v>#REF!</v>
      </c>
      <c r="IC45" t="e">
        <f>'Technical Skills Weighting'!#REF!+"`FU!$$S"</f>
        <v>#REF!</v>
      </c>
      <c r="ID45" t="e">
        <f>'Technical Skills Weighting'!#REF!+"`FU!$$T"</f>
        <v>#REF!</v>
      </c>
      <c r="IE45" t="e">
        <f>'Technical Skills Weighting'!#REF!+"`FU!$$U"</f>
        <v>#REF!</v>
      </c>
      <c r="IF45" t="e">
        <f>'Technical Skills Weighting'!#REF!+"`FU!$$V"</f>
        <v>#REF!</v>
      </c>
      <c r="IG45" t="e">
        <f>'Technical Skills Weighting'!#REF!+"`FU!$$W"</f>
        <v>#REF!</v>
      </c>
      <c r="IH45" t="e">
        <f>'Technical Skills Weighting'!#REF!+"`FU!$$X"</f>
        <v>#REF!</v>
      </c>
      <c r="II45" t="e">
        <f>'Technical Skills Weighting'!#REF!+"`FU!$$Y"</f>
        <v>#REF!</v>
      </c>
      <c r="IJ45" t="e">
        <f>'Technical Skills Weighting'!#REF!+"`FU!$$Z"</f>
        <v>#REF!</v>
      </c>
      <c r="IK45" t="e">
        <f>'Technical Skills Weighting'!#REF!+"`FU!$$["</f>
        <v>#REF!</v>
      </c>
      <c r="IL45" t="e">
        <f>'Technical Skills Weighting'!#REF!+"`FU!$$\"</f>
        <v>#REF!</v>
      </c>
      <c r="IM45" t="e">
        <f>'Technical Skills Weighting'!#REF!+"`FU!$$]"</f>
        <v>#REF!</v>
      </c>
      <c r="IN45" t="e">
        <f>'Technical Skills Weighting'!#REF!+"`FU!$$^"</f>
        <v>#REF!</v>
      </c>
      <c r="IO45" t="e">
        <f>'Technical Skills Weighting'!#REF!+"`FU!$$_"</f>
        <v>#REF!</v>
      </c>
      <c r="IP45" t="e">
        <f>'Technical Skills Weighting'!#REF!+"`FU!$$`"</f>
        <v>#REF!</v>
      </c>
      <c r="IQ45" t="e">
        <f>'Technical Skills Weighting'!#REF!+"`FU!$$a"</f>
        <v>#REF!</v>
      </c>
      <c r="IR45" t="e">
        <f>'Technical Skills Weighting'!#REF!+"`FU!$$b"</f>
        <v>#REF!</v>
      </c>
      <c r="IS45" t="e">
        <f>'Technical Skills Weighting'!#REF!+"`FU!$$c"</f>
        <v>#REF!</v>
      </c>
      <c r="IT45" t="e">
        <f>'Technical Skills Weighting'!#REF!+"`FU!$$d"</f>
        <v>#REF!</v>
      </c>
      <c r="IU45" t="e">
        <f>'Technical Skills Weighting'!#REF!+"`FU!$$e"</f>
        <v>#REF!</v>
      </c>
      <c r="IV45" t="e">
        <f>'Technical Skills Weighting'!#REF!+"`FU!$$f"</f>
        <v>#REF!</v>
      </c>
    </row>
    <row r="46" spans="6:256" x14ac:dyDescent="0.25">
      <c r="F46" t="e">
        <f>'Technical Skills Weighting'!#REF!+"`FU!$$g"</f>
        <v>#REF!</v>
      </c>
      <c r="G46" t="e">
        <f>'Technical Skills Weighting'!#REF!+"`FU!$$h"</f>
        <v>#REF!</v>
      </c>
      <c r="H46" t="e">
        <f>'Technical Skills Weighting'!#REF!+"`FU!$$i"</f>
        <v>#REF!</v>
      </c>
      <c r="I46" t="e">
        <f>'Technical Skills Weighting'!#REF!+"`FU!$$j"</f>
        <v>#REF!</v>
      </c>
      <c r="J46" t="e">
        <f>'Technical Skills Weighting'!#REF!+"`FU!$$k"</f>
        <v>#REF!</v>
      </c>
      <c r="K46" t="e">
        <f>'Technical Skills Weighting'!#REF!+"`FU!$$l"</f>
        <v>#REF!</v>
      </c>
      <c r="L46" t="e">
        <f>'Technical Skills Weighting'!#REF!+"`FU!$$m"</f>
        <v>#REF!</v>
      </c>
      <c r="M46" t="e">
        <f>'Technical Skills Weighting'!#REF!+"`FU!$$n"</f>
        <v>#REF!</v>
      </c>
      <c r="N46" t="e">
        <f>'Technical Skills Weighting'!#REF!+"`FU!$$o"</f>
        <v>#REF!</v>
      </c>
      <c r="O46" t="e">
        <f>'Technical Skills Weighting'!#REF!+"`FU!$$p"</f>
        <v>#REF!</v>
      </c>
      <c r="P46" t="e">
        <f>'Technical Skills Weighting'!#REF!+"`FU!$$q"</f>
        <v>#REF!</v>
      </c>
      <c r="Q46" t="e">
        <f>'Technical Skills Weighting'!#REF!+"`FU!$$r"</f>
        <v>#REF!</v>
      </c>
      <c r="R46" t="e">
        <f>'Technical Skills Weighting'!#REF!+"`FU!$$s"</f>
        <v>#REF!</v>
      </c>
      <c r="S46" t="e">
        <f>'Technical Skills Weighting'!#REF!+"`FU!$$t"</f>
        <v>#REF!</v>
      </c>
      <c r="T46" t="e">
        <f>'Technical Skills Weighting'!#REF!+"`FU!$$u"</f>
        <v>#REF!</v>
      </c>
      <c r="U46" t="e">
        <f>'Technical Skills Weighting'!#REF!+"`FU!$$v"</f>
        <v>#REF!</v>
      </c>
      <c r="V46" t="e">
        <f>'Technical Skills Weighting'!#REF!+"`FU!$$w"</f>
        <v>#REF!</v>
      </c>
      <c r="W46" t="e">
        <f>'Technical Skills Weighting'!#REF!+"`FU!$$x"</f>
        <v>#REF!</v>
      </c>
      <c r="X46" t="e">
        <f>'Technical Skills Weighting'!#REF!+"`FU!$$y"</f>
        <v>#REF!</v>
      </c>
      <c r="Y46" t="e">
        <f>'Technical Skills Weighting'!#REF!+"`FU!$$z"</f>
        <v>#REF!</v>
      </c>
      <c r="Z46" t="e">
        <f>'Technical Skills Weighting'!#REF!+"`FU!$${"</f>
        <v>#REF!</v>
      </c>
      <c r="AA46" t="e">
        <f>'Technical Skills Weighting'!#REF!+"`FU!$$|"</f>
        <v>#REF!</v>
      </c>
      <c r="AB46" t="e">
        <f>'Technical Skills Weighting'!#REF!+"`FU!$$}"</f>
        <v>#REF!</v>
      </c>
      <c r="AC46" t="e">
        <f>'Technical Skills Weighting'!#REF!+"`FU!$$~"</f>
        <v>#REF!</v>
      </c>
      <c r="AD46" t="e">
        <f>'Technical Skills Weighting'!#REF!+"`FU!$%#"</f>
        <v>#REF!</v>
      </c>
      <c r="AE46" t="e">
        <f>'Technical Skills Weighting'!#REF!+"`FU!$%$"</f>
        <v>#REF!</v>
      </c>
      <c r="AF46" t="e">
        <f>'Technical Skills Weighting'!#REF!+"`FU!$%%"</f>
        <v>#REF!</v>
      </c>
      <c r="AG46" t="e">
        <f>'Technical Skills Weighting'!#REF!+"`FU!$%&amp;"</f>
        <v>#REF!</v>
      </c>
      <c r="AH46" t="e">
        <f>'Technical Skills Weighting'!#REF!+"`FU!$%'"</f>
        <v>#REF!</v>
      </c>
      <c r="AI46" t="e">
        <f>'Technical Skills Weighting'!#REF!+"`FU!$%("</f>
        <v>#REF!</v>
      </c>
      <c r="AJ46" t="e">
        <f>'Technical Skills Weighting'!#REF!+"`FU!$%)"</f>
        <v>#REF!</v>
      </c>
      <c r="AK46" t="e">
        <f>'Technical Skills Weighting'!#REF!+"`FU!$%."</f>
        <v>#REF!</v>
      </c>
      <c r="AL46" t="e">
        <f>'Technical Skills Weighting'!#REF!+"`FU!$%/"</f>
        <v>#REF!</v>
      </c>
      <c r="AM46" t="e">
        <f>'Technical Skills Weighting'!#REF!+"`FU!$%0"</f>
        <v>#REF!</v>
      </c>
      <c r="AN46" t="e">
        <f>'Technical Skills Weighting'!#REF!+"`FU!$%1"</f>
        <v>#REF!</v>
      </c>
      <c r="AO46" t="e">
        <f>'Technical Skills Weighting'!#REF!+"`FU!$%2"</f>
        <v>#REF!</v>
      </c>
      <c r="AP46" t="e">
        <f>'Technical Skills Weighting'!#REF!+"`FU!$%3"</f>
        <v>#REF!</v>
      </c>
      <c r="AQ46" t="e">
        <f>'Technical Skills Weighting'!#REF!+"`FU!$%4"</f>
        <v>#REF!</v>
      </c>
      <c r="AR46" t="e">
        <f>'Technical Skills Weighting'!#REF!+"`FU!$%5"</f>
        <v>#REF!</v>
      </c>
      <c r="AS46" t="e">
        <f>'Technical Skills Weighting'!#REF!+"`FU!$%6"</f>
        <v>#REF!</v>
      </c>
      <c r="AT46" t="e">
        <f>'Technical Skills Weighting'!#REF!+"`FU!$%7"</f>
        <v>#REF!</v>
      </c>
      <c r="AU46" t="e">
        <f>'Technical Skills Weighting'!#REF!+"`FU!$%8"</f>
        <v>#REF!</v>
      </c>
      <c r="AV46" t="e">
        <f>'Technical Skills Weighting'!#REF!+"`FU!$%9"</f>
        <v>#REF!</v>
      </c>
      <c r="AW46" t="e">
        <f>'Technical Skills Weighting'!#REF!+"`FU!$%:"</f>
        <v>#REF!</v>
      </c>
      <c r="AX46" t="e">
        <f>'Technical Skills Weighting'!#REF!+"`FU!$%;"</f>
        <v>#REF!</v>
      </c>
      <c r="AY46" t="e">
        <f>'Technical Skills Weighting'!#REF!+"`FU!$%&lt;"</f>
        <v>#REF!</v>
      </c>
      <c r="AZ46" t="e">
        <f>'Technical Skills Weighting'!#REF!+"`FU!$%="</f>
        <v>#REF!</v>
      </c>
      <c r="BA46" t="e">
        <f>'Technical Skills Weighting'!#REF!+"`FU!$%&gt;"</f>
        <v>#REF!</v>
      </c>
      <c r="BB46" t="e">
        <f>'Technical Skills Weighting'!#REF!+"`FU!$%?"</f>
        <v>#REF!</v>
      </c>
      <c r="BC46" t="e">
        <f>'Technical Skills Weighting'!#REF!+"`FU!$%@"</f>
        <v>#REF!</v>
      </c>
      <c r="BD46" t="e">
        <f>'Technical Skills Weighting'!#REF!+"`FU!$%A"</f>
        <v>#REF!</v>
      </c>
      <c r="BE46" t="e">
        <f>'Technical Skills Weighting'!#REF!+"`FU!$%B"</f>
        <v>#REF!</v>
      </c>
      <c r="BF46" t="e">
        <f>'Technical Skills Weighting'!#REF!+"`FU!$%C"</f>
        <v>#REF!</v>
      </c>
      <c r="BG46" t="e">
        <f>'Technical Skills Weighting'!#REF!+"`FU!$%D"</f>
        <v>#REF!</v>
      </c>
      <c r="BH46" t="e">
        <f>'Technical Skills Weighting'!#REF!+"`FU!$%E"</f>
        <v>#REF!</v>
      </c>
      <c r="BI46" t="e">
        <f>'Technical Skills Weighting'!#REF!+"`FU!$%F"</f>
        <v>#REF!</v>
      </c>
      <c r="BJ46" t="e">
        <f>'Technical Skills Weighting'!#REF!+"`FU!$%G"</f>
        <v>#REF!</v>
      </c>
      <c r="BK46" t="e">
        <f>'Technical Skills Weighting'!#REF!+"`FU!$%H"</f>
        <v>#REF!</v>
      </c>
      <c r="BL46" t="e">
        <f>'Technical Skills Weighting'!#REF!+"`FU!$%I"</f>
        <v>#REF!</v>
      </c>
      <c r="BM46" t="e">
        <f>'Technical Skills Weighting'!#REF!+"`FU!$%J"</f>
        <v>#REF!</v>
      </c>
      <c r="BN46" t="e">
        <f>'Technical Skills Weighting'!#REF!+"`FU!$%K"</f>
        <v>#REF!</v>
      </c>
      <c r="BO46" t="e">
        <f>'Technical Skills Weighting'!#REF!+"`FU!$%L"</f>
        <v>#REF!</v>
      </c>
      <c r="BP46" t="e">
        <f>'Technical Skills Weighting'!#REF!+"`FU!$%M"</f>
        <v>#REF!</v>
      </c>
      <c r="BQ46" t="e">
        <f>'Technical Skills Weighting'!#REF!+"`FU!$%N"</f>
        <v>#REF!</v>
      </c>
      <c r="BR46" t="e">
        <f>'Technical Skills Weighting'!#REF!+"`FU!$%O"</f>
        <v>#REF!</v>
      </c>
      <c r="BS46" t="e">
        <f>'Technical Skills Weighting'!#REF!+"`FU!$%P"</f>
        <v>#REF!</v>
      </c>
      <c r="BT46" t="e">
        <f>'Technical Skills Weighting'!#REF!+"`FU!$%Q"</f>
        <v>#REF!</v>
      </c>
      <c r="BU46" t="e">
        <f>'Technical Skills Weighting'!#REF!+"`FU!$%R"</f>
        <v>#REF!</v>
      </c>
      <c r="BV46" t="e">
        <f>'Technical Skills Weighting'!#REF!+"`FU!$%S"</f>
        <v>#REF!</v>
      </c>
      <c r="BW46" t="e">
        <f>'Technical Skills Weighting'!#REF!+"`FU!$%T"</f>
        <v>#REF!</v>
      </c>
      <c r="BX46" t="e">
        <f>'Technical Skills Weighting'!#REF!+"`FU!$%U"</f>
        <v>#REF!</v>
      </c>
      <c r="BY46" t="e">
        <f>'Technical Skills Weighting'!#REF!+"`FU!$%V"</f>
        <v>#REF!</v>
      </c>
      <c r="BZ46" t="e">
        <f>'Technical Skills Weighting'!#REF!+"`FU!$%W"</f>
        <v>#REF!</v>
      </c>
      <c r="CA46" t="e">
        <f>'Technical Skills Weighting'!#REF!+"`FU!$%X"</f>
        <v>#REF!</v>
      </c>
      <c r="CB46" t="e">
        <f>'Technical Skills Weighting'!#REF!+"`FU!$%Y"</f>
        <v>#REF!</v>
      </c>
      <c r="CC46" t="e">
        <f>'Technical Skills Weighting'!#REF!+"`FU!$%Z"</f>
        <v>#REF!</v>
      </c>
      <c r="CD46" t="e">
        <f>'Technical Skills Weighting'!#REF!+"`FU!$%["</f>
        <v>#REF!</v>
      </c>
      <c r="CE46" t="e">
        <f>'Technical Skills Weighting'!#REF!+"`FU!$%\"</f>
        <v>#REF!</v>
      </c>
      <c r="CF46" t="e">
        <f>'Technical Skills Weighting'!#REF!+"`FU!$%]"</f>
        <v>#REF!</v>
      </c>
      <c r="CG46" t="e">
        <f>'Technical Skills Weighting'!#REF!+"`FU!$%^"</f>
        <v>#REF!</v>
      </c>
      <c r="CH46" t="e">
        <f>'Technical Skills Weighting'!#REF!+"`FU!$%_"</f>
        <v>#REF!</v>
      </c>
      <c r="CI46" t="e">
        <f>'Technical Skills Weighting'!#REF!+"`FU!$%`"</f>
        <v>#REF!</v>
      </c>
      <c r="CJ46" t="e">
        <f>'Technical Skills Weighting'!#REF!+"`FU!$%a"</f>
        <v>#REF!</v>
      </c>
      <c r="CK46" t="e">
        <f>'Technical Skills Weighting'!#REF!+"`FU!$%b"</f>
        <v>#REF!</v>
      </c>
      <c r="CL46" t="e">
        <f>'Technical Skills Weighting'!#REF!+"`FU!$%c"</f>
        <v>#REF!</v>
      </c>
      <c r="CM46" t="e">
        <f>'Technical Skills Weighting'!#REF!+"`FU!$%d"</f>
        <v>#REF!</v>
      </c>
      <c r="CN46" t="e">
        <f>'Technical Skills Weighting'!#REF!+"`FU!$%e"</f>
        <v>#REF!</v>
      </c>
      <c r="CO46" t="e">
        <f>'Technical Skills Weighting'!#REF!+"`FU!$%f"</f>
        <v>#REF!</v>
      </c>
      <c r="CP46" t="e">
        <f>'Technical Skills Weighting'!#REF!+"`FU!$%g"</f>
        <v>#REF!</v>
      </c>
      <c r="CQ46" t="e">
        <f>'Technical Skills Weighting'!#REF!+"`FU!$%h"</f>
        <v>#REF!</v>
      </c>
      <c r="CR46" t="e">
        <f>'Technical Skills Weighting'!#REF!+"`FU!$%i"</f>
        <v>#REF!</v>
      </c>
      <c r="CS46" t="e">
        <f>'Technical Skills Weighting'!#REF!+"`FU!$%j"</f>
        <v>#REF!</v>
      </c>
      <c r="CT46" t="e">
        <f>'Technical Skills Weighting'!#REF!+"`FU!$%k"</f>
        <v>#REF!</v>
      </c>
      <c r="CU46" t="e">
        <f>'Technical Skills Weighting'!#REF!+"`FU!$%l"</f>
        <v>#REF!</v>
      </c>
      <c r="CV46" t="e">
        <f>'Technical Skills Weighting'!#REF!+"`FU!$%m"</f>
        <v>#REF!</v>
      </c>
      <c r="CW46" t="e">
        <f>'Technical Skills Weighting'!#REF!+"`FU!$%n"</f>
        <v>#REF!</v>
      </c>
      <c r="CX46" t="e">
        <f>'Technical Skills Weighting'!#REF!+"`FU!$%o"</f>
        <v>#REF!</v>
      </c>
      <c r="CY46" t="e">
        <f>'Technical Skills Weighting'!#REF!+"`FU!$%p"</f>
        <v>#REF!</v>
      </c>
      <c r="CZ46" t="e">
        <f>'Technical Skills Weighting'!#REF!+"`FU!$%q"</f>
        <v>#REF!</v>
      </c>
      <c r="DA46" t="e">
        <f>'Technical Skills Weighting'!#REF!+"`FU!$%r"</f>
        <v>#REF!</v>
      </c>
      <c r="DB46" t="e">
        <f>'Technical Skills Weighting'!#REF!+"`FU!$%s"</f>
        <v>#REF!</v>
      </c>
      <c r="DC46" t="e">
        <f>'Technical Skills Weighting'!#REF!+"`FU!$%t"</f>
        <v>#REF!</v>
      </c>
      <c r="DD46" t="e">
        <f>'Technical Skills Weighting'!#REF!+"`FU!$%u"</f>
        <v>#REF!</v>
      </c>
      <c r="DE46" t="e">
        <f>'Technical Skills Weighting'!#REF!+"`FU!$%v"</f>
        <v>#REF!</v>
      </c>
      <c r="DF46" t="e">
        <f>'Technical Skills Weighting'!#REF!+"`FU!$%w"</f>
        <v>#REF!</v>
      </c>
      <c r="DG46" t="e">
        <f>'Technical Skills Weighting'!#REF!+"`FU!$%x"</f>
        <v>#REF!</v>
      </c>
      <c r="DH46" t="e">
        <f>'Technical Skills Weighting'!#REF!+"`FU!$%y"</f>
        <v>#REF!</v>
      </c>
      <c r="DI46" t="e">
        <f>'Technical Skills Weighting'!#REF!+"`FU!$%z"</f>
        <v>#REF!</v>
      </c>
      <c r="DJ46" t="e">
        <f>'Technical Skills Weighting'!#REF!+"`FU!$%{"</f>
        <v>#REF!</v>
      </c>
      <c r="DK46" t="e">
        <f>'Technical Skills Weighting'!#REF!+"`FU!$%|"</f>
        <v>#REF!</v>
      </c>
      <c r="DL46" t="e">
        <f>'Technical Skills Weighting'!#REF!+"`FU!$%}"</f>
        <v>#REF!</v>
      </c>
      <c r="DM46" t="e">
        <f>'Technical Skills Weighting'!#REF!+"`FU!$%~"</f>
        <v>#REF!</v>
      </c>
      <c r="DN46" t="e">
        <f>'Technical Skills Weighting'!#REF!+"`FU!$&amp;#"</f>
        <v>#REF!</v>
      </c>
      <c r="DO46" t="e">
        <f>'Technical Skills Weighting'!#REF!+"`FU!$&amp;$"</f>
        <v>#REF!</v>
      </c>
      <c r="DP46" t="e">
        <f>'Technical Skills Weighting'!#REF!+"`FU!$&amp;%"</f>
        <v>#REF!</v>
      </c>
      <c r="DQ46" t="e">
        <f>'Technical Skills Weighting'!#REF!+"`FU!$&amp;&amp;"</f>
        <v>#REF!</v>
      </c>
      <c r="DR46" t="e">
        <f>'Technical Skills Weighting'!#REF!+"`FU!$&amp;'"</f>
        <v>#REF!</v>
      </c>
      <c r="DS46" t="e">
        <f>'Technical Skills Weighting'!#REF!+"`FU!$&amp;("</f>
        <v>#REF!</v>
      </c>
      <c r="DT46" t="e">
        <f>'Technical Skills Weighting'!#REF!+"`FU!$&amp;)"</f>
        <v>#REF!</v>
      </c>
      <c r="DU46" t="e">
        <f>'Technical Skills Weighting'!#REF!+"`FU!$&amp;."</f>
        <v>#REF!</v>
      </c>
      <c r="DV46" t="e">
        <f>'Technical Skills Weighting'!#REF!+"`FU!$&amp;/"</f>
        <v>#REF!</v>
      </c>
      <c r="DW46" t="e">
        <f>'Technical Skills Weighting'!#REF!+"`FU!$&amp;0"</f>
        <v>#REF!</v>
      </c>
      <c r="DX46" t="e">
        <f>'Technical Skills Weighting'!#REF!+"`FU!$&amp;1"</f>
        <v>#REF!</v>
      </c>
      <c r="DY46" t="e">
        <f>'Technical Skills Weighting'!#REF!+"`FU!$&amp;2"</f>
        <v>#REF!</v>
      </c>
      <c r="DZ46" t="e">
        <f>'Technical Skills Weighting'!#REF!+"`FU!$&amp;3"</f>
        <v>#REF!</v>
      </c>
      <c r="EA46" t="e">
        <f>'Technical Skills Weighting'!#REF!+"`FU!$&amp;4"</f>
        <v>#REF!</v>
      </c>
      <c r="EB46" t="e">
        <f>'Technical Skills Weighting'!#REF!+"`FU!$&amp;5"</f>
        <v>#REF!</v>
      </c>
      <c r="EC46" t="e">
        <f>'Technical Skills Weighting'!#REF!+"`FU!$&amp;6"</f>
        <v>#REF!</v>
      </c>
      <c r="ED46" t="e">
        <f>'Technical Skills Weighting'!#REF!+"`FU!$&amp;7"</f>
        <v>#REF!</v>
      </c>
      <c r="EE46" t="e">
        <f>'Technical Skills Weighting'!#REF!+"`FU!$&amp;8"</f>
        <v>#REF!</v>
      </c>
      <c r="EF46" t="e">
        <f>'Technical Skills Weighting'!#REF!+"`FU!$&amp;9"</f>
        <v>#REF!</v>
      </c>
      <c r="EG46" t="e">
        <f>'Technical Skills Weighting'!#REF!+"`FU!$&amp;:"</f>
        <v>#REF!</v>
      </c>
      <c r="EH46" t="e">
        <f>'Technical Skills Weighting'!#REF!+"`FU!$&amp;;"</f>
        <v>#REF!</v>
      </c>
      <c r="EI46" t="e">
        <f>'Technical Skills Weighting'!#REF!+"`FU!$&amp;&lt;"</f>
        <v>#REF!</v>
      </c>
      <c r="EJ46" t="e">
        <f>'Technical Skills Weighting'!#REF!+"`FU!$&amp;="</f>
        <v>#REF!</v>
      </c>
      <c r="EK46" t="e">
        <f>'Technical Skills Weighting'!#REF!+"`FU!$&amp;&gt;"</f>
        <v>#REF!</v>
      </c>
      <c r="EL46" t="e">
        <f>'Technical Skills Weighting'!#REF!+"`FU!$&amp;?"</f>
        <v>#REF!</v>
      </c>
      <c r="EM46" t="e">
        <f>'Technical Skills Weighting'!#REF!+"`FU!$&amp;@"</f>
        <v>#REF!</v>
      </c>
      <c r="EN46" t="e">
        <f>'Technical Skills Weighting'!#REF!+"`FU!$&amp;A"</f>
        <v>#REF!</v>
      </c>
      <c r="EO46" t="e">
        <f>'Technical Skills Weighting'!#REF!+"`FU!$&amp;B"</f>
        <v>#REF!</v>
      </c>
      <c r="EP46" t="e">
        <f>'Technical Skills Weighting'!#REF!+"`FU!$&amp;C"</f>
        <v>#REF!</v>
      </c>
      <c r="EQ46" t="e">
        <f>'Technical Skills Weighting'!#REF!+"`FU!$&amp;D"</f>
        <v>#REF!</v>
      </c>
      <c r="ER46" t="e">
        <f>'Technical Skills Weighting'!#REF!+"`FU!$&amp;E"</f>
        <v>#REF!</v>
      </c>
      <c r="ES46" t="e">
        <f>'Technical Skills Weighting'!#REF!+"`FU!$&amp;F"</f>
        <v>#REF!</v>
      </c>
      <c r="ET46" t="e">
        <f>'Technical Skills Weighting'!#REF!+"`FU!$&amp;G"</f>
        <v>#REF!</v>
      </c>
      <c r="EU46" t="e">
        <f>'Technical Skills Weighting'!#REF!+"`FU!$&amp;H"</f>
        <v>#REF!</v>
      </c>
      <c r="EV46" t="e">
        <f>'Technical Skills Weighting'!#REF!+"`FU!$&amp;I"</f>
        <v>#REF!</v>
      </c>
      <c r="EW46" t="e">
        <f>'Technical Skills Weighting'!#REF!+"`FU!$&amp;J"</f>
        <v>#REF!</v>
      </c>
      <c r="EX46" t="e">
        <f>'Technical Skills Weighting'!#REF!+"`FU!$&amp;K"</f>
        <v>#REF!</v>
      </c>
      <c r="EY46" t="e">
        <f>'Technical Skills Weighting'!#REF!+"`FU!$&amp;L"</f>
        <v>#REF!</v>
      </c>
      <c r="EZ46" t="e">
        <f>'Technical Skills Weighting'!#REF!+"`FU!$&amp;M"</f>
        <v>#REF!</v>
      </c>
      <c r="FA46" t="e">
        <f>'Technical Skills Weighting'!#REF!+"`FU!$&amp;N"</f>
        <v>#REF!</v>
      </c>
      <c r="FB46" t="e">
        <f>'Technical Skills Weighting'!#REF!+"`FU!$&amp;O"</f>
        <v>#REF!</v>
      </c>
      <c r="FC46" t="e">
        <f>'Technical Skills Weighting'!#REF!+"`FU!$&amp;P"</f>
        <v>#REF!</v>
      </c>
      <c r="FD46" t="e">
        <f>'Technical Skills Weighting'!#REF!+"`FU!$&amp;Q"</f>
        <v>#REF!</v>
      </c>
      <c r="FE46" t="e">
        <f>'Technical Skills Weighting'!#REF!+"`FU!$&amp;R"</f>
        <v>#REF!</v>
      </c>
      <c r="FF46" t="e">
        <f>'Technical Skills Weighting'!#REF!+"`FU!$&amp;S"</f>
        <v>#REF!</v>
      </c>
      <c r="FG46" t="e">
        <f>'Technical Skills Weighting'!#REF!+"`FU!$&amp;T"</f>
        <v>#REF!</v>
      </c>
      <c r="FH46" t="e">
        <f>'Technical Skills Weighting'!#REF!+"`FU!$&amp;U"</f>
        <v>#REF!</v>
      </c>
      <c r="FI46" t="e">
        <f>'Technical Skills Weighting'!#REF!+"`FU!$&amp;V"</f>
        <v>#REF!</v>
      </c>
      <c r="FJ46" t="e">
        <f>'Technical Skills Weighting'!#REF!+"`FU!$&amp;W"</f>
        <v>#REF!</v>
      </c>
      <c r="FK46" t="e">
        <f>'Technical Skills Weighting'!#REF!+"`FU!$&amp;X"</f>
        <v>#REF!</v>
      </c>
      <c r="FL46" t="e">
        <f>'Technical Skills Weighting'!#REF!+"`FU!$&amp;Y"</f>
        <v>#REF!</v>
      </c>
      <c r="FM46" t="e">
        <f>'Technical Skills Weighting'!#REF!+"`FU!$&amp;Z"</f>
        <v>#REF!</v>
      </c>
      <c r="FN46" t="e">
        <f>'Technical Skills Weighting'!#REF!+"`FU!$&amp;["</f>
        <v>#REF!</v>
      </c>
      <c r="FO46" t="e">
        <f>'Technical Skills Weighting'!#REF!+"`FU!$&amp;\"</f>
        <v>#REF!</v>
      </c>
      <c r="FP46" t="e">
        <f>'Technical Skills Weighting'!#REF!+"`FU!$&amp;]"</f>
        <v>#REF!</v>
      </c>
      <c r="FQ46" t="e">
        <f>'Technical Skills Weighting'!#REF!+"`FU!$&amp;^"</f>
        <v>#REF!</v>
      </c>
      <c r="FR46" t="e">
        <f>'Technical Skills Weighting'!#REF!+"`FU!$&amp;_"</f>
        <v>#REF!</v>
      </c>
      <c r="FS46" t="e">
        <f>'Technical Skills Weighting'!#REF!+"`FU!$&amp;`"</f>
        <v>#REF!</v>
      </c>
      <c r="FT46" t="e">
        <f>'Technical Skills Weighting'!#REF!+"`FU!$&amp;a"</f>
        <v>#REF!</v>
      </c>
      <c r="FU46" t="e">
        <f>'Technical Skills Weighting'!#REF!+"`FU!$&amp;b"</f>
        <v>#REF!</v>
      </c>
      <c r="FV46" t="e">
        <f>'Technical Skills Weighting'!#REF!+"`FU!$&amp;c"</f>
        <v>#REF!</v>
      </c>
      <c r="FW46" t="e">
        <f>'Technical Skills Weighting'!#REF!+"`FU!$&amp;d"</f>
        <v>#REF!</v>
      </c>
      <c r="FX46" t="e">
        <f>'Technical Skills Weighting'!#REF!+"`FU!$&amp;e"</f>
        <v>#REF!</v>
      </c>
      <c r="FY46" t="e">
        <f>'Technical Skills Weighting'!#REF!+"`FU!$&amp;f"</f>
        <v>#REF!</v>
      </c>
      <c r="FZ46" t="e">
        <f>'Technical Skills Weighting'!#REF!+"`FU!$&amp;g"</f>
        <v>#REF!</v>
      </c>
      <c r="GA46" t="e">
        <f>'Technical Skills Weighting'!#REF!+"`FU!$&amp;h"</f>
        <v>#REF!</v>
      </c>
      <c r="GB46" t="e">
        <f>'Technical Skills Weighting'!#REF!+"`FU!$&amp;i"</f>
        <v>#REF!</v>
      </c>
      <c r="GC46" t="e">
        <f>'Technical Skills Weighting'!#REF!+"`FU!$&amp;j"</f>
        <v>#REF!</v>
      </c>
      <c r="GD46" t="e">
        <f>'Technical Skills Weighting'!#REF!+"`FU!$&amp;k"</f>
        <v>#REF!</v>
      </c>
      <c r="GE46" t="e">
        <f>'Technical Skills Weighting'!#REF!+"`FU!$&amp;l"</f>
        <v>#REF!</v>
      </c>
      <c r="GF46" t="e">
        <f>'Technical Skills Weighting'!#REF!+"`FU!$&amp;m"</f>
        <v>#REF!</v>
      </c>
      <c r="GG46" t="e">
        <f>'Technical Skills Weighting'!#REF!+"`FU!$&amp;n"</f>
        <v>#REF!</v>
      </c>
      <c r="GH46" t="e">
        <f>'Technical Skills Weighting'!#REF!+"`FU!$&amp;o"</f>
        <v>#REF!</v>
      </c>
      <c r="GI46" t="e">
        <f>'Technical Skills Weighting'!#REF!+"`FU!$&amp;p"</f>
        <v>#REF!</v>
      </c>
      <c r="GJ46" t="e">
        <f>'Technical Skills Weighting'!#REF!+"`FU!$&amp;q"</f>
        <v>#REF!</v>
      </c>
      <c r="GK46" t="e">
        <f>'Technical Skills Weighting'!#REF!+"`FU!$&amp;r"</f>
        <v>#REF!</v>
      </c>
      <c r="GL46" t="e">
        <f>'Technical Skills Weighting'!#REF!+"`FU!$&amp;s"</f>
        <v>#REF!</v>
      </c>
      <c r="GM46" t="e">
        <f>'Technical Skills Weighting'!#REF!+"`FU!$&amp;t"</f>
        <v>#REF!</v>
      </c>
      <c r="GN46" t="e">
        <f>'Technical Skills Weighting'!#REF!+"`FU!$&amp;u"</f>
        <v>#REF!</v>
      </c>
      <c r="GO46" t="e">
        <f>'Technical Skills Weighting'!#REF!+"`FU!$&amp;v"</f>
        <v>#REF!</v>
      </c>
      <c r="GP46" t="e">
        <f>'Technical Skills Weighting'!#REF!+"`FU!$&amp;w"</f>
        <v>#REF!</v>
      </c>
      <c r="GQ46" t="e">
        <f>'Technical Skills Weighting'!#REF!+"`FU!$&amp;x"</f>
        <v>#REF!</v>
      </c>
      <c r="GR46" t="e">
        <f>'Technical Skills Weighting'!#REF!+"`FU!$&amp;y"</f>
        <v>#REF!</v>
      </c>
      <c r="GS46" t="e">
        <f>'Technical Skills Weighting'!#REF!+"`FU!$&amp;z"</f>
        <v>#REF!</v>
      </c>
      <c r="GT46" t="e">
        <f>'Technical Skills Weighting'!#REF!+"`FU!$&amp;{"</f>
        <v>#REF!</v>
      </c>
      <c r="GU46" t="e">
        <f>'Technical Skills Weighting'!#REF!+"`FU!$&amp;|"</f>
        <v>#REF!</v>
      </c>
      <c r="GV46" t="e">
        <f>'Technical Skills Weighting'!#REF!+"`FU!$&amp;}"</f>
        <v>#REF!</v>
      </c>
      <c r="GW46" t="e">
        <f>'Technical Skills Weighting'!#REF!+"`FU!$&amp;~"</f>
        <v>#REF!</v>
      </c>
      <c r="GX46" t="e">
        <f>'Technical Skills Weighting'!#REF!+"`FU!$'#"</f>
        <v>#REF!</v>
      </c>
      <c r="GY46" t="e">
        <f>'Technical Skills Weighting'!#REF!+"`FU!$'$"</f>
        <v>#REF!</v>
      </c>
      <c r="GZ46" t="e">
        <f>'Technical Skills Weighting'!#REF!+"`FU!$'%"</f>
        <v>#REF!</v>
      </c>
      <c r="HA46" t="e">
        <f>'Technical Skills Weighting'!#REF!+"`FU!$'&amp;"</f>
        <v>#REF!</v>
      </c>
      <c r="HB46" t="e">
        <f>'Technical Skills Weighting'!#REF!+"`FU!$''"</f>
        <v>#REF!</v>
      </c>
      <c r="HC46" t="e">
        <f>'Technical Skills Weighting'!#REF!+"`FU!$'("</f>
        <v>#REF!</v>
      </c>
      <c r="HD46" t="e">
        <f>'Technical Skills Weighting'!#REF!+"`FU!$')"</f>
        <v>#REF!</v>
      </c>
      <c r="HE46" t="e">
        <f>'Technical Skills Weighting'!#REF!+"`FU!$'."</f>
        <v>#REF!</v>
      </c>
      <c r="HF46" t="e">
        <f>'Technical Skills Weighting'!#REF!+"`FU!$'/"</f>
        <v>#REF!</v>
      </c>
      <c r="HG46" t="e">
        <f>'Technical Skills Weighting'!#REF!+"`FU!$'0"</f>
        <v>#REF!</v>
      </c>
      <c r="HH46" t="e">
        <f>'Technical Skills Weighting'!#REF!+"`FU!$'1"</f>
        <v>#REF!</v>
      </c>
      <c r="HI46" t="e">
        <f>'Technical Skills Weighting'!#REF!+"`FU!$'2"</f>
        <v>#REF!</v>
      </c>
      <c r="HJ46" t="e">
        <f>'Technical Skills Weighting'!#REF!+"`FU!$'3"</f>
        <v>#REF!</v>
      </c>
      <c r="HK46" t="e">
        <f>'Technical Skills Weighting'!#REF!+"`FU!$'4"</f>
        <v>#REF!</v>
      </c>
      <c r="HL46" t="e">
        <f>'Technical Skills Weighting'!#REF!+"`FU!$'5"</f>
        <v>#REF!</v>
      </c>
      <c r="HM46" t="e">
        <f>'Technical Skills Weighting'!#REF!+"`FU!$'6"</f>
        <v>#REF!</v>
      </c>
      <c r="HN46" t="e">
        <f>'Technical Skills Weighting'!#REF!+"`FU!$'7"</f>
        <v>#REF!</v>
      </c>
      <c r="HO46" t="e">
        <f>'Technical Skills Weighting'!#REF!+"`FU!$'8"</f>
        <v>#REF!</v>
      </c>
      <c r="HP46" t="e">
        <f>'Technical Skills Weighting'!#REF!+"`FU!$'9"</f>
        <v>#REF!</v>
      </c>
      <c r="HQ46" t="e">
        <f>'Technical Skills Weighting'!#REF!+"`FU!$':"</f>
        <v>#REF!</v>
      </c>
      <c r="HR46" t="e">
        <f>'Technical Skills Weighting'!#REF!+"`FU!$';"</f>
        <v>#REF!</v>
      </c>
      <c r="HS46" t="e">
        <f>'Technical Skills Weighting'!#REF!+"`FU!$'&lt;"</f>
        <v>#REF!</v>
      </c>
      <c r="HT46" t="e">
        <f>'Technical Skills Weighting'!#REF!+"`FU!$'="</f>
        <v>#REF!</v>
      </c>
      <c r="HU46" t="e">
        <f>'Technical Skills Weighting'!#REF!+"`FU!$'&gt;"</f>
        <v>#REF!</v>
      </c>
      <c r="HV46" t="e">
        <f>'Technical Skills Weighting'!#REF!+"`FU!$'?"</f>
        <v>#REF!</v>
      </c>
      <c r="HW46" t="e">
        <f>'Technical Skills Weighting'!#REF!+"`FU!$'@"</f>
        <v>#REF!</v>
      </c>
      <c r="HX46" t="e">
        <f>'Technical Skills Weighting'!#REF!+"`FU!$'A"</f>
        <v>#REF!</v>
      </c>
      <c r="HY46" t="e">
        <f>'Technical Skills Weighting'!#REF!+"`FU!$'B"</f>
        <v>#REF!</v>
      </c>
      <c r="HZ46" t="e">
        <f>'Technical Skills Weighting'!#REF!+"`FU!$'C"</f>
        <v>#REF!</v>
      </c>
      <c r="IA46" t="e">
        <f>'Technical Skills Weighting'!#REF!+"`FU!$'D"</f>
        <v>#REF!</v>
      </c>
      <c r="IB46" t="e">
        <f>'Technical Skills Weighting'!#REF!+"`FU!$'E"</f>
        <v>#REF!</v>
      </c>
      <c r="IC46" t="e">
        <f>'Technical Skills Weighting'!#REF!+"`FU!$'F"</f>
        <v>#REF!</v>
      </c>
      <c r="ID46" t="e">
        <f>'Technical Skills Weighting'!#REF!+"`FU!$'G"</f>
        <v>#REF!</v>
      </c>
      <c r="IE46" t="e">
        <f>'Technical Skills Weighting'!#REF!+"`FU!$'H"</f>
        <v>#REF!</v>
      </c>
      <c r="IF46" t="e">
        <f>'Technical Skills Weighting'!#REF!+"`FU!$'I"</f>
        <v>#REF!</v>
      </c>
      <c r="IG46" t="e">
        <f>'Technical Skills Weighting'!#REF!+"`FU!$'J"</f>
        <v>#REF!</v>
      </c>
      <c r="IH46" t="e">
        <f>'Technical Skills Weighting'!#REF!+"`FU!$'K"</f>
        <v>#REF!</v>
      </c>
      <c r="II46" t="e">
        <f>'Technical Skills Weighting'!#REF!+"`FU!$'L"</f>
        <v>#REF!</v>
      </c>
      <c r="IJ46" t="e">
        <f>'Technical Skills Weighting'!#REF!+"`FU!$'M"</f>
        <v>#REF!</v>
      </c>
      <c r="IK46" t="e">
        <f>'Technical Skills Weighting'!#REF!+"`FU!$'N"</f>
        <v>#REF!</v>
      </c>
      <c r="IL46" t="e">
        <f>'Technical Skills Weighting'!#REF!+"`FU!$'O"</f>
        <v>#REF!</v>
      </c>
      <c r="IM46" t="e">
        <f>'Technical Skills Weighting'!#REF!+"`FU!$'P"</f>
        <v>#REF!</v>
      </c>
      <c r="IN46" t="e">
        <f>'Technical Skills Weighting'!#REF!+"`FU!$'Q"</f>
        <v>#REF!</v>
      </c>
      <c r="IO46" t="e">
        <f>'Technical Skills Weighting'!#REF!+"`FU!$'R"</f>
        <v>#REF!</v>
      </c>
      <c r="IP46" t="e">
        <f>'Technical Skills Weighting'!#REF!+"`FU!$'S"</f>
        <v>#REF!</v>
      </c>
      <c r="IQ46" t="e">
        <f>'Technical Skills Weighting'!#REF!+"`FU!$'T"</f>
        <v>#REF!</v>
      </c>
      <c r="IR46" t="e">
        <f>'Technical Skills Weighting'!#REF!+"`FU!$'U"</f>
        <v>#REF!</v>
      </c>
      <c r="IS46" t="e">
        <f>'Technical Skills Weighting'!#REF!+"`FU!$'V"</f>
        <v>#REF!</v>
      </c>
      <c r="IT46" t="e">
        <f>'Technical Skills Weighting'!#REF!+"`FU!$'W"</f>
        <v>#REF!</v>
      </c>
      <c r="IU46" t="e">
        <f>'Technical Skills Weighting'!#REF!+"`FU!$'X"</f>
        <v>#REF!</v>
      </c>
      <c r="IV46" t="e">
        <f>'Technical Skills Weighting'!#REF!+"`FU!$'Y"</f>
        <v>#REF!</v>
      </c>
    </row>
    <row r="47" spans="6:256" x14ac:dyDescent="0.25">
      <c r="F47" t="e">
        <f>'Technical Skills Weighting'!#REF!+"`FU!$'Z"</f>
        <v>#REF!</v>
      </c>
      <c r="G47" t="e">
        <f>'Technical Skills Weighting'!#REF!+"`FU!$'["</f>
        <v>#REF!</v>
      </c>
      <c r="H47" t="e">
        <f>'Technical Skills Weighting'!#REF!+"`FU!$'\"</f>
        <v>#REF!</v>
      </c>
      <c r="I47" t="e">
        <f>'Technical Skills Weighting'!#REF!+"`FU!$']"</f>
        <v>#REF!</v>
      </c>
      <c r="J47" t="e">
        <f>'Technical Skills Weighting'!#REF!+"`FU!$'^"</f>
        <v>#REF!</v>
      </c>
      <c r="K47" t="e">
        <f>'Technical Skills Weighting'!#REF!+"`FU!$'_"</f>
        <v>#REF!</v>
      </c>
      <c r="L47" t="e">
        <f>'Technical Skills Weighting'!#REF!+"`FU!$'`"</f>
        <v>#REF!</v>
      </c>
      <c r="M47" t="e">
        <f>'Technical Skills Weighting'!#REF!+"`FU!$'a"</f>
        <v>#REF!</v>
      </c>
      <c r="N47" t="e">
        <f>'Technical Skills Weighting'!#REF!+"`FU!$'b"</f>
        <v>#REF!</v>
      </c>
      <c r="O47" t="e">
        <f>'Technical Skills Weighting'!#REF!+"`FU!$'c"</f>
        <v>#REF!</v>
      </c>
      <c r="P47" t="e">
        <f>'Technical Skills Weighting'!#REF!+"`FU!$'d"</f>
        <v>#REF!</v>
      </c>
      <c r="Q47" t="e">
        <f>'Technical Skills Weighting'!#REF!+"`FU!$'e"</f>
        <v>#REF!</v>
      </c>
      <c r="R47" t="e">
        <f>'Technical Skills Weighting'!#REF!+"`FU!$'f"</f>
        <v>#REF!</v>
      </c>
      <c r="S47" t="e">
        <f>'Technical Skills Weighting'!#REF!+"`FU!$'g"</f>
        <v>#REF!</v>
      </c>
      <c r="T47" t="e">
        <f>'Technical Skills Weighting'!#REF!+"`FU!$'h"</f>
        <v>#REF!</v>
      </c>
      <c r="U47" t="e">
        <f>'Technical Skills Weighting'!#REF!+"`FU!$'i"</f>
        <v>#REF!</v>
      </c>
      <c r="V47" t="e">
        <f>'Technical Skills Weighting'!#REF!+"`FU!$'j"</f>
        <v>#REF!</v>
      </c>
      <c r="W47" t="e">
        <f>'Technical Skills Weighting'!#REF!+"`FU!$'k"</f>
        <v>#REF!</v>
      </c>
      <c r="X47" t="e">
        <f>'Technical Skills Weighting'!#REF!+"`FU!$'l"</f>
        <v>#REF!</v>
      </c>
      <c r="Y47" t="e">
        <f>'Technical Skills Weighting'!#REF!+"`FU!$'m"</f>
        <v>#REF!</v>
      </c>
      <c r="Z47" t="e">
        <f>'Technical Skills Weighting'!#REF!+"`FU!$'n"</f>
        <v>#REF!</v>
      </c>
      <c r="AA47" t="e">
        <f>'Technical Skills Weighting'!#REF!+"`FU!$'o"</f>
        <v>#REF!</v>
      </c>
      <c r="AB47" t="e">
        <f>'Technical Skills Weighting'!#REF!+"`FU!$'p"</f>
        <v>#REF!</v>
      </c>
      <c r="AC47" t="e">
        <f>'Technical Skills Weighting'!#REF!+"`FU!$'q"</f>
        <v>#REF!</v>
      </c>
      <c r="AD47" t="e">
        <f>'Technical Skills Weighting'!#REF!+"`FU!$'r"</f>
        <v>#REF!</v>
      </c>
      <c r="AE47" t="e">
        <f>'Technical Skills Weighting'!#REF!+"`FU!$'s"</f>
        <v>#REF!</v>
      </c>
      <c r="AF47" t="e">
        <f>'Technical Skills Weighting'!#REF!+"`FU!$'t"</f>
        <v>#REF!</v>
      </c>
      <c r="AG47" t="e">
        <f>'Technical Skills Weighting'!#REF!+"`FU!$'u"</f>
        <v>#REF!</v>
      </c>
      <c r="AH47" t="e">
        <f>'Technical Skills Weighting'!#REF!+"`FU!$'v"</f>
        <v>#REF!</v>
      </c>
      <c r="AI47" t="e">
        <f>'Technical Skills Weighting'!#REF!+"`FU!$'w"</f>
        <v>#REF!</v>
      </c>
      <c r="AJ47" t="e">
        <f>'Technical Skills Weighting'!#REF!+"`FU!$'x"</f>
        <v>#REF!</v>
      </c>
      <c r="AK47" t="e">
        <f>'Technical Skills Weighting'!#REF!+"`FU!$'y"</f>
        <v>#REF!</v>
      </c>
      <c r="AL47" t="e">
        <f>'Technical Skills Weighting'!#REF!+"`FU!$'z"</f>
        <v>#REF!</v>
      </c>
      <c r="AM47" t="e">
        <f>'Technical Skills Weighting'!#REF!+"`FU!$'{"</f>
        <v>#REF!</v>
      </c>
      <c r="AN47" t="e">
        <f>'Technical Skills Weighting'!#REF!+"`FU!$'|"</f>
        <v>#REF!</v>
      </c>
      <c r="AO47" t="e">
        <f>'Technical Skills Weighting'!#REF!+"`FU!$'}"</f>
        <v>#REF!</v>
      </c>
      <c r="AP47" t="e">
        <f>'Technical Skills Weighting'!#REF!+"`FU!$'~"</f>
        <v>#REF!</v>
      </c>
      <c r="AQ47" t="e">
        <f>'Technical Skills Weighting'!#REF!+"`FU!$(#"</f>
        <v>#REF!</v>
      </c>
      <c r="AR47" t="e">
        <f>'Technical Skills Weighting'!#REF!+"`FU!$($"</f>
        <v>#REF!</v>
      </c>
      <c r="AS47" t="e">
        <f>'Technical Skills Weighting'!#REF!+"`FU!$(%"</f>
        <v>#REF!</v>
      </c>
      <c r="AT47" t="e">
        <f>'Technical Skills Weighting'!#REF!+"`FU!$(&amp;"</f>
        <v>#REF!</v>
      </c>
      <c r="AU47" t="e">
        <f>'Technical Skills Weighting'!#REF!+"`FU!$('"</f>
        <v>#REF!</v>
      </c>
      <c r="AV47" t="e">
        <f>'Technical Skills Weighting'!#REF!+"`FU!$(("</f>
        <v>#REF!</v>
      </c>
      <c r="AW47" t="e">
        <f>'Technical Skills Weighting'!#REF!+"`FU!$()"</f>
        <v>#REF!</v>
      </c>
      <c r="AX47" t="e">
        <f>'Technical Skills Weighting'!#REF!+"`FU!$(."</f>
        <v>#REF!</v>
      </c>
      <c r="AY47" t="e">
        <f>'Technical Skills Weighting'!#REF!+"`FU!$(/"</f>
        <v>#REF!</v>
      </c>
      <c r="AZ47" t="e">
        <f>'Technical Skills Weighting'!#REF!+"`FU!$(0"</f>
        <v>#REF!</v>
      </c>
      <c r="BA47" t="e">
        <f>'Technical Skills Weighting'!#REF!+"`FU!$(1"</f>
        <v>#REF!</v>
      </c>
      <c r="BB47" t="e">
        <f>'Technical Skills Weighting'!#REF!+"`FU!$(2"</f>
        <v>#REF!</v>
      </c>
      <c r="BC47" t="e">
        <f>'Technical Skills Weighting'!#REF!+"`FU!$(3"</f>
        <v>#REF!</v>
      </c>
      <c r="BD47" t="e">
        <f>'Technical Skills Weighting'!#REF!+"`FU!$(4"</f>
        <v>#REF!</v>
      </c>
      <c r="BE47" t="e">
        <f>'Technical Skills Weighting'!#REF!+"`FU!$(5"</f>
        <v>#REF!</v>
      </c>
      <c r="BF47" t="e">
        <f>'Technical Skills Weighting'!#REF!+"`FU!$(6"</f>
        <v>#REF!</v>
      </c>
      <c r="BG47" t="e">
        <f>'Technical Skills Weighting'!#REF!+"`FU!$(7"</f>
        <v>#REF!</v>
      </c>
      <c r="BH47" t="e">
        <f>'Technical Skills Weighting'!#REF!+"`FU!$(8"</f>
        <v>#REF!</v>
      </c>
      <c r="BI47" t="e">
        <f>'Technical Skills Weighting'!#REF!+"`FU!$(9"</f>
        <v>#REF!</v>
      </c>
      <c r="BJ47" t="e">
        <f>'Technical Skills Weighting'!#REF!+"`FU!$(:"</f>
        <v>#REF!</v>
      </c>
      <c r="BK47" t="e">
        <f>'Technical Skills Weighting'!#REF!+"`FU!$(;"</f>
        <v>#REF!</v>
      </c>
      <c r="BL47" t="e">
        <f>'Technical Skills Weighting'!#REF!+"`FU!$(&lt;"</f>
        <v>#REF!</v>
      </c>
      <c r="BM47" t="e">
        <f>'Technical Skills Weighting'!#REF!+"`FU!$(="</f>
        <v>#REF!</v>
      </c>
      <c r="BN47" t="e">
        <f>'Technical Skills Weighting'!#REF!+"`FU!$(&gt;"</f>
        <v>#REF!</v>
      </c>
      <c r="BO47" t="e">
        <f>'Technical Skills Weighting'!#REF!+"`FU!$(?"</f>
        <v>#REF!</v>
      </c>
      <c r="BP47" t="e">
        <f>'Technical Skills Weighting'!#REF!+"`FU!$(@"</f>
        <v>#REF!</v>
      </c>
      <c r="BQ47" t="e">
        <f>'Technical Skills Weighting'!#REF!+"`FU!$(A"</f>
        <v>#REF!</v>
      </c>
      <c r="BR47" t="e">
        <f>'Technical Skills Weighting'!#REF!+"`FU!$(B"</f>
        <v>#REF!</v>
      </c>
      <c r="BS47" t="e">
        <f>'Technical Skills Weighting'!#REF!+"`FU!$(C"</f>
        <v>#REF!</v>
      </c>
      <c r="BT47" t="e">
        <f>'Technical Skills Weighting'!#REF!+"`FU!$(D"</f>
        <v>#REF!</v>
      </c>
      <c r="BU47" t="e">
        <f>'Technical Skills Weighting'!#REF!+"`FU!$(E"</f>
        <v>#REF!</v>
      </c>
      <c r="BV47" t="e">
        <f>'Technical Skills Weighting'!#REF!+"`FU!$(F"</f>
        <v>#REF!</v>
      </c>
      <c r="BW47" t="e">
        <f>'Technical Skills Weighting'!#REF!+"`FU!$(G"</f>
        <v>#REF!</v>
      </c>
      <c r="BX47" t="e">
        <f>'Technical Skills Weighting'!#REF!+"`FU!$(H"</f>
        <v>#REF!</v>
      </c>
      <c r="BY47" t="e">
        <f>'Technical Skills Weighting'!#REF!+"`FU!$(I"</f>
        <v>#REF!</v>
      </c>
      <c r="BZ47" t="e">
        <f>'Technical Skills Weighting'!#REF!+"`FU!$(J"</f>
        <v>#REF!</v>
      </c>
      <c r="CA47" t="e">
        <f>'Technical Skills Weighting'!#REF!+"`FU!$(K"</f>
        <v>#REF!</v>
      </c>
      <c r="CB47" t="e">
        <f>'Technical Skills Weighting'!#REF!+"`FU!$(L"</f>
        <v>#REF!</v>
      </c>
      <c r="CC47" t="e">
        <f>'Technical Skills Weighting'!#REF!+"`FU!$(M"</f>
        <v>#REF!</v>
      </c>
      <c r="CD47" t="e">
        <f>'Technical Skills Weighting'!#REF!+"`FU!$(N"</f>
        <v>#REF!</v>
      </c>
      <c r="CE47" t="e">
        <f>'Technical Skills Weighting'!#REF!+"`FU!$(O"</f>
        <v>#REF!</v>
      </c>
      <c r="CF47" t="e">
        <f>'Technical Skills Weighting'!#REF!+"`FU!$(P"</f>
        <v>#REF!</v>
      </c>
      <c r="CG47" t="e">
        <f>'Technical Skills Weighting'!#REF!+"`FU!$(Q"</f>
        <v>#REF!</v>
      </c>
      <c r="CH47" t="e">
        <f>'Technical Skills Weighting'!#REF!+"`FU!$(R"</f>
        <v>#REF!</v>
      </c>
      <c r="CI47" t="e">
        <f>'Technical Skills Weighting'!#REF!+"`FU!$(S"</f>
        <v>#REF!</v>
      </c>
      <c r="CJ47" t="e">
        <f>'Technical Skills Weighting'!#REF!+"`FU!$(T"</f>
        <v>#REF!</v>
      </c>
      <c r="CK47" t="e">
        <f>'Technical Skills Weighting'!#REF!+"`FU!$(U"</f>
        <v>#REF!</v>
      </c>
      <c r="CL47" t="e">
        <f>'Technical Skills Weighting'!#REF!+"`FU!$(V"</f>
        <v>#REF!</v>
      </c>
      <c r="CM47" t="e">
        <f>'Technical Skills Weighting'!#REF!+"`FU!$(W"</f>
        <v>#REF!</v>
      </c>
      <c r="CN47" t="e">
        <f>'Technical Skills Weighting'!#REF!+"`FU!$(X"</f>
        <v>#REF!</v>
      </c>
      <c r="CO47" t="e">
        <f>'Technical Skills Weighting'!#REF!+"`FU!$(Y"</f>
        <v>#REF!</v>
      </c>
      <c r="CP47" t="e">
        <f>'Technical Skills Weighting'!#REF!+"`FU!$(Z"</f>
        <v>#REF!</v>
      </c>
      <c r="CQ47" t="e">
        <f>'Technical Skills Weighting'!#REF!+"`FU!$(["</f>
        <v>#REF!</v>
      </c>
      <c r="CR47" t="e">
        <f>'Technical Skills Weighting'!#REF!+"`FU!$(\"</f>
        <v>#REF!</v>
      </c>
      <c r="CS47" t="e">
        <f>'Technical Skills Weighting'!#REF!+"`FU!$(]"</f>
        <v>#REF!</v>
      </c>
      <c r="CT47" t="e">
        <f>'Technical Skills Weighting'!#REF!+"`FU!$(^"</f>
        <v>#REF!</v>
      </c>
      <c r="CU47" t="e">
        <f>'Technical Skills Weighting'!#REF!+"`FU!$(_"</f>
        <v>#REF!</v>
      </c>
      <c r="CV47" t="e">
        <f>'Technical Skills Weighting'!#REF!+"`FU!$(`"</f>
        <v>#REF!</v>
      </c>
      <c r="CW47" t="e">
        <f>'Technical Skills Weighting'!#REF!+"`FU!$(a"</f>
        <v>#REF!</v>
      </c>
      <c r="CX47" t="e">
        <f>'Technical Skills Weighting'!#REF!+"`FU!$(b"</f>
        <v>#REF!</v>
      </c>
      <c r="CY47" t="e">
        <f>'Technical Skills Weighting'!#REF!+"`FU!$(c"</f>
        <v>#REF!</v>
      </c>
      <c r="CZ47" t="e">
        <f>'Technical Skills Weighting'!#REF!+"`FU!$(d"</f>
        <v>#REF!</v>
      </c>
      <c r="DA47" t="e">
        <f>'Technical Skills Weighting'!#REF!+"`FU!$(e"</f>
        <v>#REF!</v>
      </c>
      <c r="DB47" t="e">
        <f>'Technical Skills Weighting'!#REF!+"`FU!$(f"</f>
        <v>#REF!</v>
      </c>
      <c r="DC47" t="e">
        <f>'Technical Skills Weighting'!#REF!+"`FU!$(g"</f>
        <v>#REF!</v>
      </c>
      <c r="DD47" t="e">
        <f>'Technical Skills Weighting'!#REF!+"`FU!$(h"</f>
        <v>#REF!</v>
      </c>
      <c r="DE47" t="e">
        <f>'Technical Skills Weighting'!#REF!+"`FU!$(i"</f>
        <v>#REF!</v>
      </c>
      <c r="DF47" t="e">
        <f>'Technical Skills Weighting'!#REF!+"`FU!$(j"</f>
        <v>#REF!</v>
      </c>
      <c r="DG47" t="e">
        <f>'Technical Skills Weighting'!#REF!+"`FU!$(k"</f>
        <v>#REF!</v>
      </c>
      <c r="DH47" t="e">
        <f>'Technical Skills Weighting'!#REF!+"`FU!$(l"</f>
        <v>#REF!</v>
      </c>
      <c r="DI47" t="e">
        <f>'Technical Skills Weighting'!#REF!+"`FU!$(m"</f>
        <v>#REF!</v>
      </c>
      <c r="DJ47" t="e">
        <f>'Technical Skills Weighting'!#REF!+"`FU!$(n"</f>
        <v>#REF!</v>
      </c>
      <c r="DK47" t="e">
        <f>'Technical Skills Weighting'!#REF!+"`FU!$(o"</f>
        <v>#REF!</v>
      </c>
      <c r="DL47" t="e">
        <f>'Technical Skills Weighting'!#REF!+"`FU!$(p"</f>
        <v>#REF!</v>
      </c>
      <c r="DM47" t="e">
        <f>'Technical Skills Weighting'!#REF!+"`FU!$(q"</f>
        <v>#REF!</v>
      </c>
      <c r="DN47" t="e">
        <f>'Technical Skills Weighting'!#REF!+"`FU!$(r"</f>
        <v>#REF!</v>
      </c>
      <c r="DO47" t="e">
        <f>'Technical Skills Weighting'!#REF!+"`FU!$(s"</f>
        <v>#REF!</v>
      </c>
      <c r="DP47" t="e">
        <f>'Technical Skills Weighting'!#REF!+"`FU!$(t"</f>
        <v>#REF!</v>
      </c>
      <c r="DQ47" t="e">
        <f>'Technical Skills Weighting'!#REF!+"`FU!$(u"</f>
        <v>#REF!</v>
      </c>
      <c r="DR47" t="e">
        <f>'Technical Skills Weighting'!#REF!+"`FU!$(v"</f>
        <v>#REF!</v>
      </c>
      <c r="DS47" t="e">
        <f>'Technical Skills Weighting'!#REF!+"`FU!$(w"</f>
        <v>#REF!</v>
      </c>
      <c r="DT47" t="e">
        <f>'Technical Skills Weighting'!#REF!+"`FU!$(x"</f>
        <v>#REF!</v>
      </c>
      <c r="DU47" t="e">
        <f>'Technical Skills Weighting'!#REF!+"`FU!$(y"</f>
        <v>#REF!</v>
      </c>
      <c r="DV47" t="e">
        <f>'Technical Skills Weighting'!#REF!+"`FU!$(z"</f>
        <v>#REF!</v>
      </c>
      <c r="DW47" t="e">
        <f>'Technical Skills Weighting'!#REF!+"`FU!$({"</f>
        <v>#REF!</v>
      </c>
      <c r="DX47" t="e">
        <f>'Technical Skills Weighting'!#REF!+"`FU!$(|"</f>
        <v>#REF!</v>
      </c>
      <c r="DY47" t="e">
        <f>'Technical Skills Weighting'!#REF!+"`FU!$(}"</f>
        <v>#REF!</v>
      </c>
      <c r="DZ47" t="e">
        <f>'Technical Skills Weighting'!#REF!+"`FU!$(~"</f>
        <v>#REF!</v>
      </c>
      <c r="EA47" t="e">
        <f>'Technical Skills Weighting'!#REF!+"`FU!$)#"</f>
        <v>#REF!</v>
      </c>
      <c r="EB47" t="e">
        <f>'Technical Skills Weighting'!#REF!+"`FU!$)$"</f>
        <v>#REF!</v>
      </c>
      <c r="EC47" t="e">
        <f>'Technical Skills Weighting'!#REF!+"`FU!$)%"</f>
        <v>#REF!</v>
      </c>
      <c r="ED47" t="e">
        <f>'Technical Skills Weighting'!#REF!+"`FU!$)&amp;"</f>
        <v>#REF!</v>
      </c>
      <c r="EE47" t="e">
        <f>'Technical Skills Weighting'!#REF!+"`FU!$)'"</f>
        <v>#REF!</v>
      </c>
      <c r="EF47" t="e">
        <f>'Technical Skills Weighting'!#REF!+"`FU!$)("</f>
        <v>#REF!</v>
      </c>
      <c r="EG47" t="e">
        <f>'Technical Skills Weighting'!#REF!+"`FU!$))"</f>
        <v>#REF!</v>
      </c>
      <c r="EH47" t="e">
        <f>'Technical Skills Weighting'!#REF!+"`FU!$)."</f>
        <v>#REF!</v>
      </c>
      <c r="EI47" t="e">
        <f>'Technical Skills Weighting'!#REF!+"`FU!$)/"</f>
        <v>#REF!</v>
      </c>
      <c r="EJ47" t="e">
        <f>'Technical Skills Weighting'!#REF!+"`FU!$)0"</f>
        <v>#REF!</v>
      </c>
      <c r="EK47" t="e">
        <f>'Technical Skills Weighting'!#REF!+"`FU!$)1"</f>
        <v>#REF!</v>
      </c>
      <c r="EL47" t="e">
        <f>'Technical Skills Weighting'!#REF!+"`FU!$)2"</f>
        <v>#REF!</v>
      </c>
      <c r="EM47" t="e">
        <f>'Technical Skills Weighting'!#REF!+"`FU!$)3"</f>
        <v>#REF!</v>
      </c>
      <c r="EN47" t="e">
        <f>'Technical Skills Weighting'!#REF!+"`FU!$)4"</f>
        <v>#REF!</v>
      </c>
      <c r="EO47" t="e">
        <f>'Technical Skills Weighting'!#REF!+"`FU!$)5"</f>
        <v>#REF!</v>
      </c>
      <c r="EP47" t="e">
        <f>'Technical Skills Weighting'!#REF!+"`FU!$)6"</f>
        <v>#REF!</v>
      </c>
      <c r="EQ47" t="e">
        <f>'Technical Skills Weighting'!#REF!+"`FU!$)7"</f>
        <v>#REF!</v>
      </c>
      <c r="ER47" t="e">
        <f>'Technical Skills Weighting'!#REF!+"`FU!$)8"</f>
        <v>#REF!</v>
      </c>
      <c r="ES47" t="e">
        <f>'Technical Skills Weighting'!#REF!+"`FU!$)9"</f>
        <v>#REF!</v>
      </c>
      <c r="ET47" t="e">
        <f>'Technical Skills Weighting'!#REF!+"`FU!$):"</f>
        <v>#REF!</v>
      </c>
      <c r="EU47" t="e">
        <f>'Technical Skills Weighting'!#REF!+"`FU!$);"</f>
        <v>#REF!</v>
      </c>
      <c r="EV47" t="e">
        <f>'Technical Skills Weighting'!#REF!+"`FU!$)&lt;"</f>
        <v>#REF!</v>
      </c>
      <c r="EW47" t="e">
        <f>'Technical Skills Weighting'!#REF!+"`FU!$)="</f>
        <v>#REF!</v>
      </c>
      <c r="EX47" t="e">
        <f>'Technical Skills Weighting'!#REF!+"`FU!$)&gt;"</f>
        <v>#REF!</v>
      </c>
      <c r="EY47" t="e">
        <f>'Technical Skills Weighting'!#REF!+"`FU!$)?"</f>
        <v>#REF!</v>
      </c>
      <c r="EZ47" t="e">
        <f>'Technical Skills Weighting'!#REF!+"`FU!$)@"</f>
        <v>#REF!</v>
      </c>
      <c r="FA47" t="e">
        <f>'Technical Skills Weighting'!#REF!+"`FU!$)A"</f>
        <v>#REF!</v>
      </c>
      <c r="FB47" t="e">
        <f>'Technical Skills Weighting'!#REF!+"`FU!$)B"</f>
        <v>#REF!</v>
      </c>
      <c r="FC47" t="e">
        <f>'Technical Skills Weighting'!#REF!+"`FU!$)C"</f>
        <v>#REF!</v>
      </c>
      <c r="FD47" t="e">
        <f>'Technical Skills Weighting'!#REF!+"`FU!$)D"</f>
        <v>#REF!</v>
      </c>
      <c r="FE47" t="e">
        <f>'Technical Skills Weighting'!#REF!+"`FU!$)E"</f>
        <v>#REF!</v>
      </c>
      <c r="FF47" t="e">
        <f>'Technical Skills Weighting'!#REF!+"`FU!$)F"</f>
        <v>#REF!</v>
      </c>
      <c r="FG47" t="e">
        <f>'Technical Skills Weighting'!#REF!+"`FU!$)G"</f>
        <v>#REF!</v>
      </c>
      <c r="FH47" t="e">
        <f>'Technical Skills Weighting'!#REF!+"`FU!$)H"</f>
        <v>#REF!</v>
      </c>
      <c r="FI47" t="e">
        <f>'Technical Skills Weighting'!#REF!+"`FU!$)I"</f>
        <v>#REF!</v>
      </c>
      <c r="FJ47" t="e">
        <f>'Technical Skills Weighting'!#REF!+"`FU!$)J"</f>
        <v>#REF!</v>
      </c>
      <c r="FK47" t="e">
        <f>'Technical Skills Weighting'!#REF!+"`FU!$)K"</f>
        <v>#REF!</v>
      </c>
      <c r="FL47" t="e">
        <f>'Technical Skills Weighting'!#REF!+"`FU!$)L"</f>
        <v>#REF!</v>
      </c>
      <c r="FM47" t="e">
        <f>'Technical Skills Weighting'!#REF!+"`FU!$)M"</f>
        <v>#REF!</v>
      </c>
      <c r="FN47" t="e">
        <f>'Technical Skills Weighting'!#REF!+"`FU!$)N"</f>
        <v>#REF!</v>
      </c>
      <c r="FO47" t="e">
        <f>'Technical Skills Weighting'!#REF!+"`FU!$)O"</f>
        <v>#REF!</v>
      </c>
      <c r="FP47" t="e">
        <f>'Technical Skills Weighting'!#REF!+"`FU!$)P"</f>
        <v>#REF!</v>
      </c>
      <c r="FQ47" t="e">
        <f>'Technical Skills Weighting'!#REF!+"`FU!$)Q"</f>
        <v>#REF!</v>
      </c>
      <c r="FR47" t="e">
        <f>'Technical Skills Weighting'!#REF!+"`FU!$)R"</f>
        <v>#REF!</v>
      </c>
      <c r="FS47" t="e">
        <f>'Technical Skills Weighting'!#REF!+"`FU!$)S"</f>
        <v>#REF!</v>
      </c>
      <c r="FT47" t="e">
        <f>'Technical Skills Weighting'!#REF!+"`FU!$)T"</f>
        <v>#REF!</v>
      </c>
      <c r="FU47" t="e">
        <f>'Technical Skills Weighting'!#REF!+"`FU!$)U"</f>
        <v>#REF!</v>
      </c>
      <c r="FV47" t="e">
        <f>'Technical Skills Weighting'!#REF!+"`FU!$)V"</f>
        <v>#REF!</v>
      </c>
      <c r="FW47" t="e">
        <f>'Technical Skills Weighting'!#REF!+"`FU!$)W"</f>
        <v>#REF!</v>
      </c>
      <c r="FX47" t="e">
        <f>'Technical Skills Weighting'!#REF!+"`FU!$)X"</f>
        <v>#REF!</v>
      </c>
      <c r="FY47" t="e">
        <f>'Technical Skills Weighting'!#REF!+"`FU!$)Y"</f>
        <v>#REF!</v>
      </c>
      <c r="FZ47" t="e">
        <f>'Technical Skills Weighting'!#REF!+"`FU!$)Z"</f>
        <v>#REF!</v>
      </c>
      <c r="GA47" t="e">
        <f>'Technical Skills Weighting'!#REF!+"`FU!$)["</f>
        <v>#REF!</v>
      </c>
      <c r="GB47" t="e">
        <f>'Technical Skills Weighting'!#REF!+"`FU!$)\"</f>
        <v>#REF!</v>
      </c>
      <c r="GC47" t="e">
        <f>'Technical Skills Weighting'!#REF!+"`FU!$)]"</f>
        <v>#REF!</v>
      </c>
      <c r="GD47" t="e">
        <f>'Technical Skills Weighting'!#REF!+"`FU!$)^"</f>
        <v>#REF!</v>
      </c>
      <c r="GE47" t="e">
        <f>'Technical Skills Weighting'!#REF!+"`FU!$)_"</f>
        <v>#REF!</v>
      </c>
      <c r="GF47" t="e">
        <f>'Technical Skills Weighting'!#REF!+"`FU!$)`"</f>
        <v>#REF!</v>
      </c>
      <c r="GG47" t="e">
        <f>'Technical Skills Weighting'!#REF!+"`FU!$)a"</f>
        <v>#REF!</v>
      </c>
      <c r="GH47" t="e">
        <f>'Technical Skills Weighting'!#REF!+"`FU!$)b"</f>
        <v>#REF!</v>
      </c>
      <c r="GI47" t="e">
        <f>'Technical Skills Weighting'!#REF!+"`FU!$)c"</f>
        <v>#REF!</v>
      </c>
      <c r="GJ47" t="e">
        <f>'Technical Skills Weighting'!#REF!+"`FU!$)d"</f>
        <v>#REF!</v>
      </c>
      <c r="GK47" t="e">
        <f>'Technical Skills Weighting'!#REF!+"`FU!$)e"</f>
        <v>#REF!</v>
      </c>
      <c r="GL47" t="e">
        <f>'Technical Skills Weighting'!#REF!+"`FU!$)f"</f>
        <v>#REF!</v>
      </c>
      <c r="GM47" t="e">
        <f>'Technical Skills Weighting'!#REF!+"`FU!$)g"</f>
        <v>#REF!</v>
      </c>
      <c r="GN47" t="e">
        <f>'Technical Skills Weighting'!#REF!+"`FU!$)h"</f>
        <v>#REF!</v>
      </c>
      <c r="GO47" t="e">
        <f>'Technical Skills Weighting'!#REF!+"`FU!$)i"</f>
        <v>#REF!</v>
      </c>
      <c r="GP47" t="e">
        <f>'Technical Skills Weighting'!#REF!+"`FU!$)j"</f>
        <v>#REF!</v>
      </c>
      <c r="GQ47" t="e">
        <f>'Technical Skills Weighting'!#REF!+"`FU!$)k"</f>
        <v>#REF!</v>
      </c>
      <c r="GR47" t="e">
        <f>'Technical Skills Weighting'!#REF!+"`FU!$)l"</f>
        <v>#REF!</v>
      </c>
      <c r="GS47" t="e">
        <f>'Technical Skills Weighting'!#REF!+"`FU!$)m"</f>
        <v>#REF!</v>
      </c>
      <c r="GT47" t="e">
        <f>'Technical Skills Weighting'!#REF!+"`FU!$)n"</f>
        <v>#REF!</v>
      </c>
      <c r="GU47" t="e">
        <f>'Technical Skills Weighting'!#REF!+"`FU!$)o"</f>
        <v>#REF!</v>
      </c>
      <c r="GV47" t="e">
        <f>'Technical Skills Weighting'!#REF!+"`FU!$)p"</f>
        <v>#REF!</v>
      </c>
      <c r="GW47" t="e">
        <f>'Technical Skills Weighting'!#REF!+"`FU!$)q"</f>
        <v>#REF!</v>
      </c>
      <c r="GX47" t="e">
        <f>'Technical Skills Weighting'!#REF!+"`FU!$)r"</f>
        <v>#REF!</v>
      </c>
      <c r="GY47" t="e">
        <f>'Technical Skills Weighting'!#REF!+"`FU!$)s"</f>
        <v>#REF!</v>
      </c>
      <c r="GZ47" t="e">
        <f>'Technical Skills Weighting'!#REF!+"`FU!$)t"</f>
        <v>#REF!</v>
      </c>
      <c r="HA47" t="e">
        <f>'Technical Skills Weighting'!#REF!+"`FU!$)u"</f>
        <v>#REF!</v>
      </c>
      <c r="HB47" t="e">
        <f>'Technical Skills Weighting'!#REF!+"`FU!$)v"</f>
        <v>#REF!</v>
      </c>
      <c r="HC47" t="e">
        <f>'Technical Skills Weighting'!#REF!+"`FU!$)w"</f>
        <v>#REF!</v>
      </c>
      <c r="HD47" t="e">
        <f>'Technical Skills Weighting'!#REF!+"`FU!$)x"</f>
        <v>#REF!</v>
      </c>
      <c r="HE47" t="e">
        <f>'Technical Skills Weighting'!#REF!+"`FU!$)y"</f>
        <v>#REF!</v>
      </c>
      <c r="HF47" t="e">
        <f>'Technical Skills Weighting'!#REF!+"`FU!$)z"</f>
        <v>#REF!</v>
      </c>
      <c r="HG47" t="e">
        <f>'Technical Skills Weighting'!#REF!+"`FU!$){"</f>
        <v>#REF!</v>
      </c>
      <c r="HH47" t="e">
        <f>'Technical Skills Weighting'!#REF!+"`FU!$)|"</f>
        <v>#REF!</v>
      </c>
      <c r="HI47" t="e">
        <f>'Technical Skills Weighting'!#REF!+"`FU!$)}"</f>
        <v>#REF!</v>
      </c>
      <c r="HJ47" t="e">
        <f>'Technical Skills Weighting'!#REF!+"`FU!$)~"</f>
        <v>#REF!</v>
      </c>
      <c r="HK47" t="e">
        <f>'Technical Skills Weighting'!#REF!+"`FU!$.#"</f>
        <v>#REF!</v>
      </c>
      <c r="HL47" t="e">
        <f>'Technical Skills Weighting'!#REF!+"`FU!$.$"</f>
        <v>#REF!</v>
      </c>
      <c r="HM47" t="e">
        <f>'Technical Skills Weighting'!#REF!+"`FU!$.%"</f>
        <v>#REF!</v>
      </c>
      <c r="HN47" t="e">
        <f>'Technical Skills Weighting'!#REF!+"`FU!$.&amp;"</f>
        <v>#REF!</v>
      </c>
      <c r="HO47" t="e">
        <f>'Technical Skills Weighting'!#REF!+"`FU!$.'"</f>
        <v>#REF!</v>
      </c>
      <c r="HP47" t="e">
        <f>'Technical Skills Weighting'!#REF!+"`FU!$.("</f>
        <v>#REF!</v>
      </c>
      <c r="HQ47" t="e">
        <f>'Technical Skills Weighting'!#REF!+"`FU!$.)"</f>
        <v>#REF!</v>
      </c>
      <c r="HR47" t="e">
        <f>'Technical Skills Weighting'!#REF!+"`FU!$.."</f>
        <v>#REF!</v>
      </c>
      <c r="HS47" t="e">
        <f>'Technical Skills Weighting'!#REF!+"`FU!$./"</f>
        <v>#REF!</v>
      </c>
      <c r="HT47" t="e">
        <f>'Technical Skills Weighting'!#REF!+"`FU!$.0"</f>
        <v>#REF!</v>
      </c>
      <c r="HU47" t="e">
        <f>'Technical Skills Weighting'!#REF!+"`FU!$.1"</f>
        <v>#REF!</v>
      </c>
      <c r="HV47" t="e">
        <f>'Technical Skills Weighting'!#REF!+"`FU!$.2"</f>
        <v>#REF!</v>
      </c>
      <c r="HW47" t="e">
        <f>'Technical Skills Weighting'!#REF!+"`FU!$.3"</f>
        <v>#REF!</v>
      </c>
      <c r="HX47" t="e">
        <f>'Technical Skills Weighting'!#REF!+"`FU!$.4"</f>
        <v>#REF!</v>
      </c>
      <c r="HY47" t="e">
        <f>'Technical Skills Weighting'!#REF!+"`FU!$.5"</f>
        <v>#REF!</v>
      </c>
      <c r="HZ47" t="e">
        <f>'Technical Skills Weighting'!#REF!+"`FU!$.6"</f>
        <v>#REF!</v>
      </c>
      <c r="IA47" t="e">
        <f>'Technical Skills Weighting'!#REF!+"`FU!$.7"</f>
        <v>#REF!</v>
      </c>
      <c r="IB47" t="e">
        <f>'Technical Skills Weighting'!#REF!+"`FU!$.8"</f>
        <v>#REF!</v>
      </c>
      <c r="IC47" t="e">
        <f>'Technical Skills Weighting'!#REF!+"`FU!$.9"</f>
        <v>#REF!</v>
      </c>
      <c r="ID47" t="e">
        <f>'Technical Skills Weighting'!#REF!+"`FU!$.:"</f>
        <v>#REF!</v>
      </c>
      <c r="IE47" t="e">
        <f>'Technical Skills Weighting'!#REF!+"`FU!$.;"</f>
        <v>#REF!</v>
      </c>
      <c r="IF47" t="e">
        <f>'Technical Skills Weighting'!#REF!+"`FU!$.&lt;"</f>
        <v>#REF!</v>
      </c>
      <c r="IG47" t="e">
        <f>'Technical Skills Weighting'!#REF!+"`FU!$.="</f>
        <v>#REF!</v>
      </c>
      <c r="IH47" t="e">
        <f>'Technical Skills Weighting'!#REF!+"`FU!$.&gt;"</f>
        <v>#REF!</v>
      </c>
      <c r="II47" t="e">
        <f>'Technical Skills Weighting'!#REF!+"`FU!$.?"</f>
        <v>#REF!</v>
      </c>
      <c r="IJ47" t="e">
        <f>'Technical Skills Weighting'!#REF!+"`FU!$.@"</f>
        <v>#REF!</v>
      </c>
      <c r="IK47" t="e">
        <f>'Technical Skills Weighting'!#REF!+"`FU!$.A"</f>
        <v>#REF!</v>
      </c>
      <c r="IL47" t="e">
        <f>'Technical Skills Weighting'!#REF!+"`FU!$.B"</f>
        <v>#REF!</v>
      </c>
      <c r="IM47" t="e">
        <f>'Technical Skills Weighting'!#REF!+"`FU!$.C"</f>
        <v>#REF!</v>
      </c>
      <c r="IN47" t="e">
        <f>'Technical Skills Weighting'!#REF!+"`FU!$.D"</f>
        <v>#REF!</v>
      </c>
      <c r="IO47" t="e">
        <f>'Technical Skills Weighting'!#REF!+"`FU!$.E"</f>
        <v>#REF!</v>
      </c>
      <c r="IP47" t="e">
        <f>'Technical Skills Weighting'!#REF!+"`FU!$.F"</f>
        <v>#REF!</v>
      </c>
      <c r="IQ47" t="e">
        <f>'Technical Skills Weighting'!#REF!+"`FU!$.G"</f>
        <v>#REF!</v>
      </c>
      <c r="IR47" t="e">
        <f>'Technical Skills Weighting'!#REF!+"`FU!$.H"</f>
        <v>#REF!</v>
      </c>
      <c r="IS47" t="e">
        <f>'Technical Skills Weighting'!#REF!+"`FU!$.I"</f>
        <v>#REF!</v>
      </c>
      <c r="IT47" t="e">
        <f>'Technical Skills Weighting'!#REF!+"`FU!$.J"</f>
        <v>#REF!</v>
      </c>
      <c r="IU47" t="e">
        <f>'Technical Skills Weighting'!#REF!+"`FU!$.K"</f>
        <v>#REF!</v>
      </c>
      <c r="IV47" t="e">
        <f>'Technical Skills Weighting'!#REF!+"`FU!$.L"</f>
        <v>#REF!</v>
      </c>
    </row>
    <row r="48" spans="6:256" x14ac:dyDescent="0.25">
      <c r="F48" t="e">
        <f>'Technical Skills Weighting'!#REF!+"`FU!$.M"</f>
        <v>#REF!</v>
      </c>
      <c r="G48" t="e">
        <f>'Technical Skills Weighting'!#REF!+"`FU!$.N"</f>
        <v>#REF!</v>
      </c>
      <c r="H48" t="e">
        <f>'Technical Skills Weighting'!#REF!+"`FU!$.O"</f>
        <v>#REF!</v>
      </c>
      <c r="I48" t="e">
        <f>'Technical Skills Weighting'!#REF!+"`FU!$.P"</f>
        <v>#REF!</v>
      </c>
      <c r="J48" t="e">
        <f>'Technical Skills Weighting'!#REF!+"`FU!$.Q"</f>
        <v>#REF!</v>
      </c>
      <c r="K48" t="e">
        <f>'Technical Skills Weighting'!#REF!+"`FU!$.R"</f>
        <v>#REF!</v>
      </c>
      <c r="L48" t="e">
        <f>'Technical Skills Weighting'!#REF!+"`FU!$.S"</f>
        <v>#REF!</v>
      </c>
      <c r="M48" t="e">
        <f>'Technical Skills Weighting'!#REF!+"`FU!$.T"</f>
        <v>#REF!</v>
      </c>
      <c r="N48" t="e">
        <f>'Technical Skills Weighting'!#REF!+"`FU!$.U"</f>
        <v>#REF!</v>
      </c>
      <c r="O48" t="e">
        <f>'Technical Skills Weighting'!#REF!+"`FU!$.V"</f>
        <v>#REF!</v>
      </c>
      <c r="P48" t="e">
        <f>'Technical Skills Weighting'!#REF!+"`FU!$.W"</f>
        <v>#REF!</v>
      </c>
      <c r="Q48" t="e">
        <f>'Technical Skills Weighting'!#REF!+"`FU!$.X"</f>
        <v>#REF!</v>
      </c>
      <c r="R48" t="e">
        <f>'Technical Skills Weighting'!#REF!+"`FU!$.Y"</f>
        <v>#REF!</v>
      </c>
      <c r="S48" t="e">
        <f>'Technical Skills Weighting'!#REF!+"`FU!$.Z"</f>
        <v>#REF!</v>
      </c>
      <c r="T48" t="e">
        <f>'Technical Skills Weighting'!#REF!+"`FU!$.["</f>
        <v>#REF!</v>
      </c>
      <c r="U48" t="e">
        <f>'Technical Skills Weighting'!#REF!+"`FU!$.\"</f>
        <v>#REF!</v>
      </c>
      <c r="V48" t="e">
        <f>'Technical Skills Weighting'!#REF!+"`FU!$.]"</f>
        <v>#REF!</v>
      </c>
      <c r="W48" t="e">
        <f>'Technical Skills Weighting'!#REF!+"`FU!$.^"</f>
        <v>#REF!</v>
      </c>
      <c r="X48" t="e">
        <f>'Technical Skills Weighting'!#REF!+"`FU!$._"</f>
        <v>#REF!</v>
      </c>
      <c r="Y48" t="e">
        <f>'Technical Skills Weighting'!#REF!+"`FU!$.`"</f>
        <v>#REF!</v>
      </c>
      <c r="Z48" t="e">
        <f>'Technical Skills Weighting'!#REF!+"`FU!$.a"</f>
        <v>#REF!</v>
      </c>
      <c r="AA48" t="e">
        <f>'Technical Skills Weighting'!#REF!+"`FU!$.b"</f>
        <v>#REF!</v>
      </c>
      <c r="AB48" t="e">
        <f>'Technical Skills Weighting'!#REF!+"`FU!$.c"</f>
        <v>#REF!</v>
      </c>
      <c r="AC48" t="e">
        <f>'Technical Skills Weighting'!#REF!+"`FU!$.d"</f>
        <v>#REF!</v>
      </c>
      <c r="AD48" t="e">
        <f>'Technical Skills Weighting'!#REF!+"`FU!$.e"</f>
        <v>#REF!</v>
      </c>
      <c r="AE48" t="e">
        <f>'Technical Skills Weighting'!#REF!+"`FU!$.f"</f>
        <v>#REF!</v>
      </c>
      <c r="AF48" t="e">
        <f>'Technical Skills Weighting'!#REF!+"`FU!$.g"</f>
        <v>#REF!</v>
      </c>
      <c r="AG48" t="e">
        <f>'Technical Skills Weighting'!#REF!+"`FU!$.h"</f>
        <v>#REF!</v>
      </c>
      <c r="AH48" t="e">
        <f>'Technical Skills Weighting'!#REF!+"`FU!$.i"</f>
        <v>#REF!</v>
      </c>
      <c r="AI48" t="e">
        <f>'Technical Skills Weighting'!#REF!+"`FU!$.j"</f>
        <v>#REF!</v>
      </c>
      <c r="AJ48" t="e">
        <f>'Technical Skills Weighting'!#REF!+"`FU!$.k"</f>
        <v>#REF!</v>
      </c>
      <c r="AK48" t="e">
        <f>'Technical Skills Weighting'!#REF!+"`FU!$.l"</f>
        <v>#REF!</v>
      </c>
      <c r="AL48" t="e">
        <f>'Technical Skills Weighting'!#REF!+"`FU!$.m"</f>
        <v>#REF!</v>
      </c>
      <c r="AM48" t="e">
        <f>'Technical Skills Weighting'!#REF!+"`FU!$.n"</f>
        <v>#REF!</v>
      </c>
      <c r="AN48" t="e">
        <f>'Technical Skills Weighting'!#REF!+"`FU!$.o"</f>
        <v>#REF!</v>
      </c>
      <c r="AO48" t="e">
        <f>'Technical Skills Weighting'!#REF!+"`FU!$.p"</f>
        <v>#REF!</v>
      </c>
      <c r="AP48" t="e">
        <f>'Technical Skills Weighting'!#REF!+"`FU!$.q"</f>
        <v>#REF!</v>
      </c>
      <c r="AQ48" t="e">
        <f>'Technical Skills Weighting'!#REF!+"`FU!$.r"</f>
        <v>#REF!</v>
      </c>
      <c r="AR48" t="e">
        <f>'Technical Skills Weighting'!#REF!+"`FU!$.s"</f>
        <v>#REF!</v>
      </c>
      <c r="AS48" t="e">
        <f>'Technical Skills Weighting'!#REF!+"`FU!$.t"</f>
        <v>#REF!</v>
      </c>
      <c r="AT48" t="e">
        <f>'Technical Skills Weighting'!#REF!+"`FU!$.u"</f>
        <v>#REF!</v>
      </c>
      <c r="AU48" t="e">
        <f>'Technical Skills Weighting'!#REF!+"`FU!$.v"</f>
        <v>#REF!</v>
      </c>
      <c r="AV48" t="e">
        <f>'Technical Skills Weighting'!#REF!+"`FU!$.w"</f>
        <v>#REF!</v>
      </c>
      <c r="AW48" t="e">
        <f>'Technical Skills Weighting'!#REF!+"`FU!$.x"</f>
        <v>#REF!</v>
      </c>
      <c r="AX48" t="e">
        <f>'Technical Skills Weighting'!#REF!+"`FU!$.y"</f>
        <v>#REF!</v>
      </c>
      <c r="AY48" t="e">
        <f>'Technical Skills Weighting'!#REF!+"`FU!$.z"</f>
        <v>#REF!</v>
      </c>
      <c r="AZ48" t="e">
        <f>'Technical Skills Weighting'!#REF!+"`FU!$.{"</f>
        <v>#REF!</v>
      </c>
      <c r="BA48" t="e">
        <f>'Technical Skills Weighting'!#REF!+"`FU!$.|"</f>
        <v>#REF!</v>
      </c>
      <c r="BB48" t="e">
        <f>'Technical Skills Weighting'!#REF!+"`FU!$.}"</f>
        <v>#REF!</v>
      </c>
      <c r="BC48" t="e">
        <f>'Technical Skills Weighting'!#REF!+"`FU!$.~"</f>
        <v>#REF!</v>
      </c>
      <c r="BD48" t="e">
        <f>'Technical Skills Weighting'!#REF!+"`FU!$/#"</f>
        <v>#REF!</v>
      </c>
      <c r="BE48" t="e">
        <f>'Technical Skills Weighting'!#REF!+"`FU!$/$"</f>
        <v>#REF!</v>
      </c>
      <c r="BF48" t="e">
        <f>'Technical Skills Weighting'!#REF!+"`FU!$/%"</f>
        <v>#REF!</v>
      </c>
      <c r="BG48" t="e">
        <f>'Technical Skills Weighting'!#REF!+"`FU!$/&amp;"</f>
        <v>#REF!</v>
      </c>
      <c r="BH48" t="e">
        <f>'Technical Skills Weighting'!#REF!+"`FU!$/'"</f>
        <v>#REF!</v>
      </c>
      <c r="BI48" t="e">
        <f>'Technical Skills Weighting'!#REF!+"`FU!$/("</f>
        <v>#REF!</v>
      </c>
      <c r="BJ48" t="e">
        <f>'Technical Skills Weighting'!#REF!+"`FU!$/)"</f>
        <v>#REF!</v>
      </c>
      <c r="BK48" t="e">
        <f>'Technical Skills Weighting'!#REF!+"`FU!$/."</f>
        <v>#REF!</v>
      </c>
      <c r="BL48" t="e">
        <f>'Technical Skills Weighting'!#REF!+"`FU!$//"</f>
        <v>#REF!</v>
      </c>
      <c r="BM48" t="e">
        <f>'Technical Skills Weighting'!#REF!+"`FU!$/0"</f>
        <v>#REF!</v>
      </c>
      <c r="BN48" t="e">
        <f>'Technical Skills Weighting'!#REF!+"`FU!$/1"</f>
        <v>#REF!</v>
      </c>
      <c r="BO48" t="e">
        <f>'Technical Skills Weighting'!#REF!+"`FU!$/2"</f>
        <v>#REF!</v>
      </c>
      <c r="BP48" t="e">
        <f>'Technical Skills Weighting'!#REF!+"`FU!$/3"</f>
        <v>#REF!</v>
      </c>
      <c r="BQ48" t="e">
        <f>'Technical Skills Weighting'!#REF!+"`FU!$/4"</f>
        <v>#REF!</v>
      </c>
      <c r="BR48" t="e">
        <f>'Technical Skills Weighting'!#REF!+"`FU!$/5"</f>
        <v>#REF!</v>
      </c>
      <c r="BS48" t="e">
        <f>'Technical Skills Weighting'!#REF!+"`FU!$/6"</f>
        <v>#REF!</v>
      </c>
      <c r="BT48" t="e">
        <f>'Technical Skills Weighting'!#REF!+"`FU!$/7"</f>
        <v>#REF!</v>
      </c>
      <c r="BU48" t="e">
        <f>'Technical Skills Weighting'!#REF!+"`FU!$/8"</f>
        <v>#REF!</v>
      </c>
      <c r="BV48" t="e">
        <f>'Technical Skills Weighting'!#REF!+"`FU!$/9"</f>
        <v>#REF!</v>
      </c>
      <c r="BW48" t="e">
        <f>'Technical Skills Weighting'!#REF!+"`FU!$/:"</f>
        <v>#REF!</v>
      </c>
      <c r="BX48" t="e">
        <f>'Technical Skills Weighting'!#REF!+"`FU!$/;"</f>
        <v>#REF!</v>
      </c>
      <c r="BY48" t="e">
        <f>'Technical Skills Weighting'!#REF!+"`FU!$/&lt;"</f>
        <v>#REF!</v>
      </c>
      <c r="BZ48" t="e">
        <f>'Technical Skills Weighting'!#REF!+"`FU!$/="</f>
        <v>#REF!</v>
      </c>
      <c r="CA48" t="e">
        <f>'Technical Skills Weighting'!#REF!+"`FU!$/&gt;"</f>
        <v>#REF!</v>
      </c>
      <c r="CB48" t="e">
        <f>'Technical Skills Weighting'!#REF!+"`FU!$/?"</f>
        <v>#REF!</v>
      </c>
      <c r="CC48" t="e">
        <f>'Technical Skills Weighting'!#REF!+"`FU!$/@"</f>
        <v>#REF!</v>
      </c>
      <c r="CD48" t="e">
        <f>'Technical Skills Weighting'!#REF!+"`FU!$/A"</f>
        <v>#REF!</v>
      </c>
      <c r="CE48" t="e">
        <f>'Technical Skills Weighting'!#REF!+"`FU!$/B"</f>
        <v>#REF!</v>
      </c>
      <c r="CF48" t="e">
        <f>'Technical Skills Weighting'!#REF!+"`FU!$/C"</f>
        <v>#REF!</v>
      </c>
      <c r="CG48" t="e">
        <f>'Technical Skills Weighting'!#REF!+"`FU!$/D"</f>
        <v>#REF!</v>
      </c>
      <c r="CH48" t="e">
        <f>'Technical Skills Weighting'!#REF!+"`FU!$/E"</f>
        <v>#REF!</v>
      </c>
      <c r="CI48" t="e">
        <f>'Technical Skills Weighting'!#REF!+"`FU!$/F"</f>
        <v>#REF!</v>
      </c>
      <c r="CJ48" t="e">
        <f>'Technical Skills Weighting'!#REF!+"`FU!$/G"</f>
        <v>#REF!</v>
      </c>
      <c r="CK48" t="e">
        <f>'Technical Skills Weighting'!#REF!+"`FU!$/H"</f>
        <v>#REF!</v>
      </c>
      <c r="CL48" t="e">
        <f>'Technical Skills Weighting'!#REF!+"`FU!$/I"</f>
        <v>#REF!</v>
      </c>
      <c r="CM48" t="e">
        <f>'Technical Skills Weighting'!#REF!+"`FU!$/J"</f>
        <v>#REF!</v>
      </c>
      <c r="CN48" t="e">
        <f>'Technical Skills Weighting'!#REF!+"`FU!$/K"</f>
        <v>#REF!</v>
      </c>
      <c r="CO48" t="e">
        <f>'Technical Skills Weighting'!#REF!+"`FU!$/L"</f>
        <v>#REF!</v>
      </c>
      <c r="CP48" t="e">
        <f>'Technical Skills Weighting'!#REF!+"`FU!$/M"</f>
        <v>#REF!</v>
      </c>
      <c r="CQ48" t="e">
        <f>'Technical Skills Weighting'!#REF!+"`FU!$/N"</f>
        <v>#REF!</v>
      </c>
      <c r="CR48" t="e">
        <f>'Technical Skills Weighting'!#REF!+"`FU!$/O"</f>
        <v>#REF!</v>
      </c>
      <c r="CS48" t="e">
        <f>'Technical Skills Weighting'!#REF!+"`FU!$/P"</f>
        <v>#REF!</v>
      </c>
      <c r="CT48" t="e">
        <f>'Technical Skills Weighting'!#REF!+"`FU!$/Q"</f>
        <v>#REF!</v>
      </c>
      <c r="CU48" t="e">
        <f>'Technical Skills Weighting'!#REF!+"`FU!$/R"</f>
        <v>#REF!</v>
      </c>
      <c r="CV48" t="e">
        <f>'Technical Skills Weighting'!#REF!+"`FU!$/S"</f>
        <v>#REF!</v>
      </c>
      <c r="CW48" t="e">
        <f>'Technical Skills Weighting'!#REF!+"`FU!$/T"</f>
        <v>#REF!</v>
      </c>
      <c r="CX48" t="e">
        <f>'Technical Skills Weighting'!#REF!+"`FU!$/U"</f>
        <v>#REF!</v>
      </c>
      <c r="CY48" t="e">
        <f>'Technical Skills Weighting'!#REF!+"`FU!$/V"</f>
        <v>#REF!</v>
      </c>
      <c r="CZ48" t="e">
        <f>'Technical Skills Weighting'!#REF!+"`FU!$/W"</f>
        <v>#REF!</v>
      </c>
      <c r="DA48" t="e">
        <f>'Technical Skills Weighting'!#REF!+"`FU!$/X"</f>
        <v>#REF!</v>
      </c>
      <c r="DB48" t="e">
        <f>'Technical Skills Weighting'!#REF!+"`FU!$/Y"</f>
        <v>#REF!</v>
      </c>
      <c r="DC48" t="e">
        <f>'Technical Skills Weighting'!#REF!+"`FU!$/Z"</f>
        <v>#REF!</v>
      </c>
      <c r="DD48" t="e">
        <f>'Technical Skills Weighting'!#REF!+"`FU!$/["</f>
        <v>#REF!</v>
      </c>
      <c r="DE48" t="e">
        <f>'Technical Skills Weighting'!#REF!+"`FU!$/\"</f>
        <v>#REF!</v>
      </c>
      <c r="DF48" t="e">
        <f>'Technical Skills Weighting'!#REF!+"`FU!$/]"</f>
        <v>#REF!</v>
      </c>
      <c r="DG48" t="e">
        <f>'Technical Skills Weighting'!#REF!+"`FU!$/^"</f>
        <v>#REF!</v>
      </c>
      <c r="DH48" t="e">
        <f>'Technical Skills Weighting'!#REF!+"`FU!$/_"</f>
        <v>#REF!</v>
      </c>
      <c r="DI48" t="e">
        <f>'Technical Skills Weighting'!#REF!+"`FU!$/`"</f>
        <v>#REF!</v>
      </c>
      <c r="DJ48" t="e">
        <f>'Technical Skills Weighting'!#REF!+"`FU!$/a"</f>
        <v>#REF!</v>
      </c>
      <c r="DK48" t="e">
        <f>'Technical Skills Weighting'!#REF!+"`FU!$/b"</f>
        <v>#REF!</v>
      </c>
      <c r="DL48" t="e">
        <f>'Technical Skills Weighting'!#REF!+"`FU!$/c"</f>
        <v>#REF!</v>
      </c>
      <c r="DM48" t="e">
        <f>'Technical Skills Weighting'!#REF!+"`FU!$/d"</f>
        <v>#REF!</v>
      </c>
      <c r="DN48" t="e">
        <f>'Technical Skills Weighting'!#REF!+"`FU!$/e"</f>
        <v>#REF!</v>
      </c>
      <c r="DO48" t="e">
        <f>'Technical Skills Weighting'!#REF!+"`FU!$/f"</f>
        <v>#REF!</v>
      </c>
      <c r="DP48" t="e">
        <f>'Technical Skills Weighting'!#REF!+"`FU!$/g"</f>
        <v>#REF!</v>
      </c>
      <c r="DQ48" t="e">
        <f>'Technical Skills Weighting'!#REF!+"`FU!$/h"</f>
        <v>#REF!</v>
      </c>
      <c r="DR48" t="e">
        <f>'Technical Skills Weighting'!#REF!+"`FU!$/i"</f>
        <v>#REF!</v>
      </c>
      <c r="DS48" t="e">
        <f>'Technical Skills Weighting'!#REF!+"`FU!$/j"</f>
        <v>#REF!</v>
      </c>
      <c r="DT48" t="e">
        <f>'Technical Skills Weighting'!#REF!+"`FU!$/k"</f>
        <v>#REF!</v>
      </c>
      <c r="DU48" t="e">
        <f>'Technical Skills Weighting'!#REF!+"`FU!$/l"</f>
        <v>#REF!</v>
      </c>
      <c r="DV48" t="e">
        <f>'Technical Skills Weighting'!#REF!+"`FU!$/m"</f>
        <v>#REF!</v>
      </c>
      <c r="DW48" t="e">
        <f>'Technical Skills Weighting'!#REF!+"`FU!$/n"</f>
        <v>#REF!</v>
      </c>
      <c r="DX48" t="e">
        <f>'Technical Skills Weighting'!#REF!+"`FU!$/o"</f>
        <v>#REF!</v>
      </c>
      <c r="DY48" t="e">
        <f>'Technical Skills Weighting'!#REF!+"`FU!$/p"</f>
        <v>#REF!</v>
      </c>
      <c r="DZ48" t="e">
        <f>'Technical Skills Weighting'!#REF!+"`FU!$/q"</f>
        <v>#REF!</v>
      </c>
      <c r="EA48" t="e">
        <f>'Technical Skills Weighting'!#REF!+"`FU!$/r"</f>
        <v>#REF!</v>
      </c>
      <c r="EB48" t="e">
        <f>'Technical Skills Weighting'!#REF!+"`FU!$/s"</f>
        <v>#REF!</v>
      </c>
      <c r="EC48" t="e">
        <f>'Technical Skills Weighting'!#REF!+"`FU!$/t"</f>
        <v>#REF!</v>
      </c>
      <c r="ED48" t="e">
        <f>'Technical Skills Weighting'!#REF!+"`FU!$/u"</f>
        <v>#REF!</v>
      </c>
      <c r="EE48" t="e">
        <f>'Technical Skills Weighting'!#REF!+"`FU!$/v"</f>
        <v>#REF!</v>
      </c>
      <c r="EF48" t="e">
        <f>'Technical Skills Weighting'!#REF!+"`FU!$/w"</f>
        <v>#REF!</v>
      </c>
      <c r="EG48" t="e">
        <f>'Technical Skills Weighting'!#REF!+"`FU!$/x"</f>
        <v>#REF!</v>
      </c>
      <c r="EH48" t="e">
        <f>'Technical Skills Weighting'!#REF!+"`FU!$/y"</f>
        <v>#REF!</v>
      </c>
      <c r="EI48" t="e">
        <f>'Technical Skills Weighting'!#REF!+"`FU!$/z"</f>
        <v>#REF!</v>
      </c>
      <c r="EJ48" t="e">
        <f>'Technical Skills Weighting'!#REF!+"`FU!$/{"</f>
        <v>#REF!</v>
      </c>
      <c r="EK48" t="e">
        <f>'Technical Skills Weighting'!#REF!+"`FU!$/|"</f>
        <v>#REF!</v>
      </c>
      <c r="EL48" t="e">
        <f>'Technical Skills Weighting'!#REF!+"`FU!$/}"</f>
        <v>#REF!</v>
      </c>
      <c r="EM48" t="e">
        <f>'Technical Skills Weighting'!#REF!+"`FU!$/~"</f>
        <v>#REF!</v>
      </c>
      <c r="EN48" t="e">
        <f>'Technical Skills Weighting'!#REF!+"`FU!$0#"</f>
        <v>#REF!</v>
      </c>
      <c r="EO48" t="e">
        <f>'Technical Skills Weighting'!#REF!+"`FU!$0$"</f>
        <v>#REF!</v>
      </c>
      <c r="EP48" t="e">
        <f>'Technical Skills Weighting'!#REF!+"`FU!$0%"</f>
        <v>#REF!</v>
      </c>
      <c r="EQ48" t="e">
        <f>'Technical Skills Weighting'!#REF!+"`FU!$0&amp;"</f>
        <v>#REF!</v>
      </c>
      <c r="ER48" t="e">
        <f>'Technical Skills Weighting'!#REF!+"`FU!$0'"</f>
        <v>#REF!</v>
      </c>
      <c r="ES48" t="e">
        <f>'Technical Skills Weighting'!#REF!+"`FU!$0("</f>
        <v>#REF!</v>
      </c>
      <c r="ET48" t="e">
        <f>'Technical Skills Weighting'!#REF!+"`FU!$0)"</f>
        <v>#REF!</v>
      </c>
      <c r="EU48" t="e">
        <f>'Technical Skills Weighting'!#REF!+"`FU!$0."</f>
        <v>#REF!</v>
      </c>
      <c r="EV48" t="e">
        <f>'Technical Skills Weighting'!#REF!+"`FU!$0/"</f>
        <v>#REF!</v>
      </c>
      <c r="EW48" t="e">
        <f>'Technical Skills Weighting'!#REF!+"`FU!$00"</f>
        <v>#REF!</v>
      </c>
      <c r="EX48" t="e">
        <f>'Technical Skills Weighting'!#REF!+"`FU!$01"</f>
        <v>#REF!</v>
      </c>
      <c r="EY48" t="e">
        <f>'Technical Skills Weighting'!#REF!+"`FU!$02"</f>
        <v>#REF!</v>
      </c>
      <c r="EZ48" t="e">
        <f>'Technical Skills Weighting'!#REF!+"`FU!$03"</f>
        <v>#REF!</v>
      </c>
      <c r="FA48" t="e">
        <f>'Technical Skills Weighting'!#REF!+"`FU!$04"</f>
        <v>#REF!</v>
      </c>
      <c r="FB48" t="e">
        <f>'Technical Skills Weighting'!#REF!+"`FU!$05"</f>
        <v>#REF!</v>
      </c>
      <c r="FC48" t="e">
        <f>'Technical Skills Weighting'!#REF!+"`FU!$06"</f>
        <v>#REF!</v>
      </c>
      <c r="FD48" t="e">
        <f>'Technical Skills Weighting'!#REF!+"`FU!$07"</f>
        <v>#REF!</v>
      </c>
      <c r="FE48" t="e">
        <f>'Technical Skills Weighting'!#REF!+"`FU!$08"</f>
        <v>#REF!</v>
      </c>
      <c r="FF48" t="e">
        <f>'Technical Skills Weighting'!#REF!+"`FU!$09"</f>
        <v>#REF!</v>
      </c>
      <c r="FG48" t="e">
        <f>'Technical Skills Weighting'!#REF!+"`FU!$0:"</f>
        <v>#REF!</v>
      </c>
      <c r="FH48" t="e">
        <f>'Technical Skills Weighting'!#REF!+"`FU!$0;"</f>
        <v>#REF!</v>
      </c>
      <c r="FI48" t="e">
        <f>'Technical Skills Weighting'!#REF!+"`FU!$0&lt;"</f>
        <v>#REF!</v>
      </c>
      <c r="FJ48" t="e">
        <f>'Technical Skills Weighting'!#REF!+"`FU!$0="</f>
        <v>#REF!</v>
      </c>
      <c r="FK48" t="e">
        <f>'Technical Skills Weighting'!#REF!+"`FU!$0&gt;"</f>
        <v>#REF!</v>
      </c>
      <c r="FL48" t="e">
        <f>'Technical Skills Weighting'!#REF!+"`FU!$0?"</f>
        <v>#REF!</v>
      </c>
      <c r="FM48" t="e">
        <f>'Technical Skills Weighting'!#REF!+"`FU!$0@"</f>
        <v>#REF!</v>
      </c>
      <c r="FN48" t="e">
        <f>'Technical Skills Weighting'!#REF!+"`FU!$0A"</f>
        <v>#REF!</v>
      </c>
      <c r="FO48" t="e">
        <f>'Technical Skills Weighting'!#REF!+"`FU!$0B"</f>
        <v>#REF!</v>
      </c>
      <c r="FP48" t="e">
        <f>'Technical Skills Weighting'!#REF!+"`FU!$0C"</f>
        <v>#REF!</v>
      </c>
      <c r="FQ48" t="e">
        <f>'Technical Skills Weighting'!#REF!+"`FU!$0D"</f>
        <v>#REF!</v>
      </c>
      <c r="FR48" t="e">
        <f>'Technical Skills Weighting'!#REF!+"`FU!$0E"</f>
        <v>#REF!</v>
      </c>
      <c r="FS48" t="e">
        <f>'Technical Skills Weighting'!#REF!+"`FU!$0F"</f>
        <v>#REF!</v>
      </c>
      <c r="FT48" t="e">
        <f>'Technical Skills Weighting'!#REF!+"`FU!$0G"</f>
        <v>#REF!</v>
      </c>
      <c r="FU48" t="e">
        <f>'Technical Skills Weighting'!#REF!+"`FU!$0H"</f>
        <v>#REF!</v>
      </c>
      <c r="FV48" t="e">
        <f>'Technical Skills Weighting'!#REF!+"`FU!$0I"</f>
        <v>#REF!</v>
      </c>
      <c r="FW48" t="e">
        <f>'Technical Skills Weighting'!#REF!+"`FU!$0J"</f>
        <v>#REF!</v>
      </c>
      <c r="FX48" t="e">
        <f>'Technical Skills Weighting'!#REF!+"`FU!$0K"</f>
        <v>#REF!</v>
      </c>
      <c r="FY48" t="e">
        <f>'Technical Skills Weighting'!#REF!+"`FU!$0L"</f>
        <v>#REF!</v>
      </c>
      <c r="FZ48" t="e">
        <f>'Technical Skills Weighting'!#REF!+"`FU!$0M"</f>
        <v>#REF!</v>
      </c>
      <c r="GA48" t="e">
        <f>'Technical Skills Weighting'!#REF!+"`FU!$0N"</f>
        <v>#REF!</v>
      </c>
      <c r="GB48" t="e">
        <f>'Technical Skills Weighting'!#REF!+"`FU!$0O"</f>
        <v>#REF!</v>
      </c>
      <c r="GC48" t="e">
        <f>'Technical Skills Weighting'!#REF!+"`FU!$0P"</f>
        <v>#REF!</v>
      </c>
      <c r="GD48" t="e">
        <f>'Technical Skills Weighting'!#REF!+"`FU!$0Q"</f>
        <v>#REF!</v>
      </c>
      <c r="GE48" t="e">
        <f>'Technical Skills Weighting'!#REF!+"`FU!$0R"</f>
        <v>#REF!</v>
      </c>
      <c r="GF48" t="e">
        <f>'Technical Skills Weighting'!#REF!+"`FU!$0S"</f>
        <v>#REF!</v>
      </c>
      <c r="GG48" t="e">
        <f>'Technical Skills Weighting'!#REF!+"`FU!$0T"</f>
        <v>#REF!</v>
      </c>
      <c r="GH48" t="e">
        <f>'Technical Skills Weighting'!#REF!+"`FU!$0U"</f>
        <v>#REF!</v>
      </c>
      <c r="GI48" t="e">
        <f>'Technical Skills Weighting'!#REF!+"`FU!$0V"</f>
        <v>#REF!</v>
      </c>
      <c r="GJ48" t="e">
        <f>'Technical Skills Weighting'!#REF!+"`FU!$0W"</f>
        <v>#REF!</v>
      </c>
      <c r="GK48" t="e">
        <f>'Technical Skills Weighting'!#REF!+"`FU!$0X"</f>
        <v>#REF!</v>
      </c>
      <c r="GL48" t="e">
        <f>'Technical Skills Weighting'!#REF!+"`FU!$0Y"</f>
        <v>#REF!</v>
      </c>
      <c r="GM48" t="e">
        <f>'Technical Skills Weighting'!#REF!+"`FU!$0Z"</f>
        <v>#REF!</v>
      </c>
      <c r="GN48" t="e">
        <f>'Technical Skills Weighting'!#REF!+"`FU!$0["</f>
        <v>#REF!</v>
      </c>
      <c r="GO48" t="e">
        <f>'Technical Skills Weighting'!#REF!+"`FU!$0\"</f>
        <v>#REF!</v>
      </c>
      <c r="GP48" t="e">
        <f>'Technical Skills Weighting'!#REF!+"`FU!$0]"</f>
        <v>#REF!</v>
      </c>
      <c r="GQ48" t="e">
        <f>'Technical Skills Weighting'!#REF!+"`FU!$0^"</f>
        <v>#REF!</v>
      </c>
      <c r="GR48" t="e">
        <f>'Technical Skills Weighting'!#REF!+"`FU!$0_"</f>
        <v>#REF!</v>
      </c>
      <c r="GS48" t="e">
        <f>'Technical Skills Weighting'!#REF!+"`FU!$0`"</f>
        <v>#REF!</v>
      </c>
      <c r="GT48" t="e">
        <f>'Technical Skills Weighting'!#REF!+"`FU!$0a"</f>
        <v>#REF!</v>
      </c>
      <c r="GU48" t="e">
        <f>'Technical Skills Weighting'!#REF!+"`FU!$0b"</f>
        <v>#REF!</v>
      </c>
      <c r="GV48" t="e">
        <f>'Technical Skills Weighting'!#REF!+"`FU!$0c"</f>
        <v>#REF!</v>
      </c>
      <c r="GW48" t="e">
        <f>'Technical Skills Weighting'!#REF!+"`FU!$0d"</f>
        <v>#REF!</v>
      </c>
      <c r="GX48" t="e">
        <f>'Technical Skills Weighting'!#REF!+"`FU!$0e"</f>
        <v>#REF!</v>
      </c>
      <c r="GY48" t="e">
        <f>'Technical Skills Weighting'!#REF!+"`FU!$0f"</f>
        <v>#REF!</v>
      </c>
      <c r="GZ48" t="e">
        <f>'Technical Skills Weighting'!#REF!+"`FU!$0g"</f>
        <v>#REF!</v>
      </c>
      <c r="HA48" t="e">
        <f>'Technical Skills Weighting'!#REF!+"`FU!$0h"</f>
        <v>#REF!</v>
      </c>
      <c r="HB48" t="e">
        <f>'Technical Skills Weighting'!#REF!+"`FU!$0i"</f>
        <v>#REF!</v>
      </c>
      <c r="HC48" t="e">
        <f>'Technical Skills Weighting'!#REF!+"`FU!$0j"</f>
        <v>#REF!</v>
      </c>
      <c r="HD48" t="e">
        <f>'Technical Skills Weighting'!#REF!+"`FU!$0k"</f>
        <v>#REF!</v>
      </c>
      <c r="HE48" t="e">
        <f>'Technical Skills Weighting'!#REF!+"`FU!$0l"</f>
        <v>#REF!</v>
      </c>
      <c r="HF48" t="e">
        <f>'Technical Skills Weighting'!#REF!+"`FU!$0m"</f>
        <v>#REF!</v>
      </c>
      <c r="HG48" t="e">
        <f>'Technical Skills Weighting'!#REF!+"`FU!$0n"</f>
        <v>#REF!</v>
      </c>
      <c r="HH48" t="e">
        <f>'Technical Skills Weighting'!#REF!+"`FU!$0o"</f>
        <v>#REF!</v>
      </c>
      <c r="HI48" t="e">
        <f>'Technical Skills Weighting'!#REF!+"`FU!$0p"</f>
        <v>#REF!</v>
      </c>
      <c r="HJ48" t="e">
        <f>'Technical Skills Weighting'!#REF!+"`FU!$0q"</f>
        <v>#REF!</v>
      </c>
      <c r="HK48" t="e">
        <f>'Technical Skills Weighting'!#REF!+"`FU!$0r"</f>
        <v>#REF!</v>
      </c>
      <c r="HL48" t="e">
        <f>'Technical Skills Weighting'!#REF!+"`FU!$0s"</f>
        <v>#REF!</v>
      </c>
      <c r="HM48" t="e">
        <f>'Technical Skills Weighting'!#REF!+"`FU!$0t"</f>
        <v>#REF!</v>
      </c>
      <c r="HN48" t="e">
        <f>'Technical Skills Weighting'!#REF!+"`FU!$0u"</f>
        <v>#REF!</v>
      </c>
      <c r="HO48" t="e">
        <f>'Technical Skills Weighting'!#REF!+"`FU!$0v"</f>
        <v>#REF!</v>
      </c>
      <c r="HP48" t="e">
        <f>'Technical Skills Weighting'!#REF!+"`FU!$0w"</f>
        <v>#REF!</v>
      </c>
      <c r="HQ48" t="e">
        <f>'Technical Skills Weighting'!#REF!+"`FU!$0x"</f>
        <v>#REF!</v>
      </c>
      <c r="HR48" t="e">
        <f>'Technical Skills Weighting'!#REF!+"`FU!$0y"</f>
        <v>#REF!</v>
      </c>
      <c r="HS48" t="e">
        <f>'Technical Skills Weighting'!#REF!+"`FU!$0z"</f>
        <v>#REF!</v>
      </c>
      <c r="HT48" t="e">
        <f>'Technical Skills Weighting'!#REF!+"`FU!$0{"</f>
        <v>#REF!</v>
      </c>
      <c r="HU48" t="e">
        <f>'Technical Skills Weighting'!#REF!+"`FU!$0|"</f>
        <v>#REF!</v>
      </c>
      <c r="HV48" t="e">
        <f>'Technical Skills Weighting'!#REF!+"`FU!$0}"</f>
        <v>#REF!</v>
      </c>
      <c r="HW48" t="e">
        <f>'Technical Skills Weighting'!#REF!+"`FU!$0~"</f>
        <v>#REF!</v>
      </c>
      <c r="HX48" t="e">
        <f>'Technical Skills Weighting'!#REF!+"`FU!$1#"</f>
        <v>#REF!</v>
      </c>
      <c r="HY48" t="e">
        <f>'Technical Skills Weighting'!#REF!+"`FU!$1$"</f>
        <v>#REF!</v>
      </c>
      <c r="HZ48" t="e">
        <f>'Technical Skills Weighting'!#REF!+"`FU!$1%"</f>
        <v>#REF!</v>
      </c>
      <c r="IA48" t="e">
        <f>'Technical Skills Weighting'!#REF!+"`FU!$1&amp;"</f>
        <v>#REF!</v>
      </c>
      <c r="IB48" t="e">
        <f>'Technical Skills Weighting'!#REF!+"`FU!$1'"</f>
        <v>#REF!</v>
      </c>
      <c r="IC48" t="e">
        <f>'Technical Skills Weighting'!#REF!+"`FU!$1("</f>
        <v>#REF!</v>
      </c>
      <c r="ID48" t="e">
        <f>'Technical Skills Weighting'!#REF!+"`FU!$1)"</f>
        <v>#REF!</v>
      </c>
      <c r="IE48" t="e">
        <f>'Technical Skills Weighting'!#REF!+"`FU!$1."</f>
        <v>#REF!</v>
      </c>
      <c r="IF48" t="e">
        <f>'Technical Skills Weighting'!#REF!+"`FU!$1/"</f>
        <v>#REF!</v>
      </c>
      <c r="IG48" t="e">
        <f>'Technical Skills Weighting'!#REF!+"`FU!$10"</f>
        <v>#REF!</v>
      </c>
      <c r="IH48" t="e">
        <f>'Technical Skills Weighting'!#REF!+"`FU!$11"</f>
        <v>#REF!</v>
      </c>
      <c r="II48" t="e">
        <f>'Technical Skills Weighting'!#REF!+"`FU!$12"</f>
        <v>#REF!</v>
      </c>
      <c r="IJ48" t="e">
        <f>'Technical Skills Weighting'!#REF!+"`FU!$13"</f>
        <v>#REF!</v>
      </c>
      <c r="IK48" t="e">
        <f>'Technical Skills Weighting'!#REF!+"`FU!$14"</f>
        <v>#REF!</v>
      </c>
      <c r="IL48" t="e">
        <f>'Technical Skills Weighting'!#REF!+"`FU!$15"</f>
        <v>#REF!</v>
      </c>
      <c r="IM48" t="e">
        <f>'Technical Skills Weighting'!#REF!+"`FU!$16"</f>
        <v>#REF!</v>
      </c>
      <c r="IN48" t="e">
        <f>'Technical Skills Weighting'!#REF!+"`FU!$17"</f>
        <v>#REF!</v>
      </c>
      <c r="IO48" t="e">
        <f>'Technical Skills Weighting'!#REF!+"`FU!$18"</f>
        <v>#REF!</v>
      </c>
      <c r="IP48" t="e">
        <f>'Technical Skills Weighting'!#REF!+"`FU!$19"</f>
        <v>#REF!</v>
      </c>
      <c r="IQ48" t="e">
        <f>'Technical Skills Weighting'!#REF!+"`FU!$1:"</f>
        <v>#REF!</v>
      </c>
      <c r="IR48" t="e">
        <f>'Technical Skills Weighting'!#REF!+"`FU!$1;"</f>
        <v>#REF!</v>
      </c>
      <c r="IS48" t="e">
        <f>'Technical Skills Weighting'!#REF!+"`FU!$1&lt;"</f>
        <v>#REF!</v>
      </c>
      <c r="IT48" t="e">
        <f>'Technical Skills Weighting'!#REF!+"`FU!$1="</f>
        <v>#REF!</v>
      </c>
      <c r="IU48" t="e">
        <f>'Technical Skills Weighting'!#REF!+"`FU!$1&gt;"</f>
        <v>#REF!</v>
      </c>
      <c r="IV48" t="e">
        <f>'Technical Skills Weighting'!#REF!+"`FU!$1?"</f>
        <v>#REF!</v>
      </c>
    </row>
    <row r="49" spans="6:256" x14ac:dyDescent="0.25">
      <c r="F49" t="e">
        <f>'Technical Skills Weighting'!#REF!+"`FU!$1@"</f>
        <v>#REF!</v>
      </c>
      <c r="G49" t="e">
        <f>'Technical Skills Weighting'!#REF!+"`FU!$1A"</f>
        <v>#REF!</v>
      </c>
      <c r="H49" t="e">
        <f>'Technical Skills Weighting'!#REF!+"`FU!$1B"</f>
        <v>#REF!</v>
      </c>
      <c r="I49" t="e">
        <f>'Technical Skills Weighting'!#REF!+"`FU!$1C"</f>
        <v>#REF!</v>
      </c>
      <c r="J49" t="e">
        <f>'Technical Skills Weighting'!#REF!+"`FU!$1D"</f>
        <v>#REF!</v>
      </c>
      <c r="K49" t="e">
        <f>'Technical Skills Weighting'!#REF!+"`FU!$1E"</f>
        <v>#REF!</v>
      </c>
      <c r="L49" t="e">
        <f>'Technical Skills Weighting'!#REF!+"`FU!$1F"</f>
        <v>#REF!</v>
      </c>
      <c r="M49" t="e">
        <f>'Technical Skills Weighting'!#REF!+"`FU!$1G"</f>
        <v>#REF!</v>
      </c>
      <c r="N49" t="e">
        <f>'Technical Skills Weighting'!#REF!+"`FU!$1H"</f>
        <v>#REF!</v>
      </c>
      <c r="O49" t="e">
        <f>'Technical Skills Weighting'!#REF!+"`FU!$1I"</f>
        <v>#REF!</v>
      </c>
      <c r="P49" t="e">
        <f>'Technical Skills Weighting'!#REF!+"`FU!$1J"</f>
        <v>#REF!</v>
      </c>
      <c r="Q49" t="e">
        <f>'Technical Skills Weighting'!#REF!+"`FU!$1K"</f>
        <v>#REF!</v>
      </c>
      <c r="R49" t="e">
        <f>'Technical Skills Weighting'!#REF!+"`FU!$1L"</f>
        <v>#REF!</v>
      </c>
      <c r="S49" t="e">
        <f>'Technical Skills Weighting'!#REF!+"`FU!$1M"</f>
        <v>#REF!</v>
      </c>
      <c r="T49" t="e">
        <f>'Technical Skills Weighting'!#REF!+"`FU!$1N"</f>
        <v>#REF!</v>
      </c>
      <c r="U49" t="e">
        <f>'Technical Skills Weighting'!#REF!+"`FU!$1O"</f>
        <v>#REF!</v>
      </c>
      <c r="V49" t="e">
        <f>'Technical Skills Weighting'!#REF!+"`FU!$1P"</f>
        <v>#REF!</v>
      </c>
      <c r="W49" t="e">
        <f>'Technical Skills Weighting'!#REF!+"`FU!$1Q"</f>
        <v>#REF!</v>
      </c>
      <c r="X49" t="e">
        <f>'Technical Skills Weighting'!#REF!+"`FU!$1R"</f>
        <v>#REF!</v>
      </c>
      <c r="Y49" t="e">
        <f>'Technical Skills Weighting'!#REF!+"`FU!$1S"</f>
        <v>#REF!</v>
      </c>
      <c r="Z49" t="e">
        <f>'Technical Skills Weighting'!#REF!+"`FU!$1T"</f>
        <v>#REF!</v>
      </c>
      <c r="AA49" t="e">
        <f>'Technical Skills Weighting'!#REF!+"`FU!$1U"</f>
        <v>#REF!</v>
      </c>
      <c r="AB49" t="e">
        <f>'Technical Skills Weighting'!#REF!+"`FU!$1V"</f>
        <v>#REF!</v>
      </c>
      <c r="AC49" t="e">
        <f>'Technical Skills Weighting'!#REF!+"`FU!$1W"</f>
        <v>#REF!</v>
      </c>
      <c r="AD49" t="e">
        <f>'Technical Skills Weighting'!#REF!+"`FU!$1X"</f>
        <v>#REF!</v>
      </c>
      <c r="AE49" t="e">
        <f>'Technical Skills Weighting'!#REF!+"`FU!$1Y"</f>
        <v>#REF!</v>
      </c>
      <c r="AF49" t="e">
        <f>'Technical Skills Weighting'!#REF!+"`FU!$1Z"</f>
        <v>#REF!</v>
      </c>
      <c r="AG49" t="e">
        <f>'Technical Skills Weighting'!#REF!+"`FU!$1["</f>
        <v>#REF!</v>
      </c>
      <c r="AH49" t="e">
        <f>'Technical Skills Weighting'!#REF!+"`FU!$1\"</f>
        <v>#REF!</v>
      </c>
      <c r="AI49" t="e">
        <f>'Technical Skills Weighting'!#REF!+"`FU!$1]"</f>
        <v>#REF!</v>
      </c>
      <c r="AJ49" t="e">
        <f>'Technical Skills Weighting'!#REF!+"`FU!$1^"</f>
        <v>#REF!</v>
      </c>
      <c r="AK49" t="e">
        <f>'Technical Skills Weighting'!#REF!+"`FU!$1_"</f>
        <v>#REF!</v>
      </c>
      <c r="AL49" t="e">
        <f>'Technical Skills Weighting'!#REF!+"`FU!$1`"</f>
        <v>#REF!</v>
      </c>
      <c r="AM49" t="e">
        <f>'Technical Skills Weighting'!#REF!+"`FU!$1a"</f>
        <v>#REF!</v>
      </c>
      <c r="AN49" t="e">
        <f>'Technical Skills Weighting'!#REF!+"`FU!$1b"</f>
        <v>#REF!</v>
      </c>
      <c r="AO49" t="e">
        <f>'Technical Skills Weighting'!#REF!+"`FU!$1c"</f>
        <v>#REF!</v>
      </c>
      <c r="AP49" t="e">
        <f>'Technical Skills Weighting'!#REF!+"`FU!$1d"</f>
        <v>#REF!</v>
      </c>
      <c r="AQ49" t="e">
        <f>'Technical Skills Weighting'!#REF!+"`FU!$1e"</f>
        <v>#REF!</v>
      </c>
      <c r="AR49" t="e">
        <f>'Technical Skills Weighting'!#REF!+"`FU!$1f"</f>
        <v>#REF!</v>
      </c>
      <c r="AS49" t="e">
        <f>'Technical Skills Weighting'!#REF!+"`FU!$1g"</f>
        <v>#REF!</v>
      </c>
      <c r="AT49" t="e">
        <f>'Technical Skills Weighting'!#REF!+"`FU!$1h"</f>
        <v>#REF!</v>
      </c>
      <c r="AU49" t="e">
        <f>'Technical Skills Weighting'!#REF!+"`FU!$1i"</f>
        <v>#REF!</v>
      </c>
      <c r="AV49" t="e">
        <f>'Technical Skills Weighting'!#REF!+"`FU!$1j"</f>
        <v>#REF!</v>
      </c>
      <c r="AW49" t="e">
        <f>'Technical Skills Weighting'!#REF!+"`FU!$1k"</f>
        <v>#REF!</v>
      </c>
      <c r="AX49" t="e">
        <f>'Technical Skills Weighting'!#REF!+"`FU!$1l"</f>
        <v>#REF!</v>
      </c>
      <c r="AY49" t="e">
        <f>'Technical Skills Weighting'!#REF!+"`FU!$1m"</f>
        <v>#REF!</v>
      </c>
      <c r="AZ49" t="e">
        <f>'Technical Skills Weighting'!#REF!+"`FU!$1n"</f>
        <v>#REF!</v>
      </c>
      <c r="BA49" t="e">
        <f>'Technical Skills Weighting'!#REF!+"`FU!$1o"</f>
        <v>#REF!</v>
      </c>
      <c r="BB49" t="e">
        <f>'Technical Skills Weighting'!#REF!+"`FU!$1p"</f>
        <v>#REF!</v>
      </c>
      <c r="BC49" t="e">
        <f>'Technical Skills Weighting'!#REF!+"`FU!$1q"</f>
        <v>#REF!</v>
      </c>
      <c r="BD49" t="e">
        <f>'Technical Skills Weighting'!#REF!+"`FU!$1r"</f>
        <v>#REF!</v>
      </c>
      <c r="BE49" t="e">
        <f>'Technical Skills Weighting'!#REF!+"`FU!$1s"</f>
        <v>#REF!</v>
      </c>
      <c r="BF49" t="e">
        <f>'Technical Skills Weighting'!#REF!+"`FU!$1t"</f>
        <v>#REF!</v>
      </c>
      <c r="BG49" t="e">
        <f>'Technical Skills Weighting'!#REF!+"`FU!$1u"</f>
        <v>#REF!</v>
      </c>
      <c r="BH49" t="e">
        <f>'Technical Skills Weighting'!#REF!+"`FU!$1v"</f>
        <v>#REF!</v>
      </c>
      <c r="BI49" t="e">
        <f>'Technical Skills Weighting'!#REF!+"`FU!$1w"</f>
        <v>#REF!</v>
      </c>
      <c r="BJ49" t="e">
        <f>'Technical Skills Weighting'!#REF!+"`FU!$1x"</f>
        <v>#REF!</v>
      </c>
      <c r="BK49" t="e">
        <f>'Technical Skills Weighting'!#REF!+"`FU!$1y"</f>
        <v>#REF!</v>
      </c>
      <c r="BL49" t="e">
        <f>'Technical Skills Weighting'!#REF!+"`FU!$1z"</f>
        <v>#REF!</v>
      </c>
      <c r="BM49" t="e">
        <f>'Technical Skills Weighting'!#REF!+"`FU!$1{"</f>
        <v>#REF!</v>
      </c>
      <c r="BN49" t="e">
        <f>'Technical Skills Weighting'!#REF!+"`FU!$1|"</f>
        <v>#REF!</v>
      </c>
      <c r="BO49" t="e">
        <f>'Technical Skills Weighting'!#REF!+"`FU!$1}"</f>
        <v>#REF!</v>
      </c>
      <c r="BP49" t="e">
        <f>'Technical Skills Weighting'!#REF!+"`FU!$1~"</f>
        <v>#REF!</v>
      </c>
      <c r="BQ49" t="e">
        <f>'Technical Skills Weighting'!#REF!+"`FU!$2#"</f>
        <v>#REF!</v>
      </c>
      <c r="BR49" t="e">
        <f>'Technical Skills Weighting'!#REF!+"`FU!$2$"</f>
        <v>#REF!</v>
      </c>
      <c r="BS49" t="e">
        <f>'Technical Skills Weighting'!#REF!+"`FU!$2%"</f>
        <v>#REF!</v>
      </c>
      <c r="BT49" t="e">
        <f>'Technical Skills Weighting'!#REF!+"`FU!$2&amp;"</f>
        <v>#REF!</v>
      </c>
      <c r="BU49" t="e">
        <f>'Technical Skills Weighting'!#REF!+"`FU!$2'"</f>
        <v>#REF!</v>
      </c>
      <c r="BV49" t="e">
        <f>'Technical Skills Weighting'!#REF!+"`FU!$2("</f>
        <v>#REF!</v>
      </c>
      <c r="BW49" t="e">
        <f>'Technical Skills Weighting'!#REF!+"`FU!$2)"</f>
        <v>#REF!</v>
      </c>
      <c r="BX49" t="e">
        <f>'Technical Skills Weighting'!#REF!+"`FU!$2."</f>
        <v>#REF!</v>
      </c>
      <c r="BY49" t="e">
        <f>'Technical Skills Weighting'!#REF!+"`FU!$2/"</f>
        <v>#REF!</v>
      </c>
      <c r="BZ49" t="e">
        <f>'Technical Skills Weighting'!#REF!+"`FU!$20"</f>
        <v>#REF!</v>
      </c>
      <c r="CA49" t="e">
        <f>'Technical Skills Weighting'!#REF!+"`FU!$21"</f>
        <v>#REF!</v>
      </c>
      <c r="CB49" t="e">
        <f>'Technical Skills Weighting'!#REF!+"`FU!$22"</f>
        <v>#REF!</v>
      </c>
      <c r="CC49" t="e">
        <f>'Technical Skills Weighting'!#REF!+"`FU!$23"</f>
        <v>#REF!</v>
      </c>
      <c r="CD49" t="e">
        <f>'Technical Skills Weighting'!#REF!+"`FU!$24"</f>
        <v>#REF!</v>
      </c>
      <c r="CE49" t="e">
        <f>'Technical Skills Weighting'!#REF!+"`FU!$25"</f>
        <v>#REF!</v>
      </c>
      <c r="CF49" t="e">
        <f>'Technical Skills Weighting'!#REF!+"`FU!$26"</f>
        <v>#REF!</v>
      </c>
      <c r="CG49" t="e">
        <f>'Technical Skills Weighting'!#REF!+"`FU!$27"</f>
        <v>#REF!</v>
      </c>
      <c r="CH49" t="e">
        <f>'Technical Skills Weighting'!#REF!+"`FU!$28"</f>
        <v>#REF!</v>
      </c>
      <c r="CI49" t="e">
        <f>'Technical Skills Weighting'!#REF!+"`FU!$29"</f>
        <v>#REF!</v>
      </c>
      <c r="CJ49" t="e">
        <f>'Technical Skills Weighting'!#REF!+"`FU!$2:"</f>
        <v>#REF!</v>
      </c>
      <c r="CK49" t="e">
        <f>'Technical Skills Weighting'!#REF!+"`FU!$2;"</f>
        <v>#REF!</v>
      </c>
      <c r="CL49" t="e">
        <f>'Technical Skills Weighting'!#REF!+"`FU!$2&lt;"</f>
        <v>#REF!</v>
      </c>
      <c r="CM49" t="e">
        <f>'Technical Skills Weighting'!#REF!+"`FU!$2="</f>
        <v>#REF!</v>
      </c>
      <c r="CN49" t="e">
        <f>'Technical Skills Weighting'!#REF!+"`FU!$2&gt;"</f>
        <v>#REF!</v>
      </c>
      <c r="CO49" t="e">
        <f>'Technical Skills Weighting'!#REF!+"`FU!$2?"</f>
        <v>#REF!</v>
      </c>
      <c r="CP49" t="e">
        <f>'Technical Skills Weighting'!#REF!+"`FU!$2@"</f>
        <v>#REF!</v>
      </c>
      <c r="CQ49" t="e">
        <f>'Technical Skills Weighting'!#REF!+"`FU!$2A"</f>
        <v>#REF!</v>
      </c>
      <c r="CR49" t="e">
        <f>'Technical Skills Weighting'!#REF!+"`FU!$2B"</f>
        <v>#REF!</v>
      </c>
      <c r="CS49" t="e">
        <f>'Technical Skills Weighting'!#REF!+"`FU!$2C"</f>
        <v>#REF!</v>
      </c>
      <c r="CT49" t="e">
        <f>'Technical Skills Weighting'!#REF!+"`FU!$2D"</f>
        <v>#REF!</v>
      </c>
      <c r="CU49" t="e">
        <f>'Technical Skills Weighting'!#REF!+"`FU!$2E"</f>
        <v>#REF!</v>
      </c>
      <c r="CV49" t="e">
        <f>'Technical Skills Weighting'!#REF!+"`FU!$2F"</f>
        <v>#REF!</v>
      </c>
      <c r="CW49" t="e">
        <f>'Technical Skills Weighting'!#REF!+"`FU!$2G"</f>
        <v>#REF!</v>
      </c>
      <c r="CX49" t="e">
        <f>'Technical Skills Weighting'!#REF!+"`FU!$2H"</f>
        <v>#REF!</v>
      </c>
      <c r="CY49" t="e">
        <f>'Technical Skills Weighting'!#REF!+"`FU!$2I"</f>
        <v>#REF!</v>
      </c>
      <c r="CZ49" t="e">
        <f>'Technical Skills Weighting'!#REF!+"`FU!$2J"</f>
        <v>#REF!</v>
      </c>
      <c r="DA49" t="e">
        <f>'Technical Skills Weighting'!#REF!+"`FU!$2K"</f>
        <v>#REF!</v>
      </c>
      <c r="DB49" t="e">
        <f>'Technical Skills Weighting'!#REF!+"`FU!$2L"</f>
        <v>#REF!</v>
      </c>
      <c r="DC49" t="e">
        <f>'Technical Skills Weighting'!#REF!+"`FU!$2M"</f>
        <v>#REF!</v>
      </c>
      <c r="DD49" t="e">
        <f>'Technical Skills Weighting'!#REF!+"`FU!$2N"</f>
        <v>#REF!</v>
      </c>
      <c r="DE49" t="e">
        <f>'Technical Skills Weighting'!#REF!+"`FU!$2O"</f>
        <v>#REF!</v>
      </c>
      <c r="DF49" t="e">
        <f>'Technical Skills Weighting'!#REF!+"`FU!$2P"</f>
        <v>#REF!</v>
      </c>
      <c r="DG49" t="e">
        <f>'Technical Skills Weighting'!#REF!+"`FU!$2Q"</f>
        <v>#REF!</v>
      </c>
      <c r="DH49" t="e">
        <f>'Technical Skills Weighting'!#REF!+"`FU!$2R"</f>
        <v>#REF!</v>
      </c>
      <c r="DI49" t="e">
        <f>'Technical Skills Weighting'!#REF!+"`FU!$2S"</f>
        <v>#REF!</v>
      </c>
      <c r="DJ49" t="e">
        <f>'Technical Skills Weighting'!#REF!+"`FU!$2T"</f>
        <v>#REF!</v>
      </c>
      <c r="DK49" t="e">
        <f>'Technical Skills Weighting'!#REF!+"`FU!$2U"</f>
        <v>#REF!</v>
      </c>
      <c r="DL49" t="e">
        <f>'Technical Skills Weighting'!#REF!+"`FU!$2V"</f>
        <v>#REF!</v>
      </c>
      <c r="DM49" t="e">
        <f>'Technical Skills Weighting'!#REF!+"`FU!$2W"</f>
        <v>#REF!</v>
      </c>
      <c r="DN49" t="e">
        <f>'Technical Skills Weighting'!#REF!+"`FU!$2X"</f>
        <v>#REF!</v>
      </c>
      <c r="DO49" t="e">
        <f>'Technical Skills Weighting'!#REF!+"`FU!$2Y"</f>
        <v>#REF!</v>
      </c>
      <c r="DP49" t="e">
        <f>'Technical Skills Weighting'!#REF!+"`FU!$2Z"</f>
        <v>#REF!</v>
      </c>
      <c r="DQ49" t="e">
        <f>'Technical Skills Weighting'!#REF!+"`FU!$2["</f>
        <v>#REF!</v>
      </c>
      <c r="DR49" t="e">
        <f>'Technical Skills Weighting'!#REF!+"`FU!$2\"</f>
        <v>#REF!</v>
      </c>
      <c r="DS49" t="e">
        <f>'Technical Skills Weighting'!#REF!+"`FU!$2]"</f>
        <v>#REF!</v>
      </c>
      <c r="DT49" t="e">
        <f>'Technical Skills Weighting'!#REF!+"`FU!$2^"</f>
        <v>#REF!</v>
      </c>
      <c r="DU49" t="e">
        <f>'Technical Skills Weighting'!#REF!+"`FU!$2_"</f>
        <v>#REF!</v>
      </c>
      <c r="DV49" t="e">
        <f>'Technical Skills Weighting'!#REF!+"`FU!$2`"</f>
        <v>#REF!</v>
      </c>
      <c r="DW49" t="e">
        <f>'Technical Skills Weighting'!#REF!+"`FU!$2a"</f>
        <v>#REF!</v>
      </c>
      <c r="DX49" t="e">
        <f>'Technical Skills Weighting'!#REF!+"`FU!$2b"</f>
        <v>#REF!</v>
      </c>
      <c r="DY49" t="e">
        <f>'Technical Skills Weighting'!#REF!+"`FU!$2c"</f>
        <v>#REF!</v>
      </c>
      <c r="DZ49" t="e">
        <f>'Technical Skills Weighting'!#REF!+"`FU!$2d"</f>
        <v>#REF!</v>
      </c>
      <c r="EA49" t="e">
        <f>'Technical Skills Weighting'!#REF!+"`FU!$2e"</f>
        <v>#REF!</v>
      </c>
      <c r="EB49" t="e">
        <f>'Technical Skills Weighting'!#REF!+"`FU!$2f"</f>
        <v>#REF!</v>
      </c>
      <c r="EC49" t="e">
        <f>'Technical Skills Weighting'!#REF!+"`FU!$2g"</f>
        <v>#REF!</v>
      </c>
      <c r="ED49" t="e">
        <f>'Technical Skills Weighting'!#REF!+"`FU!$2h"</f>
        <v>#REF!</v>
      </c>
      <c r="EE49" t="e">
        <f>'Technical Skills Weighting'!#REF!+"`FU!$2i"</f>
        <v>#REF!</v>
      </c>
      <c r="EF49" t="e">
        <f>'Technical Skills Weighting'!#REF!+"`FU!$2j"</f>
        <v>#REF!</v>
      </c>
      <c r="EG49" t="e">
        <f>'Technical Skills Weighting'!#REF!+"`FU!$2k"</f>
        <v>#REF!</v>
      </c>
      <c r="EH49" t="e">
        <f>'Technical Skills Weighting'!#REF!+"`FU!$2l"</f>
        <v>#REF!</v>
      </c>
      <c r="EI49" t="e">
        <f>'Technical Skills Weighting'!#REF!+"`FU!$2m"</f>
        <v>#REF!</v>
      </c>
      <c r="EJ49" t="e">
        <f>'Technical Skills Weighting'!#REF!+"`FU!$2n"</f>
        <v>#REF!</v>
      </c>
      <c r="EK49" t="e">
        <f>'Technical Skills Weighting'!#REF!+"`FU!$2o"</f>
        <v>#REF!</v>
      </c>
      <c r="EL49" t="e">
        <f>'Technical Skills Weighting'!#REF!+"`FU!$2p"</f>
        <v>#REF!</v>
      </c>
      <c r="EM49" t="e">
        <f>'Technical Skills Weighting'!#REF!+"`FU!$2q"</f>
        <v>#REF!</v>
      </c>
      <c r="EN49" t="e">
        <f>'Technical Skills Weighting'!#REF!+"`FU!$2r"</f>
        <v>#REF!</v>
      </c>
      <c r="EO49" t="e">
        <f>'Technical Skills Weighting'!#REF!+"`FU!$2s"</f>
        <v>#REF!</v>
      </c>
      <c r="EP49" t="e">
        <f>'Technical Skills Weighting'!#REF!+"`FU!$2t"</f>
        <v>#REF!</v>
      </c>
      <c r="EQ49" t="e">
        <f>'Technical Skills Weighting'!#REF!+"`FU!$2u"</f>
        <v>#REF!</v>
      </c>
      <c r="ER49" t="e">
        <f>'Technical Skills Weighting'!#REF!+"`FU!$2v"</f>
        <v>#REF!</v>
      </c>
      <c r="ES49" t="e">
        <f>'Technical Skills Weighting'!#REF!+"`FU!$2w"</f>
        <v>#REF!</v>
      </c>
      <c r="ET49" t="e">
        <f>'Technical Skills Weighting'!#REF!+"`FU!$2x"</f>
        <v>#REF!</v>
      </c>
      <c r="EU49" t="e">
        <f>'Technical Skills Weighting'!#REF!+"`FU!$2y"</f>
        <v>#REF!</v>
      </c>
      <c r="EV49" t="e">
        <f>'Technical Skills Weighting'!#REF!+"`FU!$2z"</f>
        <v>#REF!</v>
      </c>
      <c r="EW49" t="e">
        <f>'Technical Skills Weighting'!#REF!+"`FU!$2{"</f>
        <v>#REF!</v>
      </c>
      <c r="EX49" t="e">
        <f>'Technical Skills Weighting'!#REF!+"`FU!$2|"</f>
        <v>#REF!</v>
      </c>
      <c r="EY49" t="e">
        <f>'Technical Skills Weighting'!#REF!+"`FU!$2}"</f>
        <v>#REF!</v>
      </c>
      <c r="EZ49" t="e">
        <f>'Technical Skills Weighting'!#REF!+"`FU!$2~"</f>
        <v>#REF!</v>
      </c>
      <c r="FA49" t="e">
        <f>'Technical Skills Weighting'!#REF!+"`FU!$3#"</f>
        <v>#REF!</v>
      </c>
      <c r="FB49" t="e">
        <f>'Technical Skills Weighting'!#REF!+"`FU!$3$"</f>
        <v>#REF!</v>
      </c>
      <c r="FC49" t="e">
        <f>'Technical Skills Weighting'!#REF!+"`FU!$3%"</f>
        <v>#REF!</v>
      </c>
      <c r="FD49" t="e">
        <f>'Technical Skills Weighting'!#REF!+"`FU!$3&amp;"</f>
        <v>#REF!</v>
      </c>
      <c r="FE49" t="e">
        <f>'Technical Skills Weighting'!#REF!+"`FU!$3'"</f>
        <v>#REF!</v>
      </c>
      <c r="FF49" t="e">
        <f>'Technical Skills Weighting'!#REF!+"`FU!$3("</f>
        <v>#REF!</v>
      </c>
      <c r="FG49" t="e">
        <f>'Technical Skills Weighting'!#REF!+"`FU!$3)"</f>
        <v>#REF!</v>
      </c>
      <c r="FH49" t="e">
        <f>'Technical Skills Weighting'!#REF!+"`FU!$3."</f>
        <v>#REF!</v>
      </c>
      <c r="FI49" t="e">
        <f>'Technical Skills Weighting'!#REF!+"`FU!$3/"</f>
        <v>#REF!</v>
      </c>
      <c r="FJ49" t="e">
        <f>'Technical Skills Weighting'!#REF!+"`FU!$30"</f>
        <v>#REF!</v>
      </c>
      <c r="FK49" t="e">
        <f>'Technical Skills Weighting'!#REF!+"`FU!$31"</f>
        <v>#REF!</v>
      </c>
      <c r="FL49" t="e">
        <f>'Technical Skills Weighting'!#REF!+"`FU!$32"</f>
        <v>#REF!</v>
      </c>
      <c r="FM49" t="e">
        <f>'Technical Skills Weighting'!#REF!+"`FU!$33"</f>
        <v>#REF!</v>
      </c>
      <c r="FN49" t="e">
        <f>'Technical Skills Weighting'!#REF!+"`FU!$34"</f>
        <v>#REF!</v>
      </c>
      <c r="FO49" t="e">
        <f>'Technical Skills Weighting'!#REF!+"`FU!$35"</f>
        <v>#REF!</v>
      </c>
      <c r="FP49" t="e">
        <f>'Technical Skills Weighting'!#REF!+"`FU!$36"</f>
        <v>#REF!</v>
      </c>
      <c r="FQ49" t="e">
        <f>'Technical Skills Weighting'!#REF!+"`FU!$37"</f>
        <v>#REF!</v>
      </c>
      <c r="FR49" t="e">
        <f>'Technical Skills Weighting'!#REF!+"`FU!$38"</f>
        <v>#REF!</v>
      </c>
      <c r="FS49" t="e">
        <f>'Technical Skills Weighting'!#REF!+"`FU!$39"</f>
        <v>#REF!</v>
      </c>
      <c r="FT49" t="e">
        <f>'Technical Skills Weighting'!#REF!+"`FU!$3:"</f>
        <v>#REF!</v>
      </c>
      <c r="FU49" t="e">
        <f>'Technical Skills Weighting'!#REF!+"`FU!$3;"</f>
        <v>#REF!</v>
      </c>
      <c r="FV49" t="e">
        <f>'Technical Skills Weighting'!#REF!+"`FU!$3&lt;"</f>
        <v>#REF!</v>
      </c>
      <c r="FW49" t="e">
        <f>'Technical Skills Weighting'!#REF!+"`FU!$3="</f>
        <v>#REF!</v>
      </c>
      <c r="FX49" t="e">
        <f>'Technical Skills Weighting'!#REF!+"`FU!$3&gt;"</f>
        <v>#REF!</v>
      </c>
      <c r="FY49" t="e">
        <f>'Technical Skills Weighting'!#REF!+"`FU!$3?"</f>
        <v>#REF!</v>
      </c>
      <c r="FZ49" t="e">
        <f>'Technical Skills Weighting'!#REF!+"`FU!$3@"</f>
        <v>#REF!</v>
      </c>
      <c r="GA49" t="e">
        <f>'Technical Skills Weighting'!#REF!+"`FU!$3A"</f>
        <v>#REF!</v>
      </c>
      <c r="GB49" t="e">
        <f>'Technical Skills Weighting'!#REF!+"`FU!$3B"</f>
        <v>#REF!</v>
      </c>
      <c r="GC49" t="e">
        <f>'Technical Skills Weighting'!#REF!+"`FU!$3C"</f>
        <v>#REF!</v>
      </c>
      <c r="GD49" t="e">
        <f>'Technical Skills Weighting'!#REF!+"`FU!$3D"</f>
        <v>#REF!</v>
      </c>
      <c r="GE49" t="e">
        <f>'Technical Skills Weighting'!#REF!+"`FU!$3E"</f>
        <v>#REF!</v>
      </c>
      <c r="GF49" t="e">
        <f>'Technical Skills Weighting'!#REF!+"`FU!$3F"</f>
        <v>#REF!</v>
      </c>
      <c r="GG49" t="e">
        <f>'Technical Skills Weighting'!#REF!+"`FU!$3G"</f>
        <v>#REF!</v>
      </c>
      <c r="GH49" t="e">
        <f>'Technical Skills Weighting'!#REF!+"`FU!$3H"</f>
        <v>#REF!</v>
      </c>
      <c r="GI49" t="e">
        <f>'Technical Skills Weighting'!#REF!+"`FU!$3I"</f>
        <v>#REF!</v>
      </c>
      <c r="GJ49" t="e">
        <f>'Technical Skills Weighting'!#REF!+"`FU!$3J"</f>
        <v>#REF!</v>
      </c>
      <c r="GK49" t="e">
        <f>'Technical Skills Weighting'!#REF!+"`FU!$3K"</f>
        <v>#REF!</v>
      </c>
      <c r="GL49" t="e">
        <f>'Technical Skills Weighting'!#REF!+"`FU!$3L"</f>
        <v>#REF!</v>
      </c>
      <c r="GM49" t="e">
        <f>'Technical Skills Weighting'!#REF!+"`FU!$3M"</f>
        <v>#REF!</v>
      </c>
      <c r="GN49" t="e">
        <f>'Technical Skills Weighting'!#REF!+"`FU!$3N"</f>
        <v>#REF!</v>
      </c>
      <c r="GO49" t="e">
        <f>'Technical Skills Weighting'!#REF!+"`FU!$3O"</f>
        <v>#REF!</v>
      </c>
      <c r="GP49" t="e">
        <f>'Technical Skills Weighting'!#REF!+"`FU!$3P"</f>
        <v>#REF!</v>
      </c>
      <c r="GQ49" t="e">
        <f>'Technical Skills Weighting'!#REF!+"`FU!$3Q"</f>
        <v>#REF!</v>
      </c>
      <c r="GR49" t="e">
        <f>'Technical Skills Weighting'!#REF!+"`FU!$3R"</f>
        <v>#REF!</v>
      </c>
      <c r="GS49" t="e">
        <f>'Technical Skills Weighting'!#REF!+"`FU!$3S"</f>
        <v>#REF!</v>
      </c>
      <c r="GT49" t="e">
        <f>'Technical Skills Weighting'!#REF!+"`FU!$3T"</f>
        <v>#REF!</v>
      </c>
      <c r="GU49" t="e">
        <f>'Technical Skills Weighting'!#REF!+"`FU!$3U"</f>
        <v>#REF!</v>
      </c>
      <c r="GV49" t="e">
        <f>'Technical Skills Weighting'!#REF!+"`FU!$3V"</f>
        <v>#REF!</v>
      </c>
      <c r="GW49" t="e">
        <f>'Technical Skills Weighting'!#REF!+"`FU!$3W"</f>
        <v>#REF!</v>
      </c>
      <c r="GX49" t="e">
        <f>'Technical Skills Weighting'!#REF!+"`FU!$3X"</f>
        <v>#REF!</v>
      </c>
      <c r="GY49" t="e">
        <f>'Technical Skills Weighting'!#REF!+"`FU!$3Y"</f>
        <v>#REF!</v>
      </c>
      <c r="GZ49" t="e">
        <f>'Technical Skills Weighting'!#REF!+"`FU!$3Z"</f>
        <v>#REF!</v>
      </c>
      <c r="HA49" t="e">
        <f>'Technical Skills Weighting'!#REF!+"`FU!$3["</f>
        <v>#REF!</v>
      </c>
      <c r="HB49" t="e">
        <f>'Technical Skills Weighting'!#REF!+"`FU!$3\"</f>
        <v>#REF!</v>
      </c>
      <c r="HC49" t="e">
        <f>'Technical Skills Weighting'!#REF!+"`FU!$3]"</f>
        <v>#REF!</v>
      </c>
      <c r="HD49" t="e">
        <f>'Technical Skills Weighting'!#REF!+"`FU!$3^"</f>
        <v>#REF!</v>
      </c>
      <c r="HE49" t="e">
        <f>'Technical Skills Weighting'!#REF!+"`FU!$3_"</f>
        <v>#REF!</v>
      </c>
      <c r="HF49" t="e">
        <f>'Technical Skills Weighting'!#REF!+"`FU!$3`"</f>
        <v>#REF!</v>
      </c>
      <c r="HG49" t="e">
        <f>'Technical Skills Weighting'!#REF!+"`FU!$3a"</f>
        <v>#REF!</v>
      </c>
      <c r="HH49" t="e">
        <f>'Technical Skills Weighting'!#REF!+"`FU!$3b"</f>
        <v>#REF!</v>
      </c>
      <c r="HI49" t="e">
        <f>'Technical Skills Weighting'!#REF!+"`FU!$3c"</f>
        <v>#REF!</v>
      </c>
      <c r="HJ49" t="e">
        <f>'Technical Skills Weighting'!#REF!+"`FU!$3d"</f>
        <v>#REF!</v>
      </c>
      <c r="HK49" t="e">
        <f>'Technical Skills Weighting'!#REF!+"`FU!$3e"</f>
        <v>#REF!</v>
      </c>
      <c r="HL49" t="e">
        <f>'Technical Skills Weighting'!#REF!+"`FU!$3f"</f>
        <v>#REF!</v>
      </c>
      <c r="HM49" t="e">
        <f>'Technical Skills Weighting'!#REF!+"`FU!$3g"</f>
        <v>#REF!</v>
      </c>
      <c r="HN49" t="e">
        <f>'Technical Skills Weighting'!#REF!+"`FU!$3h"</f>
        <v>#REF!</v>
      </c>
      <c r="HO49" t="e">
        <f>'Technical Skills Weighting'!#REF!+"`FU!$3i"</f>
        <v>#REF!</v>
      </c>
      <c r="HP49" t="e">
        <f>'Technical Skills Weighting'!#REF!+"`FU!$3j"</f>
        <v>#REF!</v>
      </c>
      <c r="HQ49" t="e">
        <f>'Technical Skills Weighting'!#REF!+"`FU!$3k"</f>
        <v>#REF!</v>
      </c>
      <c r="HR49" t="e">
        <f>'Technical Skills Weighting'!#REF!+"`FU!$3l"</f>
        <v>#REF!</v>
      </c>
      <c r="HS49" t="e">
        <f>'Technical Skills Weighting'!#REF!+"`FU!$3m"</f>
        <v>#REF!</v>
      </c>
      <c r="HT49" t="e">
        <f>'Technical Skills Weighting'!#REF!+"`FU!$3n"</f>
        <v>#REF!</v>
      </c>
      <c r="HU49" t="e">
        <f>'Technical Skills Weighting'!#REF!+"`FU!$3o"</f>
        <v>#REF!</v>
      </c>
      <c r="HV49" t="e">
        <f>'Technical Skills Weighting'!#REF!+"`FU!$3p"</f>
        <v>#REF!</v>
      </c>
      <c r="HW49" t="e">
        <f>'Technical Skills Weighting'!#REF!+"`FU!$3q"</f>
        <v>#REF!</v>
      </c>
      <c r="HX49" t="e">
        <f>'Technical Skills Weighting'!#REF!+"`FU!$3r"</f>
        <v>#REF!</v>
      </c>
      <c r="HY49" t="e">
        <f>'Technical Skills Weighting'!#REF!+"`FU!$3s"</f>
        <v>#REF!</v>
      </c>
      <c r="HZ49" t="e">
        <f>'Technical Skills Weighting'!#REF!+"`FU!$3t"</f>
        <v>#REF!</v>
      </c>
      <c r="IA49" t="e">
        <f>'Technical Skills Weighting'!#REF!+"`FU!$3u"</f>
        <v>#REF!</v>
      </c>
      <c r="IB49" t="e">
        <f>'Technical Skills Weighting'!#REF!+"`FU!$3v"</f>
        <v>#REF!</v>
      </c>
      <c r="IC49" t="e">
        <f>'Technical Skills Weighting'!#REF!+"`FU!$3w"</f>
        <v>#REF!</v>
      </c>
      <c r="ID49" t="e">
        <f>'Technical Skills Weighting'!#REF!+"`FU!$3x"</f>
        <v>#REF!</v>
      </c>
      <c r="IE49" t="e">
        <f>'Technical Skills Weighting'!#REF!+"`FU!$3y"</f>
        <v>#REF!</v>
      </c>
      <c r="IF49" t="e">
        <f>'Technical Skills Weighting'!#REF!+"`FU!$3z"</f>
        <v>#REF!</v>
      </c>
      <c r="IG49" t="e">
        <f>'Technical Skills Weighting'!#REF!+"`FU!$3{"</f>
        <v>#REF!</v>
      </c>
      <c r="IH49" t="e">
        <f>'Technical Skills Weighting'!#REF!+"`FU!$3|"</f>
        <v>#REF!</v>
      </c>
      <c r="II49" t="e">
        <f>'Technical Skills Weighting'!#REF!+"`FU!$3}"</f>
        <v>#REF!</v>
      </c>
      <c r="IJ49" t="e">
        <f>'Technical Skills Weighting'!#REF!+"`FU!$3~"</f>
        <v>#REF!</v>
      </c>
      <c r="IK49" t="e">
        <f>'Technical Skills Weighting'!#REF!+"`FU!$4#"</f>
        <v>#REF!</v>
      </c>
      <c r="IL49" t="e">
        <f>'Technical Skills Weighting'!#REF!+"`FU!$4$"</f>
        <v>#REF!</v>
      </c>
      <c r="IM49" t="e">
        <f>'Technical Skills Weighting'!#REF!+"`FU!$4%"</f>
        <v>#REF!</v>
      </c>
      <c r="IN49" t="e">
        <f>'Technical Skills Weighting'!#REF!+"`FU!$4&amp;"</f>
        <v>#REF!</v>
      </c>
      <c r="IO49" t="e">
        <f>'Technical Skills Weighting'!#REF!+"`FU!$4'"</f>
        <v>#REF!</v>
      </c>
      <c r="IP49" t="e">
        <f>'Technical Skills Weighting'!#REF!+"`FU!$4("</f>
        <v>#REF!</v>
      </c>
      <c r="IQ49" t="e">
        <f>'Technical Skills Weighting'!#REF!+"`FU!$4)"</f>
        <v>#REF!</v>
      </c>
      <c r="IR49" t="e">
        <f>'Technical Skills Weighting'!#REF!+"`FU!$4."</f>
        <v>#REF!</v>
      </c>
      <c r="IS49" t="e">
        <f>'Technical Skills Weighting'!#REF!+"`FU!$4/"</f>
        <v>#REF!</v>
      </c>
      <c r="IT49" t="e">
        <f>'Technical Skills Weighting'!#REF!+"`FU!$40"</f>
        <v>#REF!</v>
      </c>
      <c r="IU49" t="e">
        <f>'Technical Skills Weighting'!#REF!+"`FU!$41"</f>
        <v>#REF!</v>
      </c>
      <c r="IV49" t="e">
        <f>'Technical Skills Weighting'!#REF!+"`FU!$42"</f>
        <v>#REF!</v>
      </c>
    </row>
    <row r="50" spans="6:256" x14ac:dyDescent="0.25">
      <c r="F50" t="e">
        <f>'Technical Skills Weighting'!#REF!+"`FU!$43"</f>
        <v>#REF!</v>
      </c>
      <c r="G50" t="e">
        <f>'Technical Skills Weighting'!#REF!+"`FU!$44"</f>
        <v>#REF!</v>
      </c>
      <c r="H50" t="e">
        <f>'Technical Skills Weighting'!#REF!+"`FU!$45"</f>
        <v>#REF!</v>
      </c>
      <c r="I50" t="e">
        <f>'Technical Skills Weighting'!#REF!+"`FU!$46"</f>
        <v>#REF!</v>
      </c>
      <c r="J50" t="e">
        <f>'Technical Skills Weighting'!#REF!+"`FU!$47"</f>
        <v>#REF!</v>
      </c>
      <c r="K50" t="e">
        <f>'Technical Skills Weighting'!#REF!+"`FU!$48"</f>
        <v>#REF!</v>
      </c>
      <c r="L50" t="e">
        <f>'Technical Skills Weighting'!#REF!+"`FU!$49"</f>
        <v>#REF!</v>
      </c>
      <c r="M50" t="e">
        <f>'Technical Skills Weighting'!#REF!+"`FU!$4:"</f>
        <v>#REF!</v>
      </c>
      <c r="N50" t="e">
        <f>'Technical Skills Weighting'!#REF!+"`FU!$4;"</f>
        <v>#REF!</v>
      </c>
      <c r="O50" t="e">
        <f>'Technical Skills Weighting'!#REF!+"`FU!$4&lt;"</f>
        <v>#REF!</v>
      </c>
      <c r="P50" t="e">
        <f>'Technical Skills Weighting'!#REF!+"`FU!$4="</f>
        <v>#REF!</v>
      </c>
      <c r="Q50" t="e">
        <f>'Technical Skills Weighting'!#REF!+"`FU!$4&gt;"</f>
        <v>#REF!</v>
      </c>
      <c r="R50" t="e">
        <f>'Technical Skills Weighting'!#REF!+"`FU!$4?"</f>
        <v>#REF!</v>
      </c>
      <c r="S50" t="e">
        <f>'Technical Skills Weighting'!#REF!+"`FU!$4@"</f>
        <v>#REF!</v>
      </c>
      <c r="T50" t="e">
        <f>'Technical Skills Weighting'!#REF!+"`FU!$4A"</f>
        <v>#REF!</v>
      </c>
      <c r="U50" t="e">
        <f>'Technical Skills Weighting'!#REF!+"`FU!$4B"</f>
        <v>#REF!</v>
      </c>
      <c r="V50" t="e">
        <f>'Technical Skills Weighting'!#REF!+"`FU!$4C"</f>
        <v>#REF!</v>
      </c>
      <c r="W50" t="e">
        <f>'Technical Skills Weighting'!#REF!+"`FU!$4D"</f>
        <v>#REF!</v>
      </c>
      <c r="X50" t="e">
        <f>'Technical Skills Weighting'!#REF!+"`FU!$4E"</f>
        <v>#REF!</v>
      </c>
      <c r="Y50" t="e">
        <f>'Technical Skills Weighting'!#REF!+"`FU!$4F"</f>
        <v>#REF!</v>
      </c>
      <c r="Z50" t="e">
        <f>'Technical Skills Weighting'!#REF!+"`FU!$4G"</f>
        <v>#REF!</v>
      </c>
      <c r="AA50" t="e">
        <f>'Technical Skills Weighting'!#REF!+"`FU!$4H"</f>
        <v>#REF!</v>
      </c>
      <c r="AB50" t="e">
        <f>'Technical Skills Weighting'!#REF!+"`FU!$4I"</f>
        <v>#REF!</v>
      </c>
      <c r="AC50" t="e">
        <f>'Technical Skills Weighting'!#REF!+"`FU!$4J"</f>
        <v>#REF!</v>
      </c>
      <c r="AD50" t="e">
        <f>'Technical Skills Weighting'!#REF!+"`FU!$4K"</f>
        <v>#REF!</v>
      </c>
      <c r="AE50" t="e">
        <f>'Technical Skills Weighting'!#REF!+"`FU!$4L"</f>
        <v>#REF!</v>
      </c>
      <c r="AF50" t="e">
        <f>'Technical Skills Weighting'!#REF!+"`FU!$4M"</f>
        <v>#REF!</v>
      </c>
      <c r="AG50" t="e">
        <f>'Technical Skills Weighting'!#REF!+"`FU!$4N"</f>
        <v>#REF!</v>
      </c>
      <c r="AH50" t="e">
        <f>'Technical Skills Weighting'!#REF!+"`FU!$4O"</f>
        <v>#REF!</v>
      </c>
      <c r="AI50" t="e">
        <f>'Technical Skills Weighting'!#REF!+"`FU!$4P"</f>
        <v>#REF!</v>
      </c>
      <c r="AJ50" t="e">
        <f>'Technical Skills Weighting'!#REF!+"`FU!$4Q"</f>
        <v>#REF!</v>
      </c>
      <c r="AK50" t="e">
        <f>'Technical Skills Weighting'!#REF!+"`FU!$4R"</f>
        <v>#REF!</v>
      </c>
      <c r="AL50" t="e">
        <f>'Technical Skills Weighting'!#REF!+"`FU!$4S"</f>
        <v>#REF!</v>
      </c>
      <c r="AM50" t="e">
        <f>'Technical Skills Weighting'!#REF!+"`FU!$4T"</f>
        <v>#REF!</v>
      </c>
      <c r="AN50" t="e">
        <f>'Technical Skills Weighting'!#REF!+"`FU!$4U"</f>
        <v>#REF!</v>
      </c>
      <c r="AO50" t="e">
        <f>'Technical Skills Weighting'!#REF!+"`FU!$4V"</f>
        <v>#REF!</v>
      </c>
      <c r="AP50" t="e">
        <f>'Technical Skills Weighting'!#REF!+"`FU!$4W"</f>
        <v>#REF!</v>
      </c>
      <c r="AQ50" t="e">
        <f>'Technical Skills Weighting'!#REF!+"`FU!$4X"</f>
        <v>#REF!</v>
      </c>
      <c r="AR50" t="e">
        <f>'Technical Skills Weighting'!#REF!+"`FU!$4Y"</f>
        <v>#REF!</v>
      </c>
      <c r="AS50" t="e">
        <f>'Technical Skills Weighting'!#REF!+"`FU!$4Z"</f>
        <v>#REF!</v>
      </c>
      <c r="AT50" t="e">
        <f>'Technical Skills Weighting'!#REF!+"`FU!$4["</f>
        <v>#REF!</v>
      </c>
      <c r="AU50" t="e">
        <f>'Technical Skills Weighting'!#REF!+"`FU!$4\"</f>
        <v>#REF!</v>
      </c>
      <c r="AV50" t="e">
        <f>'Technical Skills Weighting'!#REF!+"`FU!$4]"</f>
        <v>#REF!</v>
      </c>
      <c r="AW50" t="e">
        <f>'Technical Skills Weighting'!#REF!+"`FU!$4^"</f>
        <v>#REF!</v>
      </c>
      <c r="AX50" t="e">
        <f>'Technical Skills Weighting'!#REF!+"`FU!$4_"</f>
        <v>#REF!</v>
      </c>
      <c r="AY50" t="e">
        <f>'Technical Skills Weighting'!#REF!+"`FU!$4`"</f>
        <v>#REF!</v>
      </c>
      <c r="AZ50" t="e">
        <f>'Technical Skills Weighting'!#REF!+"`FU!$4a"</f>
        <v>#REF!</v>
      </c>
      <c r="BA50" t="e">
        <f>'Technical Skills Weighting'!#REF!+"`FU!$4b"</f>
        <v>#REF!</v>
      </c>
      <c r="BB50" t="e">
        <f>'Technical Skills Weighting'!#REF!+"`FU!$4c"</f>
        <v>#REF!</v>
      </c>
      <c r="BC50" t="e">
        <f>'Technical Skills Weighting'!#REF!+"`FU!$4d"</f>
        <v>#REF!</v>
      </c>
      <c r="BD50" t="e">
        <f>'Technical Skills Weighting'!#REF!+"`FU!$4e"</f>
        <v>#REF!</v>
      </c>
      <c r="BE50" t="e">
        <f>'Technical Skills Weighting'!#REF!+"`FU!$4f"</f>
        <v>#REF!</v>
      </c>
      <c r="BF50" t="e">
        <f>'Technical Skills Weighting'!#REF!+"`FU!$4g"</f>
        <v>#REF!</v>
      </c>
      <c r="BG50" t="e">
        <f>'Technical Skills Weighting'!#REF!+"`FU!$4h"</f>
        <v>#REF!</v>
      </c>
      <c r="BH50" t="e">
        <f>'Technical Skills Weighting'!#REF!+"`FU!$4i"</f>
        <v>#REF!</v>
      </c>
      <c r="BI50" t="e">
        <f>'Technical Skills Weighting'!#REF!+"`FU!$4j"</f>
        <v>#REF!</v>
      </c>
      <c r="BJ50" t="e">
        <f>'Technical Skills Weighting'!#REF!+"`FU!$4k"</f>
        <v>#REF!</v>
      </c>
      <c r="BK50" t="e">
        <f>'Technical Skills Weighting'!#REF!+"`FU!$4l"</f>
        <v>#REF!</v>
      </c>
      <c r="BL50" t="e">
        <f>'Technical Skills Weighting'!#REF!+"`FU!$4m"</f>
        <v>#REF!</v>
      </c>
      <c r="BM50" t="e">
        <f>'Technical Skills Weighting'!#REF!+"`FU!$4n"</f>
        <v>#REF!</v>
      </c>
      <c r="BN50" t="e">
        <f>'Technical Skills Weighting'!#REF!+"`FU!$4o"</f>
        <v>#REF!</v>
      </c>
      <c r="BO50" t="e">
        <f>'Technical Skills Weighting'!#REF!+"`FU!$4p"</f>
        <v>#REF!</v>
      </c>
      <c r="BP50" t="e">
        <f>'Technical Skills Weighting'!#REF!+"`FU!$4q"</f>
        <v>#REF!</v>
      </c>
      <c r="BQ50" t="e">
        <f>'Technical Skills Weighting'!#REF!+"`FU!$4r"</f>
        <v>#REF!</v>
      </c>
      <c r="BR50" t="e">
        <f>'Technical Skills Weighting'!#REF!+"`FU!$4s"</f>
        <v>#REF!</v>
      </c>
      <c r="BS50" t="e">
        <f>'Technical Skills Weighting'!#REF!+"`FU!$4t"</f>
        <v>#REF!</v>
      </c>
      <c r="BT50" t="e">
        <f>'Technical Skills Weighting'!#REF!+"`FU!$4u"</f>
        <v>#REF!</v>
      </c>
      <c r="BU50" t="e">
        <f>'Technical Skills Weighting'!#REF!+"`FU!$4v"</f>
        <v>#REF!</v>
      </c>
      <c r="BV50" t="e">
        <f>'Technical Skills Weighting'!#REF!+"`FU!$4w"</f>
        <v>#REF!</v>
      </c>
      <c r="BW50" t="e">
        <f>'Technical Skills Weighting'!#REF!+"`FU!$4x"</f>
        <v>#REF!</v>
      </c>
      <c r="BX50" t="e">
        <f>'Technical Skills Weighting'!#REF!+"`FU!$4y"</f>
        <v>#REF!</v>
      </c>
      <c r="BY50" t="e">
        <f>'Technical Skills Weighting'!#REF!+"`FU!$4z"</f>
        <v>#REF!</v>
      </c>
      <c r="BZ50" t="e">
        <f>'Technical Skills Weighting'!#REF!+"`FU!$4{"</f>
        <v>#REF!</v>
      </c>
      <c r="CA50" t="e">
        <f>'Technical Skills Weighting'!#REF!+"`FU!$4|"</f>
        <v>#REF!</v>
      </c>
      <c r="CB50" t="e">
        <f>'Technical Skills Weighting'!#REF!+"`FU!$4}"</f>
        <v>#REF!</v>
      </c>
      <c r="CC50" t="e">
        <f>'Technical Skills Weighting'!#REF!+"`FU!$4~"</f>
        <v>#REF!</v>
      </c>
      <c r="CD50" t="e">
        <f>'Technical Skills Weighting'!#REF!+"`FU!$5#"</f>
        <v>#REF!</v>
      </c>
      <c r="CE50" t="e">
        <f>'Technical Skills Weighting'!#REF!+"`FU!$5$"</f>
        <v>#REF!</v>
      </c>
      <c r="CF50" t="e">
        <f>'Technical Skills Weighting'!#REF!+"`FU!$5%"</f>
        <v>#REF!</v>
      </c>
      <c r="CG50" t="e">
        <f>'Technical Skills Weighting'!#REF!+"`FU!$5&amp;"</f>
        <v>#REF!</v>
      </c>
      <c r="CH50" t="e">
        <f>'Technical Skills Weighting'!#REF!+"`FU!$5'"</f>
        <v>#REF!</v>
      </c>
      <c r="CI50" t="e">
        <f>'Technical Skills Weighting'!#REF!+"`FU!$5("</f>
        <v>#REF!</v>
      </c>
      <c r="CJ50" t="e">
        <f>'Technical Skills Weighting'!#REF!+"`FU!$5)"</f>
        <v>#REF!</v>
      </c>
      <c r="CK50" t="e">
        <f>'Technical Skills Weighting'!#REF!+"`FU!$5."</f>
        <v>#REF!</v>
      </c>
      <c r="CL50" t="e">
        <f>'Technical Skills Weighting'!#REF!+"`FU!$5/"</f>
        <v>#REF!</v>
      </c>
      <c r="CM50" t="e">
        <f>'Technical Skills Weighting'!#REF!+"`FU!$50"</f>
        <v>#REF!</v>
      </c>
      <c r="CN50" t="e">
        <f>'Technical Skills Weighting'!#REF!+"`FU!$51"</f>
        <v>#REF!</v>
      </c>
      <c r="CO50" t="e">
        <f>'Technical Skills Weighting'!#REF!+"`FU!$52"</f>
        <v>#REF!</v>
      </c>
      <c r="CP50" t="e">
        <f>'Technical Skills Weighting'!#REF!+"`FU!$53"</f>
        <v>#REF!</v>
      </c>
      <c r="CQ50" t="e">
        <f>'Technical Skills Weighting'!#REF!+"`FU!$54"</f>
        <v>#REF!</v>
      </c>
      <c r="CR50" t="e">
        <f>'Technical Skills Weighting'!#REF!+"`FU!$55"</f>
        <v>#REF!</v>
      </c>
      <c r="CS50" t="e">
        <f>'Technical Skills Weighting'!#REF!+"`FU!$56"</f>
        <v>#REF!</v>
      </c>
      <c r="CT50" t="e">
        <f>'Technical Skills Weighting'!#REF!+"`FU!$57"</f>
        <v>#REF!</v>
      </c>
      <c r="CU50" t="e">
        <f>'Technical Skills Weighting'!#REF!+"`FU!$58"</f>
        <v>#REF!</v>
      </c>
      <c r="CV50" t="e">
        <f>'Technical Skills Weighting'!#REF!+"`FU!$59"</f>
        <v>#REF!</v>
      </c>
      <c r="CW50" t="e">
        <f>'Technical Skills Weighting'!#REF!+"`FU!$5:"</f>
        <v>#REF!</v>
      </c>
      <c r="CX50" t="e">
        <f>'Technical Skills Weighting'!#REF!+"`FU!$5;"</f>
        <v>#REF!</v>
      </c>
      <c r="CY50" t="e">
        <f>'Technical Skills Weighting'!#REF!+"`FU!$5&lt;"</f>
        <v>#REF!</v>
      </c>
      <c r="CZ50" t="e">
        <f>'Technical Skills Weighting'!#REF!+"`FU!$5="</f>
        <v>#REF!</v>
      </c>
      <c r="DA50" t="e">
        <f>'Technical Skills Weighting'!#REF!+"`FU!$5&gt;"</f>
        <v>#REF!</v>
      </c>
      <c r="DB50" t="e">
        <f>'Technical Skills Weighting'!#REF!+"`FU!$5?"</f>
        <v>#REF!</v>
      </c>
      <c r="DC50" t="e">
        <f>'Technical Skills Weighting'!#REF!+"`FU!$5@"</f>
        <v>#REF!</v>
      </c>
      <c r="DD50" t="e">
        <f>'Technical Skills Weighting'!#REF!+"`FU!$5A"</f>
        <v>#REF!</v>
      </c>
      <c r="DE50" t="e">
        <f>'Technical Skills Weighting'!#REF!+"`FU!$5B"</f>
        <v>#REF!</v>
      </c>
      <c r="DF50" t="e">
        <f>'Technical Skills Weighting'!#REF!+"`FU!$5C"</f>
        <v>#REF!</v>
      </c>
      <c r="DG50" t="e">
        <f>'Technical Skills Weighting'!#REF!+"`FU!$5D"</f>
        <v>#REF!</v>
      </c>
      <c r="DH50" t="e">
        <f>'Technical Skills Weighting'!#REF!+"`FU!$5E"</f>
        <v>#REF!</v>
      </c>
      <c r="DI50" t="e">
        <f>'Technical Skills Weighting'!#REF!+"`FU!$5F"</f>
        <v>#REF!</v>
      </c>
      <c r="DJ50" t="e">
        <f>'Technical Skills Weighting'!#REF!+"`FU!$5G"</f>
        <v>#REF!</v>
      </c>
      <c r="DK50" t="e">
        <f>'Technical Skills Weighting'!#REF!+"`FU!$5H"</f>
        <v>#REF!</v>
      </c>
      <c r="DL50" t="e">
        <f>'Technical Skills Weighting'!#REF!+"`FU!$5I"</f>
        <v>#REF!</v>
      </c>
      <c r="DM50" t="e">
        <f>'Technical Skills Weighting'!#REF!+"`FU!$5J"</f>
        <v>#REF!</v>
      </c>
      <c r="DN50" t="e">
        <f>'Technical Skills Weighting'!#REF!+"`FU!$5K"</f>
        <v>#REF!</v>
      </c>
      <c r="DO50" t="e">
        <f>'Technical Skills Weighting'!#REF!+"`FU!$5L"</f>
        <v>#REF!</v>
      </c>
      <c r="DP50" t="e">
        <f>'Technical Skills Weighting'!#REF!+"`FU!$5M"</f>
        <v>#REF!</v>
      </c>
      <c r="DQ50" t="e">
        <f>'Technical Skills Weighting'!#REF!+"`FU!$5N"</f>
        <v>#REF!</v>
      </c>
      <c r="DR50" t="e">
        <f>'Technical Skills Weighting'!#REF!+"`FU!$5O"</f>
        <v>#REF!</v>
      </c>
      <c r="DS50" t="e">
        <f>'Technical Skills Weighting'!#REF!+"`FU!$5P"</f>
        <v>#REF!</v>
      </c>
      <c r="DT50" t="e">
        <f>'Technical Skills Weighting'!#REF!+"`FU!$5Q"</f>
        <v>#REF!</v>
      </c>
      <c r="DU50" t="e">
        <f>'Technical Skills Weighting'!#REF!+"`FU!$5R"</f>
        <v>#REF!</v>
      </c>
      <c r="DV50" t="e">
        <f>'Technical Skills Weighting'!#REF!+"`FU!$5S"</f>
        <v>#REF!</v>
      </c>
      <c r="DW50" t="e">
        <f>'Technical Skills Weighting'!#REF!+"`FU!$5T"</f>
        <v>#REF!</v>
      </c>
      <c r="DX50" t="e">
        <f>'Technical Skills Weighting'!#REF!+"`FU!$5U"</f>
        <v>#REF!</v>
      </c>
      <c r="DY50" t="e">
        <f>'Technical Skills Weighting'!#REF!+"`FU!$5V"</f>
        <v>#REF!</v>
      </c>
      <c r="DZ50" t="e">
        <f>'Technical Skills Weighting'!#REF!+"`FU!$5W"</f>
        <v>#REF!</v>
      </c>
      <c r="EA50" t="e">
        <f>'Technical Skills Weighting'!#REF!+"`FU!$5X"</f>
        <v>#REF!</v>
      </c>
      <c r="EB50" t="e">
        <f>'Technical Skills Weighting'!#REF!+"`FU!$5Y"</f>
        <v>#REF!</v>
      </c>
      <c r="EC50" t="e">
        <f>'Technical Skills Weighting'!#REF!+"`FU!$5Z"</f>
        <v>#REF!</v>
      </c>
      <c r="ED50" t="e">
        <f>'Technical Skills Weighting'!#REF!+"`FU!$5["</f>
        <v>#REF!</v>
      </c>
      <c r="EE50" t="e">
        <f>'Technical Skills Weighting'!#REF!+"`FU!$5\"</f>
        <v>#REF!</v>
      </c>
      <c r="EF50" t="e">
        <f>'Technical Skills Weighting'!#REF!+"`FU!$5]"</f>
        <v>#REF!</v>
      </c>
      <c r="EG50" t="e">
        <f>'Technical Skills Weighting'!#REF!+"`FU!$5^"</f>
        <v>#REF!</v>
      </c>
      <c r="EH50" t="e">
        <f>'Technical Skills Weighting'!#REF!+"`FU!$5_"</f>
        <v>#REF!</v>
      </c>
      <c r="EI50" t="e">
        <f>'Technical Skills Weighting'!#REF!+"`FU!$5`"</f>
        <v>#REF!</v>
      </c>
      <c r="EJ50" t="e">
        <f>'Technical Skills Weighting'!#REF!+"`FU!$5a"</f>
        <v>#REF!</v>
      </c>
      <c r="EK50" t="e">
        <f>'Technical Skills Weighting'!#REF!+"`FU!$5b"</f>
        <v>#REF!</v>
      </c>
      <c r="EL50" t="e">
        <f>'Technical Skills Weighting'!#REF!+"`FU!$5c"</f>
        <v>#REF!</v>
      </c>
      <c r="EM50" t="e">
        <f>'Technical Skills Weighting'!#REF!+"`FU!$5d"</f>
        <v>#REF!</v>
      </c>
      <c r="EN50" t="e">
        <f>'Technical Skills Weighting'!#REF!+"`FU!$5e"</f>
        <v>#REF!</v>
      </c>
      <c r="EO50" t="e">
        <f>'Technical Skills Weighting'!#REF!+"`FU!$5f"</f>
        <v>#REF!</v>
      </c>
      <c r="EP50" t="e">
        <f>'Technical Skills Weighting'!#REF!+"`FU!$5g"</f>
        <v>#REF!</v>
      </c>
      <c r="EQ50" t="e">
        <f>'Technical Skills Weighting'!#REF!+"`FU!$5h"</f>
        <v>#REF!</v>
      </c>
      <c r="ER50" t="e">
        <f>'Technical Skills Weighting'!#REF!+"`FU!$5i"</f>
        <v>#REF!</v>
      </c>
      <c r="ES50" t="e">
        <f>'Technical Skills Weighting'!#REF!+"`FU!$5j"</f>
        <v>#REF!</v>
      </c>
      <c r="ET50" t="e">
        <f>'Technical Skills Weighting'!#REF!+"`FU!$5k"</f>
        <v>#REF!</v>
      </c>
      <c r="EU50" t="e">
        <f>'Technical Skills Weighting'!#REF!+"`FU!$5l"</f>
        <v>#REF!</v>
      </c>
      <c r="EV50" t="e">
        <f>'Technical Skills Weighting'!#REF!+"`FU!$5m"</f>
        <v>#REF!</v>
      </c>
      <c r="EW50" t="e">
        <f>'Technical Skills Weighting'!#REF!+"`FU!$5n"</f>
        <v>#REF!</v>
      </c>
      <c r="EX50" t="e">
        <f>'Technical Skills Weighting'!#REF!+"`FU!$5o"</f>
        <v>#REF!</v>
      </c>
      <c r="EY50" t="e">
        <f>'Technical Skills Weighting'!#REF!+"`FU!$5p"</f>
        <v>#REF!</v>
      </c>
      <c r="EZ50" t="e">
        <f>'Technical Skills Weighting'!#REF!+"`FU!$5q"</f>
        <v>#REF!</v>
      </c>
      <c r="FA50" t="e">
        <f>'Technical Skills Weighting'!#REF!+"`FU!$5r"</f>
        <v>#REF!</v>
      </c>
      <c r="FB50" t="e">
        <f>'Technical Skills Weighting'!#REF!+"`FU!$5s"</f>
        <v>#REF!</v>
      </c>
      <c r="FC50" t="e">
        <f>'Technical Skills Weighting'!#REF!+"`FU!$5t"</f>
        <v>#REF!</v>
      </c>
      <c r="FD50" t="e">
        <f>'Technical Skills Weighting'!#REF!+"`FU!$5u"</f>
        <v>#REF!</v>
      </c>
      <c r="FE50" t="e">
        <f>'Technical Skills Weighting'!#REF!+"`FU!$5v"</f>
        <v>#REF!</v>
      </c>
      <c r="FF50" t="e">
        <f>'Technical Skills Weighting'!#REF!+"`FU!$5w"</f>
        <v>#REF!</v>
      </c>
      <c r="FG50" t="e">
        <f>'Technical Skills Weighting'!#REF!+"`FU!$5x"</f>
        <v>#REF!</v>
      </c>
      <c r="FH50" t="e">
        <f>'Technical Skills Weighting'!#REF!+"`FU!$5y"</f>
        <v>#REF!</v>
      </c>
      <c r="FI50" t="e">
        <f>'Technical Skills Weighting'!#REF!+"`FU!$5z"</f>
        <v>#REF!</v>
      </c>
      <c r="FJ50" t="e">
        <f>'Technical Skills Weighting'!#REF!+"`FU!$5{"</f>
        <v>#REF!</v>
      </c>
      <c r="FK50" t="e">
        <f>'Technical Skills Weighting'!#REF!+"`FU!$5|"</f>
        <v>#REF!</v>
      </c>
      <c r="FL50" t="e">
        <f>'Technical Skills Weighting'!#REF!+"`FU!$5}"</f>
        <v>#REF!</v>
      </c>
      <c r="FM50" t="e">
        <f>'Technical Skills Weighting'!#REF!+"`FU!$5~"</f>
        <v>#REF!</v>
      </c>
      <c r="FN50" t="e">
        <f>'Technical Skills Weighting'!#REF!+"`FU!$6#"</f>
        <v>#REF!</v>
      </c>
      <c r="FO50" t="e">
        <f>'Technical Skills Weighting'!#REF!+"`FU!$6$"</f>
        <v>#REF!</v>
      </c>
      <c r="FP50" t="e">
        <f>'Technical Skills Weighting'!#REF!+"`FU!$6%"</f>
        <v>#REF!</v>
      </c>
      <c r="FQ50" t="e">
        <f>'Technical Skills Weighting'!#REF!+"`FU!$6&amp;"</f>
        <v>#REF!</v>
      </c>
      <c r="FR50" t="e">
        <f>'Technical Skills Weighting'!#REF!+"`FU!$6'"</f>
        <v>#REF!</v>
      </c>
      <c r="FS50" t="e">
        <f>'Technical Skills Weighting'!#REF!+"`FU!$6("</f>
        <v>#REF!</v>
      </c>
      <c r="FT50" t="e">
        <f>'Technical Skills Weighting'!#REF!+"`FU!$6)"</f>
        <v>#REF!</v>
      </c>
      <c r="FU50" t="e">
        <f>'Technical Skills Weighting'!#REF!+"`FU!$6."</f>
        <v>#REF!</v>
      </c>
      <c r="FV50" t="e">
        <f>'Technical Skills Weighting'!#REF!+"`FU!$6/"</f>
        <v>#REF!</v>
      </c>
      <c r="FW50" t="e">
        <f>'Technical Skills Weighting'!#REF!+"`FU!$60"</f>
        <v>#REF!</v>
      </c>
      <c r="FX50" t="e">
        <f>'Technical Skills Weighting'!#REF!+"`FU!$61"</f>
        <v>#REF!</v>
      </c>
      <c r="FY50" t="e">
        <f>'Technical Skills Weighting'!#REF!+"`FU!$62"</f>
        <v>#REF!</v>
      </c>
      <c r="FZ50" t="e">
        <f>'Technical Skills Weighting'!#REF!+"`FU!$63"</f>
        <v>#REF!</v>
      </c>
      <c r="GA50" t="e">
        <f>'Technical Skills Weighting'!#REF!+"`FU!$64"</f>
        <v>#REF!</v>
      </c>
      <c r="GB50" t="e">
        <f>'Technical Skills Weighting'!#REF!+"`FU!$65"</f>
        <v>#REF!</v>
      </c>
      <c r="GC50" t="e">
        <f>'Technical Skills Weighting'!#REF!+"`FU!$66"</f>
        <v>#REF!</v>
      </c>
      <c r="GD50" t="e">
        <f>'Technical Skills Weighting'!#REF!+"`FU!$67"</f>
        <v>#REF!</v>
      </c>
      <c r="GE50" t="e">
        <f>'Technical Skills Weighting'!#REF!+"`FU!$68"</f>
        <v>#REF!</v>
      </c>
      <c r="GF50" t="e">
        <f>'Technical Skills Weighting'!#REF!+"`FU!$69"</f>
        <v>#REF!</v>
      </c>
      <c r="GG50" t="e">
        <f>'Technical Skills Weighting'!#REF!+"`FU!$6:"</f>
        <v>#REF!</v>
      </c>
      <c r="GH50" t="e">
        <f>'Technical Skills Weighting'!#REF!+"`FU!$6;"</f>
        <v>#REF!</v>
      </c>
      <c r="GI50" t="e">
        <f>'Technical Skills Weighting'!#REF!+"`FU!$6&lt;"</f>
        <v>#REF!</v>
      </c>
      <c r="GJ50" t="e">
        <f>'Technical Skills Weighting'!#REF!+"`FU!$6="</f>
        <v>#REF!</v>
      </c>
      <c r="GK50" t="e">
        <f>'Technical Skills Weighting'!#REF!+"`FU!$6&gt;"</f>
        <v>#REF!</v>
      </c>
      <c r="GL50" t="e">
        <f>'Technical Skills Weighting'!#REF!+"`FU!$6?"</f>
        <v>#REF!</v>
      </c>
      <c r="GM50" t="e">
        <f>'Technical Skills Weighting'!#REF!+"`FU!$6@"</f>
        <v>#REF!</v>
      </c>
      <c r="GN50" t="e">
        <f>'Technical Skills Weighting'!#REF!+"`FU!$6A"</f>
        <v>#REF!</v>
      </c>
      <c r="GO50" t="e">
        <f>'Technical Skills Weighting'!#REF!+"`FU!$6B"</f>
        <v>#REF!</v>
      </c>
      <c r="GP50" t="e">
        <f>'Technical Skills Weighting'!#REF!+"`FU!$6C"</f>
        <v>#REF!</v>
      </c>
      <c r="GQ50" t="e">
        <f>'Technical Skills Weighting'!#REF!+"`FU!$6D"</f>
        <v>#REF!</v>
      </c>
      <c r="GR50" t="e">
        <f>'Technical Skills Weighting'!#REF!+"`FU!$6E"</f>
        <v>#REF!</v>
      </c>
      <c r="GS50" t="e">
        <f>'Technical Skills Weighting'!#REF!+"`FU!$6F"</f>
        <v>#REF!</v>
      </c>
      <c r="GT50" t="e">
        <f>'Technical Skills Weighting'!#REF!+"`FU!$6G"</f>
        <v>#REF!</v>
      </c>
      <c r="GU50" t="e">
        <f>'Technical Skills Weighting'!#REF!+"`FU!$6H"</f>
        <v>#REF!</v>
      </c>
      <c r="GV50" t="e">
        <f>'Technical Skills Weighting'!#REF!+"`FU!$6I"</f>
        <v>#REF!</v>
      </c>
      <c r="GW50" t="e">
        <f>'Technical Skills Weighting'!#REF!+"`FU!$6J"</f>
        <v>#REF!</v>
      </c>
      <c r="GX50" t="e">
        <f>'Technical Skills Weighting'!#REF!+"`FU!$6K"</f>
        <v>#REF!</v>
      </c>
      <c r="GY50" t="e">
        <f>'Technical Skills Weighting'!#REF!+"`FU!$6L"</f>
        <v>#REF!</v>
      </c>
      <c r="GZ50" t="e">
        <f>'Technical Skills Weighting'!#REF!+"`FU!$6M"</f>
        <v>#REF!</v>
      </c>
      <c r="HA50" t="e">
        <f>'Technical Skills Weighting'!#REF!+"`FU!$6N"</f>
        <v>#REF!</v>
      </c>
      <c r="HB50" t="e">
        <f>'Technical Skills Weighting'!#REF!+"`FU!$6O"</f>
        <v>#REF!</v>
      </c>
      <c r="HC50" t="e">
        <f>'Technical Skills Weighting'!#REF!+"`FU!$6P"</f>
        <v>#REF!</v>
      </c>
      <c r="HD50" t="e">
        <f>'Technical Skills Weighting'!#REF!+"`FU!$6Q"</f>
        <v>#REF!</v>
      </c>
      <c r="HE50" t="e">
        <f>'Technical Skills Weighting'!#REF!+"`FU!$6R"</f>
        <v>#REF!</v>
      </c>
      <c r="HF50" t="e">
        <f>'Technical Skills Weighting'!#REF!+"`FU!$6S"</f>
        <v>#REF!</v>
      </c>
      <c r="HG50" t="e">
        <f>'Technical Skills Weighting'!#REF!+"`FU!$6T"</f>
        <v>#REF!</v>
      </c>
      <c r="HH50" t="e">
        <f>'Technical Skills Weighting'!#REF!+"`FU!$6U"</f>
        <v>#REF!</v>
      </c>
      <c r="HI50" t="e">
        <f>'Technical Skills Weighting'!#REF!+"`FU!$6V"</f>
        <v>#REF!</v>
      </c>
      <c r="HJ50" t="e">
        <f>'Technical Skills Weighting'!#REF!+"`FU!$6W"</f>
        <v>#REF!</v>
      </c>
      <c r="HK50" t="e">
        <f>'Technical Skills Weighting'!#REF!+"`FU!$6X"</f>
        <v>#REF!</v>
      </c>
      <c r="HL50" t="e">
        <f>'Technical Skills Weighting'!#REF!+"`FU!$6Y"</f>
        <v>#REF!</v>
      </c>
      <c r="HM50" t="e">
        <f>'Technical Skills Weighting'!#REF!+"`FU!$6Z"</f>
        <v>#REF!</v>
      </c>
      <c r="HN50" t="e">
        <f>'Technical Skills Weighting'!#REF!+"`FU!$6["</f>
        <v>#REF!</v>
      </c>
      <c r="HO50" t="e">
        <f>'Technical Skills Weighting'!#REF!+"`FU!$6\"</f>
        <v>#REF!</v>
      </c>
      <c r="HP50" t="e">
        <f>'Technical Skills Weighting'!#REF!+"`FU!$6]"</f>
        <v>#REF!</v>
      </c>
      <c r="HQ50" t="e">
        <f>'Technical Skills Weighting'!#REF!+"`FU!$6^"</f>
        <v>#REF!</v>
      </c>
      <c r="HR50" t="e">
        <f>'Technical Skills Weighting'!#REF!+"`FU!$6_"</f>
        <v>#REF!</v>
      </c>
      <c r="HS50" t="e">
        <f>'Technical Skills Weighting'!#REF!+"`FU!$6`"</f>
        <v>#REF!</v>
      </c>
      <c r="HT50" t="e">
        <f>'Technical Skills Weighting'!#REF!+"`FU!$6a"</f>
        <v>#REF!</v>
      </c>
      <c r="HU50" t="e">
        <f>'Technical Skills Weighting'!#REF!+"`FU!$6b"</f>
        <v>#REF!</v>
      </c>
      <c r="HV50" t="e">
        <f>'Technical Skills Weighting'!#REF!+"`FU!$6c"</f>
        <v>#REF!</v>
      </c>
      <c r="HW50" t="e">
        <f>'Technical Skills Weighting'!#REF!+"`FU!$6d"</f>
        <v>#REF!</v>
      </c>
      <c r="HX50" t="e">
        <f>'Technical Skills Weighting'!#REF!+"`FU!$6e"</f>
        <v>#REF!</v>
      </c>
      <c r="HY50" t="e">
        <f>'Technical Skills Weighting'!#REF!+"`FU!$6f"</f>
        <v>#REF!</v>
      </c>
      <c r="HZ50" t="e">
        <f>'Technical Skills Weighting'!#REF!+"`FU!$6g"</f>
        <v>#REF!</v>
      </c>
      <c r="IA50" t="e">
        <f>'Technical Skills Weighting'!#REF!+"`FU!$6h"</f>
        <v>#REF!</v>
      </c>
      <c r="IB50" t="e">
        <f>'Technical Skills Weighting'!#REF!+"`FU!$6i"</f>
        <v>#REF!</v>
      </c>
      <c r="IC50" t="e">
        <f>'Technical Skills Weighting'!#REF!+"`FU!$6j"</f>
        <v>#REF!</v>
      </c>
      <c r="ID50" t="e">
        <f>'Technical Skills Weighting'!#REF!+"`FU!$6k"</f>
        <v>#REF!</v>
      </c>
      <c r="IE50" t="e">
        <f>'Technical Skills Weighting'!#REF!+"`FU!$6l"</f>
        <v>#REF!</v>
      </c>
      <c r="IF50" t="e">
        <f>'Technical Skills Weighting'!#REF!+"`FU!$6m"</f>
        <v>#REF!</v>
      </c>
      <c r="IG50" t="e">
        <f>'Technical Skills Weighting'!#REF!+"`FU!$6n"</f>
        <v>#REF!</v>
      </c>
      <c r="IH50" t="e">
        <f>'Technical Skills Weighting'!#REF!+"`FU!$6o"</f>
        <v>#REF!</v>
      </c>
      <c r="II50" t="e">
        <f>'Technical Skills Weighting'!#REF!+"`FU!$6p"</f>
        <v>#REF!</v>
      </c>
      <c r="IJ50" t="e">
        <f>'Technical Skills Weighting'!#REF!+"`FU!$6q"</f>
        <v>#REF!</v>
      </c>
      <c r="IK50" t="e">
        <f>'Technical Skills Weighting'!#REF!+"`FU!$6r"</f>
        <v>#REF!</v>
      </c>
      <c r="IL50" t="e">
        <f>'Technical Skills Weighting'!#REF!+"`FU!$6s"</f>
        <v>#REF!</v>
      </c>
      <c r="IM50" t="e">
        <f>'Technical Skills Weighting'!#REF!+"`FU!$6t"</f>
        <v>#REF!</v>
      </c>
      <c r="IN50" t="e">
        <f>'Technical Skills Weighting'!#REF!+"`FU!$6u"</f>
        <v>#REF!</v>
      </c>
      <c r="IO50" t="e">
        <f>'Technical Skills Weighting'!#REF!+"`FU!$6v"</f>
        <v>#REF!</v>
      </c>
      <c r="IP50" t="e">
        <f>'Technical Skills Weighting'!#REF!+"`FU!$6w"</f>
        <v>#REF!</v>
      </c>
      <c r="IQ50" t="e">
        <f>'Technical Skills Weighting'!#REF!+"`FU!$6x"</f>
        <v>#REF!</v>
      </c>
      <c r="IR50" t="e">
        <f>'Technical Skills Weighting'!#REF!+"`FU!$6y"</f>
        <v>#REF!</v>
      </c>
      <c r="IS50" t="e">
        <f>'Technical Skills Weighting'!#REF!+"`FU!$6z"</f>
        <v>#REF!</v>
      </c>
      <c r="IT50" t="e">
        <f>'Technical Skills Weighting'!#REF!+"`FU!$6{"</f>
        <v>#REF!</v>
      </c>
      <c r="IU50" t="e">
        <f>'Technical Skills Weighting'!#REF!+"`FU!$6|"</f>
        <v>#REF!</v>
      </c>
      <c r="IV50" t="e">
        <f>'Technical Skills Weighting'!#REF!+"`FU!$6}"</f>
        <v>#REF!</v>
      </c>
    </row>
    <row r="51" spans="6:256" x14ac:dyDescent="0.25">
      <c r="F51" t="e">
        <f>'Technical Skills Weighting'!#REF!+"`FU!$6~"</f>
        <v>#REF!</v>
      </c>
      <c r="G51" t="e">
        <f>'Technical Skills Weighting'!#REF!+"`FU!$7#"</f>
        <v>#REF!</v>
      </c>
      <c r="H51" t="e">
        <f>'Technical Skills Weighting'!#REF!+"`FU!$7$"</f>
        <v>#REF!</v>
      </c>
      <c r="I51" t="e">
        <f>'Technical Skills Weighting'!#REF!+"`FU!$7%"</f>
        <v>#REF!</v>
      </c>
      <c r="J51" t="e">
        <f>'Technical Skills Weighting'!#REF!+"`FU!$7&amp;"</f>
        <v>#REF!</v>
      </c>
      <c r="K51" t="e">
        <f>'Technical Skills Weighting'!#REF!+"`FU!$7'"</f>
        <v>#REF!</v>
      </c>
      <c r="L51" t="e">
        <f>'Technical Skills Weighting'!#REF!+"`FU!$7("</f>
        <v>#REF!</v>
      </c>
      <c r="M51" t="e">
        <f>'Technical Skills Weighting'!#REF!+"`FU!$7)"</f>
        <v>#REF!</v>
      </c>
      <c r="N51" t="e">
        <f>'Technical Skills Weighting'!#REF!+"`FU!$7."</f>
        <v>#REF!</v>
      </c>
      <c r="O51" t="e">
        <f>'Technical Skills Weighting'!#REF!+"`FU!$7/"</f>
        <v>#REF!</v>
      </c>
      <c r="P51" t="e">
        <f>'Technical Skills Weighting'!#REF!+"`FU!$70"</f>
        <v>#REF!</v>
      </c>
      <c r="Q51" t="e">
        <f>'Technical Skills Weighting'!#REF!+"`FU!$71"</f>
        <v>#REF!</v>
      </c>
      <c r="R51" t="e">
        <f>'Technical Skills Weighting'!#REF!+"`FU!$72"</f>
        <v>#REF!</v>
      </c>
      <c r="S51" t="e">
        <f>'Technical Skills Weighting'!#REF!+"`FU!$73"</f>
        <v>#REF!</v>
      </c>
      <c r="T51" t="e">
        <f>'Technical Skills Weighting'!#REF!+"`FU!$74"</f>
        <v>#REF!</v>
      </c>
      <c r="U51" t="e">
        <f>'Technical Skills Weighting'!#REF!+"`FU!$75"</f>
        <v>#REF!</v>
      </c>
      <c r="V51" t="e">
        <f>'Technical Skills Weighting'!#REF!+"`FU!$76"</f>
        <v>#REF!</v>
      </c>
      <c r="W51" t="e">
        <f>'Technical Skills Weighting'!#REF!+"`FU!$77"</f>
        <v>#REF!</v>
      </c>
      <c r="X51" t="e">
        <f>'Technical Skills Weighting'!#REF!+"`FU!$78"</f>
        <v>#REF!</v>
      </c>
      <c r="Y51" t="e">
        <f>'Technical Skills Weighting'!#REF!+"`FU!$79"</f>
        <v>#REF!</v>
      </c>
      <c r="Z51" t="e">
        <f>'Technical Skills Weighting'!#REF!+"`FU!$7:"</f>
        <v>#REF!</v>
      </c>
      <c r="AA51" t="e">
        <f>'Technical Skills Weighting'!#REF!+"`FU!$7;"</f>
        <v>#REF!</v>
      </c>
      <c r="AB51" t="e">
        <f>'Technical Skills Weighting'!#REF!+"`FU!$7&lt;"</f>
        <v>#REF!</v>
      </c>
      <c r="AC51" t="e">
        <f>'Technical Skills Weighting'!#REF!+"`FU!$7="</f>
        <v>#REF!</v>
      </c>
      <c r="AD51" t="e">
        <f>'Technical Skills Weighting'!#REF!+"`FU!$7&gt;"</f>
        <v>#REF!</v>
      </c>
      <c r="AE51" t="e">
        <f>'Technical Skills Weighting'!#REF!+"`FU!$7?"</f>
        <v>#REF!</v>
      </c>
      <c r="AF51" t="e">
        <f>'Technical Skills Weighting'!#REF!+"`FU!$7@"</f>
        <v>#REF!</v>
      </c>
      <c r="AG51" t="e">
        <f>'Technical Skills Weighting'!#REF!+"`FU!$7A"</f>
        <v>#REF!</v>
      </c>
      <c r="AH51" t="e">
        <f>'Technical Skills Weighting'!#REF!+"`FU!$7B"</f>
        <v>#REF!</v>
      </c>
      <c r="AI51" t="e">
        <f>'Technical Skills Weighting'!#REF!+"`FU!$7C"</f>
        <v>#REF!</v>
      </c>
      <c r="AJ51" t="e">
        <f>'Technical Skills Weighting'!#REF!+"`FU!$7D"</f>
        <v>#REF!</v>
      </c>
      <c r="AK51" t="e">
        <f>'Technical Skills Weighting'!#REF!+"`FU!$7E"</f>
        <v>#REF!</v>
      </c>
      <c r="AL51" t="e">
        <f>'Technical Skills Weighting'!#REF!+"`FU!$7F"</f>
        <v>#REF!</v>
      </c>
      <c r="AM51" t="e">
        <f>'Technical Skills Weighting'!#REF!+"`FU!$7G"</f>
        <v>#REF!</v>
      </c>
      <c r="AN51" t="e">
        <f>'Technical Skills Weighting'!#REF!+"`FU!$7H"</f>
        <v>#REF!</v>
      </c>
      <c r="AO51" t="e">
        <f>'Technical Skills Weighting'!#REF!+"`FU!$7I"</f>
        <v>#REF!</v>
      </c>
      <c r="AP51" t="e">
        <f>'Technical Skills Weighting'!#REF!+"`FU!$7J"</f>
        <v>#REF!</v>
      </c>
      <c r="AQ51" t="e">
        <f>'Technical Skills Weighting'!#REF!+"`FU!$7K"</f>
        <v>#REF!</v>
      </c>
      <c r="AR51" t="e">
        <f>'Technical Skills Weighting'!#REF!+"`FU!$7L"</f>
        <v>#REF!</v>
      </c>
      <c r="AS51" t="e">
        <f>'Technical Skills Weighting'!#REF!+"`FU!$7M"</f>
        <v>#REF!</v>
      </c>
      <c r="AT51" t="e">
        <f>'Technical Skills Weighting'!#REF!+"`FU!$7N"</f>
        <v>#REF!</v>
      </c>
      <c r="AU51" t="e">
        <f>'Technical Skills Weighting'!#REF!+"`FU!$7O"</f>
        <v>#REF!</v>
      </c>
      <c r="AV51" t="e">
        <f>'Technical Skills Weighting'!#REF!+"`FU!$7P"</f>
        <v>#REF!</v>
      </c>
      <c r="AW51" t="e">
        <f>'Technical Skills Weighting'!#REF!+"`FU!$7Q"</f>
        <v>#REF!</v>
      </c>
      <c r="AX51" t="e">
        <f>'Technical Skills Weighting'!#REF!+"`FU!$7R"</f>
        <v>#REF!</v>
      </c>
      <c r="AY51" t="e">
        <f>'Technical Skills Weighting'!#REF!+"`FU!$7S"</f>
        <v>#REF!</v>
      </c>
      <c r="AZ51" t="e">
        <f>'Technical Skills Weighting'!#REF!+"`FU!$7T"</f>
        <v>#REF!</v>
      </c>
      <c r="BA51" t="e">
        <f>'Technical Skills Weighting'!#REF!+"`FU!$7U"</f>
        <v>#REF!</v>
      </c>
      <c r="BB51" t="e">
        <f>'Technical Skills Weighting'!#REF!+"`FU!$7V"</f>
        <v>#REF!</v>
      </c>
      <c r="BC51" t="e">
        <f>'Technical Skills Weighting'!#REF!+"`FU!$7W"</f>
        <v>#REF!</v>
      </c>
      <c r="BD51" t="e">
        <f>'Technical Skills Weighting'!#REF!+"`FU!$7X"</f>
        <v>#REF!</v>
      </c>
      <c r="BE51" t="e">
        <f>'Technical Skills Weighting'!#REF!+"`FU!$7Y"</f>
        <v>#REF!</v>
      </c>
      <c r="BF51" t="e">
        <f>'Technical Skills Weighting'!#REF!+"`FU!$7Z"</f>
        <v>#REF!</v>
      </c>
      <c r="BG51" t="e">
        <f>'Technical Skills Weighting'!#REF!+"`FU!$7["</f>
        <v>#REF!</v>
      </c>
      <c r="BH51" t="e">
        <f>'Technical Skills Weighting'!#REF!+"`FU!$7\"</f>
        <v>#REF!</v>
      </c>
      <c r="BI51" t="e">
        <f>'Technical Skills Weighting'!#REF!+"`FU!$7]"</f>
        <v>#REF!</v>
      </c>
      <c r="BJ51" t="e">
        <f>'Technical Skills Weighting'!#REF!+"`FU!$7^"</f>
        <v>#REF!</v>
      </c>
      <c r="BK51" t="e">
        <f>'Technical Skills Weighting'!#REF!+"`FU!$7_"</f>
        <v>#REF!</v>
      </c>
      <c r="BL51" t="e">
        <f>'Technical Skills Weighting'!#REF!+"`FU!$7`"</f>
        <v>#REF!</v>
      </c>
      <c r="BM51" t="e">
        <f>'Technical Skills Weighting'!#REF!+"`FU!$7a"</f>
        <v>#REF!</v>
      </c>
      <c r="BN51" t="e">
        <f>'Technical Skills Weighting'!#REF!+"`FU!$7b"</f>
        <v>#REF!</v>
      </c>
      <c r="BO51" t="e">
        <f>'Technical Skills Weighting'!#REF!+"`FU!$7c"</f>
        <v>#REF!</v>
      </c>
      <c r="BP51" t="e">
        <f>'Technical Skills Weighting'!#REF!+"`FU!$7d"</f>
        <v>#REF!</v>
      </c>
      <c r="BQ51" t="e">
        <f>'Technical Skills Weighting'!#REF!+"`FU!$7e"</f>
        <v>#REF!</v>
      </c>
      <c r="BR51" t="e">
        <f>'Technical Skills Weighting'!#REF!+"`FU!$7f"</f>
        <v>#REF!</v>
      </c>
      <c r="BS51" t="e">
        <f>'Technical Skills Weighting'!#REF!+"`FU!$7g"</f>
        <v>#REF!</v>
      </c>
      <c r="BT51" t="e">
        <f>'Technical Skills Weighting'!#REF!+"`FU!$7h"</f>
        <v>#REF!</v>
      </c>
      <c r="BU51" t="e">
        <f>'Technical Skills Weighting'!#REF!+"`FU!$7i"</f>
        <v>#REF!</v>
      </c>
      <c r="BV51" t="e">
        <f>'Technical Skills Weighting'!#REF!+"`FU!$7j"</f>
        <v>#REF!</v>
      </c>
      <c r="BW51" t="e">
        <f>'Technical Skills Weighting'!#REF!+"`FU!$7k"</f>
        <v>#REF!</v>
      </c>
      <c r="BX51" t="e">
        <f>'Technical Skills Weighting'!#REF!+"`FU!$7l"</f>
        <v>#REF!</v>
      </c>
      <c r="BY51" t="e">
        <f>'Technical Skills Weighting'!#REF!+"`FU!$7m"</f>
        <v>#REF!</v>
      </c>
      <c r="BZ51" t="e">
        <f>'Technical Skills Weighting'!#REF!+"`FU!$7n"</f>
        <v>#REF!</v>
      </c>
      <c r="CA51" t="e">
        <f>'Technical Skills Weighting'!#REF!+"`FU!$7o"</f>
        <v>#REF!</v>
      </c>
      <c r="CB51" t="e">
        <f>'Technical Skills Weighting'!#REF!+"`FU!$7p"</f>
        <v>#REF!</v>
      </c>
      <c r="CC51" t="e">
        <f>'Technical Skills Weighting'!#REF!+"`FU!$7q"</f>
        <v>#REF!</v>
      </c>
      <c r="CD51" t="e">
        <f>'Technical Skills Weighting'!#REF!+"`FU!$7r"</f>
        <v>#REF!</v>
      </c>
      <c r="CE51" t="e">
        <f>'Technical Skills Weighting'!#REF!+"`FU!$7s"</f>
        <v>#REF!</v>
      </c>
      <c r="CF51" t="e">
        <f>'Technical Skills Weighting'!#REF!+"`FU!$7t"</f>
        <v>#REF!</v>
      </c>
      <c r="CG51" t="e">
        <f>'Technical Skills Weighting'!#REF!+"`FU!$7u"</f>
        <v>#REF!</v>
      </c>
      <c r="CH51" t="e">
        <f>'Technical Skills Weighting'!#REF!+"`FU!$7v"</f>
        <v>#REF!</v>
      </c>
      <c r="CI51" t="e">
        <f>'Technical Skills Weighting'!#REF!+"`FU!$7w"</f>
        <v>#REF!</v>
      </c>
      <c r="CJ51" t="e">
        <f>'Technical Skills Weighting'!#REF!+"`FU!$7x"</f>
        <v>#REF!</v>
      </c>
      <c r="CK51" t="e">
        <f>'Technical Skills Weighting'!#REF!+"`FU!$7y"</f>
        <v>#REF!</v>
      </c>
      <c r="CL51" t="e">
        <f>'Technical Skills Weighting'!#REF!+"`FU!$7z"</f>
        <v>#REF!</v>
      </c>
      <c r="CM51" t="e">
        <f>'Technical Skills Weighting'!#REF!+"`FU!$7{"</f>
        <v>#REF!</v>
      </c>
      <c r="CN51" t="e">
        <f>'Technical Skills Weighting'!#REF!+"`FU!$7|"</f>
        <v>#REF!</v>
      </c>
      <c r="CO51" t="e">
        <f>'Technical Skills Weighting'!#REF!+"`FU!$7}"</f>
        <v>#REF!</v>
      </c>
      <c r="CP51" t="e">
        <f>'Technical Skills Weighting'!#REF!+"`FU!$7~"</f>
        <v>#REF!</v>
      </c>
      <c r="CQ51" t="e">
        <f>'Technical Skills Weighting'!#REF!+"`FU!$8#"</f>
        <v>#REF!</v>
      </c>
      <c r="CR51" t="e">
        <f>'Technical Skills Weighting'!#REF!+"`FU!$8$"</f>
        <v>#REF!</v>
      </c>
      <c r="CS51" t="e">
        <f>'Technical Skills Weighting'!#REF!+"`FU!$8%"</f>
        <v>#REF!</v>
      </c>
      <c r="CT51" t="e">
        <f>'Technical Skills Weighting'!#REF!+"`FU!$8&amp;"</f>
        <v>#REF!</v>
      </c>
      <c r="CU51" t="e">
        <f>'Technical Skills Weighting'!#REF!+"`FU!$8'"</f>
        <v>#REF!</v>
      </c>
      <c r="CV51" t="e">
        <f>'Technical Skills Weighting'!#REF!+"`FU!$8("</f>
        <v>#REF!</v>
      </c>
      <c r="CW51" t="e">
        <f>'Technical Skills Weighting'!#REF!+"`FU!$8)"</f>
        <v>#REF!</v>
      </c>
      <c r="CX51" t="e">
        <f>'Technical Skills Weighting'!#REF!+"`FU!$8."</f>
        <v>#REF!</v>
      </c>
      <c r="CY51" t="e">
        <f>'Technical Skills Weighting'!#REF!+"`FU!$8/"</f>
        <v>#REF!</v>
      </c>
      <c r="CZ51" t="e">
        <f>'Technical Skills Weighting'!#REF!+"`FU!$80"</f>
        <v>#REF!</v>
      </c>
      <c r="DA51" t="e">
        <f>'Technical Skills Weighting'!#REF!+"`FU!$81"</f>
        <v>#REF!</v>
      </c>
      <c r="DB51" t="e">
        <f>'Technical Skills Weighting'!#REF!+"`FU!$82"</f>
        <v>#REF!</v>
      </c>
      <c r="DC51" t="e">
        <f>'Technical Skills Weighting'!#REF!+"`FU!$83"</f>
        <v>#REF!</v>
      </c>
      <c r="DD51" t="e">
        <f>'Technical Skills Weighting'!#REF!+"`FU!$84"</f>
        <v>#REF!</v>
      </c>
      <c r="DE51" t="e">
        <f>'Technical Skills Weighting'!#REF!+"`FU!$85"</f>
        <v>#REF!</v>
      </c>
      <c r="DF51" t="e">
        <f>'Technical Skills Weighting'!#REF!+"`FU!$86"</f>
        <v>#REF!</v>
      </c>
      <c r="DG51" t="e">
        <f>'Technical Skills Weighting'!#REF!+"`FU!$87"</f>
        <v>#REF!</v>
      </c>
      <c r="DH51" t="e">
        <f>'Technical Skills Weighting'!#REF!+"`FU!$88"</f>
        <v>#REF!</v>
      </c>
      <c r="DI51" t="e">
        <f>'Technical Skills Weighting'!#REF!+"`FU!$89"</f>
        <v>#REF!</v>
      </c>
      <c r="DJ51" t="e">
        <f>'Technical Skills Weighting'!#REF!+"`FU!$8:"</f>
        <v>#REF!</v>
      </c>
      <c r="DK51" t="e">
        <f>'Technical Skills Weighting'!#REF!+"`FU!$8;"</f>
        <v>#REF!</v>
      </c>
      <c r="DL51" t="e">
        <f>'Technical Skills Weighting'!#REF!+"`FU!$8&lt;"</f>
        <v>#REF!</v>
      </c>
      <c r="DM51" t="e">
        <f>'Technical Skills Weighting'!#REF!+"`FU!$8="</f>
        <v>#REF!</v>
      </c>
      <c r="DN51" t="e">
        <f>'Technical Skills Weighting'!#REF!+"`FU!$8&gt;"</f>
        <v>#REF!</v>
      </c>
      <c r="DO51" t="e">
        <f>'Technical Skills Weighting'!#REF!+"`FU!$8?"</f>
        <v>#REF!</v>
      </c>
      <c r="DP51" t="e">
        <f>'Technical Skills Weighting'!#REF!+"`FU!$8@"</f>
        <v>#REF!</v>
      </c>
      <c r="DQ51" t="e">
        <f>'Technical Skills Weighting'!#REF!+"`FU!$8A"</f>
        <v>#REF!</v>
      </c>
      <c r="DR51" t="e">
        <f>'Technical Skills Weighting'!#REF!+"`FU!$8B"</f>
        <v>#REF!</v>
      </c>
      <c r="DS51" t="e">
        <f>'Technical Skills Weighting'!#REF!+"`FU!$8C"</f>
        <v>#REF!</v>
      </c>
      <c r="DT51" t="e">
        <f>'Technical Skills Weighting'!#REF!+"`FU!$8D"</f>
        <v>#REF!</v>
      </c>
      <c r="DU51" t="e">
        <f>'Technical Skills Weighting'!#REF!+"`FU!$8E"</f>
        <v>#REF!</v>
      </c>
      <c r="DV51" t="e">
        <f>'Technical Skills Weighting'!#REF!+"`FU!$8F"</f>
        <v>#REF!</v>
      </c>
      <c r="DW51" t="e">
        <f>'Technical Skills Weighting'!#REF!+"`FU!$8G"</f>
        <v>#REF!</v>
      </c>
      <c r="DX51" t="e">
        <f>'Technical Skills Weighting'!#REF!+"`FU!$8H"</f>
        <v>#REF!</v>
      </c>
      <c r="DY51" t="e">
        <f>'Technical Skills Weighting'!#REF!+"`FU!$8I"</f>
        <v>#REF!</v>
      </c>
      <c r="DZ51" t="e">
        <f>'Technical Skills Weighting'!#REF!+"`FU!$8J"</f>
        <v>#REF!</v>
      </c>
      <c r="EA51" t="e">
        <f>'Technical Skills Weighting'!#REF!+"`FU!$8K"</f>
        <v>#REF!</v>
      </c>
      <c r="EB51" t="e">
        <f>'Technical Skills Weighting'!#REF!+"`FU!$8L"</f>
        <v>#REF!</v>
      </c>
      <c r="EC51" t="e">
        <f>'Technical Skills Weighting'!#REF!+"`FU!$8M"</f>
        <v>#REF!</v>
      </c>
      <c r="ED51" t="e">
        <f>'Technical Skills Weighting'!#REF!+"`FU!$8N"</f>
        <v>#REF!</v>
      </c>
      <c r="EE51" t="e">
        <f>'Technical Skills Weighting'!#REF!+"`FU!$8O"</f>
        <v>#REF!</v>
      </c>
      <c r="EF51" t="e">
        <f>'Technical Skills Weighting'!#REF!+"`FU!$8P"</f>
        <v>#REF!</v>
      </c>
      <c r="EG51" t="e">
        <f>'Technical Skills Weighting'!#REF!+"`FU!$8Q"</f>
        <v>#REF!</v>
      </c>
      <c r="EH51" t="e">
        <f>'Technical Skills Weighting'!#REF!+"`FU!$8R"</f>
        <v>#REF!</v>
      </c>
      <c r="EI51" t="e">
        <f>'Technical Skills Weighting'!#REF!+"`FU!$8S"</f>
        <v>#REF!</v>
      </c>
      <c r="EJ51" t="e">
        <f>'Technical Skills Weighting'!#REF!+"`FU!$8T"</f>
        <v>#REF!</v>
      </c>
      <c r="EK51" t="e">
        <f>'Technical Skills Weighting'!#REF!+"`FU!$8U"</f>
        <v>#REF!</v>
      </c>
      <c r="EL51" t="e">
        <f>'Technical Skills Weighting'!#REF!+"`FU!$8V"</f>
        <v>#REF!</v>
      </c>
      <c r="EM51" t="e">
        <f>'Technical Skills Weighting'!#REF!+"`FU!$8W"</f>
        <v>#REF!</v>
      </c>
      <c r="EN51" t="e">
        <f>'Technical Skills Weighting'!#REF!+"`FU!$8X"</f>
        <v>#REF!</v>
      </c>
      <c r="EO51" t="e">
        <f>'Technical Skills Weighting'!#REF!+"`FU!$8Y"</f>
        <v>#REF!</v>
      </c>
      <c r="EP51" t="e">
        <f>'Technical Skills Weighting'!#REF!+"`FU!$8Z"</f>
        <v>#REF!</v>
      </c>
      <c r="EQ51" t="e">
        <f>'Technical Skills Weighting'!#REF!+"`FU!$8["</f>
        <v>#REF!</v>
      </c>
      <c r="ER51" t="e">
        <f>'Technical Skills Weighting'!#REF!+"`FU!$8\"</f>
        <v>#REF!</v>
      </c>
      <c r="ES51" t="e">
        <f>'Technical Skills Weighting'!#REF!+"`FU!$8]"</f>
        <v>#REF!</v>
      </c>
      <c r="ET51" t="e">
        <f>'Technical Skills Weighting'!#REF!+"`FU!$8^"</f>
        <v>#REF!</v>
      </c>
      <c r="EU51" t="e">
        <f>'Technical Skills Weighting'!#REF!+"`FU!$8_"</f>
        <v>#REF!</v>
      </c>
      <c r="EV51" t="e">
        <f>'Technical Skills Weighting'!#REF!+"`FU!$8`"</f>
        <v>#REF!</v>
      </c>
      <c r="EW51" t="e">
        <f>'Technical Skills Weighting'!#REF!+"`FU!$8a"</f>
        <v>#REF!</v>
      </c>
      <c r="EX51" t="e">
        <f>'Technical Skills Weighting'!#REF!+"`FU!$8b"</f>
        <v>#REF!</v>
      </c>
      <c r="EY51" t="e">
        <f>'Technical Skills Weighting'!#REF!+"`FU!$8c"</f>
        <v>#REF!</v>
      </c>
      <c r="EZ51" t="e">
        <f>'Technical Skills Weighting'!#REF!+"`FU!$8d"</f>
        <v>#REF!</v>
      </c>
      <c r="FA51" t="e">
        <f>'Technical Skills Weighting'!#REF!+"`FU!$8e"</f>
        <v>#REF!</v>
      </c>
      <c r="FB51" t="e">
        <f>'Technical Skills Weighting'!#REF!+"`FU!$8f"</f>
        <v>#REF!</v>
      </c>
      <c r="FC51" t="e">
        <f>'Technical Skills Weighting'!#REF!+"`FU!$8g"</f>
        <v>#REF!</v>
      </c>
      <c r="FD51" t="e">
        <f>'Technical Skills Weighting'!#REF!+"`FU!$8h"</f>
        <v>#REF!</v>
      </c>
      <c r="FE51" t="e">
        <f>'Technical Skills Weighting'!#REF!+"`FU!$8i"</f>
        <v>#REF!</v>
      </c>
      <c r="FF51" t="e">
        <f>'Technical Skills Weighting'!#REF!+"`FU!$8j"</f>
        <v>#REF!</v>
      </c>
      <c r="FG51" t="e">
        <f>'Technical Skills Weighting'!#REF!+"`FU!$8k"</f>
        <v>#REF!</v>
      </c>
      <c r="FH51" t="e">
        <f>'Technical Skills Weighting'!#REF!+"`FU!$8l"</f>
        <v>#REF!</v>
      </c>
      <c r="FI51" t="e">
        <f>'Technical Skills Weighting'!#REF!+"`FU!$8m"</f>
        <v>#REF!</v>
      </c>
      <c r="FJ51" t="e">
        <f>'Technical Skills Weighting'!#REF!+"`FU!$8n"</f>
        <v>#REF!</v>
      </c>
      <c r="FK51" t="e">
        <f>'Technical Skills Weighting'!#REF!+"`FU!$8o"</f>
        <v>#REF!</v>
      </c>
      <c r="FL51" t="e">
        <f>'Technical Skills Weighting'!#REF!+"`FU!$8p"</f>
        <v>#REF!</v>
      </c>
      <c r="FM51" t="e">
        <f>'Technical Skills Weighting'!#REF!+"`FU!$8q"</f>
        <v>#REF!</v>
      </c>
      <c r="FN51" t="e">
        <f>'Technical Skills Weighting'!#REF!+"`FU!$8r"</f>
        <v>#REF!</v>
      </c>
      <c r="FO51" t="e">
        <f>'Technical Skills Weighting'!#REF!+"`FU!$8s"</f>
        <v>#REF!</v>
      </c>
      <c r="FP51" t="e">
        <f>'Technical Skills Weighting'!#REF!+"`FU!$8t"</f>
        <v>#REF!</v>
      </c>
      <c r="FQ51" t="e">
        <f>'Technical Skills Weighting'!#REF!+"`FU!$8u"</f>
        <v>#REF!</v>
      </c>
      <c r="FR51" t="e">
        <f>'Technical Skills Weighting'!#REF!+"`FU!$8v"</f>
        <v>#REF!</v>
      </c>
      <c r="FS51" t="e">
        <f>'Technical Skills Weighting'!#REF!+"`FU!$8w"</f>
        <v>#REF!</v>
      </c>
      <c r="FT51" t="e">
        <f>'Technical Skills Weighting'!#REF!+"`FU!$8x"</f>
        <v>#REF!</v>
      </c>
      <c r="FU51" t="e">
        <f>'Technical Skills Weighting'!#REF!+"`FU!$8y"</f>
        <v>#REF!</v>
      </c>
      <c r="FV51" t="e">
        <f>'Technical Skills Weighting'!#REF!+"`FU!$8z"</f>
        <v>#REF!</v>
      </c>
      <c r="FW51" t="e">
        <f>'Technical Skills Weighting'!#REF!+"`FU!$8{"</f>
        <v>#REF!</v>
      </c>
      <c r="FX51" t="e">
        <f>'Technical Skills Weighting'!#REF!+"`FU!$8|"</f>
        <v>#REF!</v>
      </c>
      <c r="FY51" t="e">
        <f>'Technical Skills Weighting'!#REF!+"`FU!$8}"</f>
        <v>#REF!</v>
      </c>
      <c r="FZ51" t="e">
        <f>'Technical Skills Weighting'!#REF!+"`FU!$8~"</f>
        <v>#REF!</v>
      </c>
      <c r="GA51" t="e">
        <f>'Technical Skills Weighting'!#REF!+"`FU!$9#"</f>
        <v>#REF!</v>
      </c>
      <c r="GB51" t="e">
        <f>'Technical Skills Weighting'!#REF!+"`FU!$9$"</f>
        <v>#REF!</v>
      </c>
      <c r="GC51" t="e">
        <f>'Technical Skills Weighting'!#REF!+"`FU!$9%"</f>
        <v>#REF!</v>
      </c>
      <c r="GD51" t="e">
        <f>'Technical Skills Weighting'!#REF!+"`FU!$9&amp;"</f>
        <v>#REF!</v>
      </c>
      <c r="GE51" t="e">
        <f>'Technical Skills Weighting'!#REF!+"`FU!$9'"</f>
        <v>#REF!</v>
      </c>
      <c r="GF51" t="e">
        <f>'Technical Skills Weighting'!#REF!+"`FU!$9("</f>
        <v>#REF!</v>
      </c>
      <c r="GG51" t="e">
        <f>'Technical Skills Weighting'!#REF!+"`FU!$9)"</f>
        <v>#REF!</v>
      </c>
      <c r="GH51" t="e">
        <f>'Technical Skills Weighting'!#REF!+"`FU!$9."</f>
        <v>#REF!</v>
      </c>
      <c r="GI51" t="e">
        <f>'Technical Skills Weighting'!#REF!+"`FU!$9/"</f>
        <v>#REF!</v>
      </c>
      <c r="GJ51" t="e">
        <f>'Technical Skills Weighting'!#REF!+"`FU!$90"</f>
        <v>#REF!</v>
      </c>
      <c r="GK51" t="e">
        <f>'Technical Skills Weighting'!#REF!+"`FU!$91"</f>
        <v>#REF!</v>
      </c>
      <c r="GL51" t="e">
        <f>'Technical Skills Weighting'!#REF!+"`FU!$92"</f>
        <v>#REF!</v>
      </c>
      <c r="GM51" t="e">
        <f>'Technical Skills Weighting'!#REF!+"`FU!$93"</f>
        <v>#REF!</v>
      </c>
      <c r="GN51" t="e">
        <f>'Technical Skills Weighting'!#REF!+"`FU!$94"</f>
        <v>#REF!</v>
      </c>
      <c r="GO51" t="e">
        <f>'Technical Skills Weighting'!#REF!+"`FU!$95"</f>
        <v>#REF!</v>
      </c>
      <c r="GP51" t="e">
        <f>'Technical Skills Weighting'!#REF!+"`FU!$96"</f>
        <v>#REF!</v>
      </c>
      <c r="GQ51" t="e">
        <f>'Technical Skills Weighting'!#REF!+"`FU!$97"</f>
        <v>#REF!</v>
      </c>
      <c r="GR51" t="e">
        <f>'Technical Skills Weighting'!#REF!+"`FU!$98"</f>
        <v>#REF!</v>
      </c>
      <c r="GS51" t="e">
        <f>'Technical Skills Weighting'!#REF!+"`FU!$99"</f>
        <v>#REF!</v>
      </c>
      <c r="GT51" t="e">
        <f>'Technical Skills Weighting'!#REF!+"`FU!$9:"</f>
        <v>#REF!</v>
      </c>
      <c r="GU51" t="e">
        <f>'Technical Skills Weighting'!#REF!+"`FU!$9;"</f>
        <v>#REF!</v>
      </c>
      <c r="GV51" t="e">
        <f>'Technical Skills Weighting'!#REF!+"`FU!$9&lt;"</f>
        <v>#REF!</v>
      </c>
      <c r="GW51" t="e">
        <f>'Technical Skills Weighting'!#REF!+"`FU!$9="</f>
        <v>#REF!</v>
      </c>
      <c r="GX51" t="e">
        <f>'Technical Skills Weighting'!#REF!+"`FU!$9&gt;"</f>
        <v>#REF!</v>
      </c>
      <c r="GY51" t="e">
        <f>'Technical Skills Weighting'!#REF!+"`FU!$9?"</f>
        <v>#REF!</v>
      </c>
      <c r="GZ51" t="e">
        <f>'Technical Skills Weighting'!#REF!+"`FU!$9@"</f>
        <v>#REF!</v>
      </c>
      <c r="HA51" t="e">
        <f>'Technical Skills Weighting'!#REF!+"`FU!$9A"</f>
        <v>#REF!</v>
      </c>
      <c r="HB51" t="e">
        <f>'Technical Skills Weighting'!#REF!+"`FU!$9B"</f>
        <v>#REF!</v>
      </c>
      <c r="HC51" t="e">
        <f>'Technical Skills Weighting'!#REF!+"`FU!$9C"</f>
        <v>#REF!</v>
      </c>
      <c r="HD51" t="e">
        <f>'Technical Skills Weighting'!#REF!+"`FU!$9D"</f>
        <v>#REF!</v>
      </c>
      <c r="HE51" t="e">
        <f>'Technical Skills Weighting'!#REF!+"`FU!$9E"</f>
        <v>#REF!</v>
      </c>
      <c r="HF51" t="e">
        <f>'Technical Skills Weighting'!#REF!+"`FU!$9F"</f>
        <v>#REF!</v>
      </c>
      <c r="HG51" t="e">
        <f>'Technical Skills Weighting'!#REF!+"`FU!$9G"</f>
        <v>#REF!</v>
      </c>
      <c r="HH51" t="e">
        <f>'Technical Skills Weighting'!#REF!+"`FU!$9H"</f>
        <v>#REF!</v>
      </c>
      <c r="HI51" t="e">
        <f>'Technical Skills Weighting'!#REF!+"`FU!$9I"</f>
        <v>#REF!</v>
      </c>
      <c r="HJ51" t="e">
        <f>'Technical Skills Weighting'!#REF!+"`FU!$9J"</f>
        <v>#REF!</v>
      </c>
      <c r="HK51" t="e">
        <f>'Technical Skills Weighting'!#REF!+"`FU!$9K"</f>
        <v>#REF!</v>
      </c>
      <c r="HL51" t="e">
        <f>'Technical Skills Weighting'!#REF!+"`FU!$9L"</f>
        <v>#REF!</v>
      </c>
      <c r="HM51" t="e">
        <f>'Technical Skills Weighting'!#REF!+"`FU!$9M"</f>
        <v>#REF!</v>
      </c>
      <c r="HN51" t="e">
        <f>'Technical Skills Weighting'!#REF!+"`FU!$9N"</f>
        <v>#REF!</v>
      </c>
      <c r="HO51" t="e">
        <f>'Technical Skills Weighting'!#REF!+"`FU!$9O"</f>
        <v>#REF!</v>
      </c>
      <c r="HP51" t="e">
        <f>'Technical Skills Weighting'!#REF!+"`FU!$9P"</f>
        <v>#REF!</v>
      </c>
      <c r="HQ51" t="e">
        <f>'Technical Skills Weighting'!#REF!+"`FU!$9Q"</f>
        <v>#REF!</v>
      </c>
      <c r="HR51" t="e">
        <f>'Technical Skills Weighting'!#REF!+"`FU!$9R"</f>
        <v>#REF!</v>
      </c>
      <c r="HS51" t="e">
        <f>'Technical Skills Weighting'!#REF!+"`FU!$9S"</f>
        <v>#REF!</v>
      </c>
      <c r="HT51" t="e">
        <f>'Technical Skills Weighting'!#REF!+"`FU!$9T"</f>
        <v>#REF!</v>
      </c>
      <c r="HU51" t="e">
        <f>'Technical Skills Weighting'!#REF!+"`FU!$9U"</f>
        <v>#REF!</v>
      </c>
      <c r="HV51" t="e">
        <f>'Technical Skills Weighting'!#REF!+"`FU!$9V"</f>
        <v>#REF!</v>
      </c>
      <c r="HW51" t="e">
        <f>'Technical Skills Weighting'!#REF!+"`FU!$9W"</f>
        <v>#REF!</v>
      </c>
      <c r="HX51" t="e">
        <f>'Technical Skills Weighting'!#REF!+"`FU!$9X"</f>
        <v>#REF!</v>
      </c>
      <c r="HY51" t="e">
        <f>'Technical Skills Weighting'!#REF!+"`FU!$9Y"</f>
        <v>#REF!</v>
      </c>
      <c r="HZ51" t="e">
        <f>'Technical Skills Weighting'!#REF!+"`FU!$9Z"</f>
        <v>#REF!</v>
      </c>
      <c r="IA51" t="e">
        <f>'Technical Skills Weighting'!#REF!+"`FU!$9["</f>
        <v>#REF!</v>
      </c>
      <c r="IB51" t="e">
        <f>'Technical Skills Weighting'!#REF!+"`FU!$9\"</f>
        <v>#REF!</v>
      </c>
      <c r="IC51" t="e">
        <f>'Technical Skills Weighting'!#REF!+"`FU!$9]"</f>
        <v>#REF!</v>
      </c>
      <c r="ID51" t="e">
        <f>'Technical Skills Weighting'!#REF!+"`FU!$9^"</f>
        <v>#REF!</v>
      </c>
      <c r="IE51" t="e">
        <f>'Technical Skills Weighting'!#REF!+"`FU!$9_"</f>
        <v>#REF!</v>
      </c>
      <c r="IF51" t="e">
        <f>'Technical Skills Weighting'!#REF!+"`FU!$9`"</f>
        <v>#REF!</v>
      </c>
      <c r="IG51" t="e">
        <f>'Technical Skills Weighting'!#REF!+"`FU!$9a"</f>
        <v>#REF!</v>
      </c>
      <c r="IH51" t="e">
        <f>'Technical Skills Weighting'!#REF!+"`FU!$9b"</f>
        <v>#REF!</v>
      </c>
      <c r="II51" t="e">
        <f>'Technical Skills Weighting'!#REF!+"`FU!$9c"</f>
        <v>#REF!</v>
      </c>
      <c r="IJ51" t="e">
        <f>'Technical Skills Weighting'!#REF!+"`FU!$9d"</f>
        <v>#REF!</v>
      </c>
      <c r="IK51" t="e">
        <f>'Technical Skills Weighting'!#REF!+"`FU!$9e"</f>
        <v>#REF!</v>
      </c>
      <c r="IL51" t="e">
        <f>'Technical Skills Weighting'!#REF!+"`FU!$9f"</f>
        <v>#REF!</v>
      </c>
      <c r="IM51" t="e">
        <f>'Technical Skills Weighting'!#REF!+"`FU!$9g"</f>
        <v>#REF!</v>
      </c>
      <c r="IN51" t="e">
        <f>'Technical Skills Weighting'!#REF!+"`FU!$9h"</f>
        <v>#REF!</v>
      </c>
      <c r="IO51" t="e">
        <f>'Technical Skills Weighting'!#REF!+"`FU!$9i"</f>
        <v>#REF!</v>
      </c>
      <c r="IP51" t="e">
        <f>'Technical Skills Weighting'!#REF!+"`FU!$9j"</f>
        <v>#REF!</v>
      </c>
      <c r="IQ51" t="e">
        <f>'Technical Skills Weighting'!#REF!+"`FU!$9k"</f>
        <v>#REF!</v>
      </c>
      <c r="IR51" t="e">
        <f>'Technical Skills Weighting'!#REF!+"`FU!$9l"</f>
        <v>#REF!</v>
      </c>
      <c r="IS51" t="e">
        <f>'Technical Skills Weighting'!#REF!+"`FU!$9m"</f>
        <v>#REF!</v>
      </c>
      <c r="IT51" t="e">
        <f>'Technical Skills Weighting'!#REF!+"`FU!$9n"</f>
        <v>#REF!</v>
      </c>
      <c r="IU51" t="e">
        <f>'Technical Skills Weighting'!#REF!+"`FU!$9o"</f>
        <v>#REF!</v>
      </c>
      <c r="IV51" t="e">
        <f>'Technical Skills Weighting'!#REF!+"`FU!$9p"</f>
        <v>#REF!</v>
      </c>
    </row>
    <row r="52" spans="6:256" x14ac:dyDescent="0.25">
      <c r="F52" t="e">
        <f>'Technical Skills Weighting'!#REF!+"`FU!$9q"</f>
        <v>#REF!</v>
      </c>
      <c r="G52" t="e">
        <f>'Technical Skills Weighting'!#REF!+"`FU!$9r"</f>
        <v>#REF!</v>
      </c>
      <c r="H52" t="e">
        <f>'Technical Skills Weighting'!#REF!+"`FU!$9s"</f>
        <v>#REF!</v>
      </c>
      <c r="I52" t="e">
        <f>'Technical Skills Weighting'!#REF!+"`FU!$9t"</f>
        <v>#REF!</v>
      </c>
      <c r="J52" t="e">
        <f>'Technical Skills Weighting'!#REF!+"`FU!$9u"</f>
        <v>#REF!</v>
      </c>
      <c r="K52" t="e">
        <f>'Technical Skills Weighting'!#REF!+"`FU!$9v"</f>
        <v>#REF!</v>
      </c>
      <c r="L52" t="e">
        <f>'Technical Skills Weighting'!#REF!+"`FU!$9w"</f>
        <v>#REF!</v>
      </c>
      <c r="M52" t="e">
        <f>'Technical Skills Weighting'!#REF!+"`FU!$9x"</f>
        <v>#REF!</v>
      </c>
      <c r="N52" t="e">
        <f>'Technical Skills Weighting'!#REF!+"`FU!$9y"</f>
        <v>#REF!</v>
      </c>
      <c r="O52" t="e">
        <f>'Technical Skills Weighting'!#REF!+"`FU!$9z"</f>
        <v>#REF!</v>
      </c>
      <c r="P52" t="e">
        <f>'Technical Skills Weighting'!#REF!+"`FU!$9{"</f>
        <v>#REF!</v>
      </c>
      <c r="Q52" t="e">
        <f>'Technical Skills Weighting'!#REF!+"`FU!$9|"</f>
        <v>#REF!</v>
      </c>
      <c r="R52" t="e">
        <f>'Technical Skills Weighting'!#REF!+"`FU!$9}"</f>
        <v>#REF!</v>
      </c>
      <c r="S52" t="e">
        <f>'Technical Skills Weighting'!#REF!+"`FU!$9~"</f>
        <v>#REF!</v>
      </c>
      <c r="T52" t="e">
        <f>'Technical Skills Weighting'!#REF!+"`FU!$:#"</f>
        <v>#REF!</v>
      </c>
      <c r="U52" t="e">
        <f>'Technical Skills Weighting'!#REF!+"`FU!$:$"</f>
        <v>#REF!</v>
      </c>
      <c r="V52" t="e">
        <f>'Technical Skills Weighting'!#REF!+"`FU!$:%"</f>
        <v>#REF!</v>
      </c>
      <c r="W52" t="e">
        <f>'Technical Skills Weighting'!#REF!+"`FU!$:&amp;"</f>
        <v>#REF!</v>
      </c>
      <c r="X52" t="e">
        <f>'Technical Skills Weighting'!#REF!+"`FU!$:'"</f>
        <v>#REF!</v>
      </c>
      <c r="Y52" t="e">
        <f>'Technical Skills Weighting'!#REF!+"`FU!$:("</f>
        <v>#REF!</v>
      </c>
      <c r="Z52" t="e">
        <f>'Technical Skills Weighting'!#REF!+"`FU!$:)"</f>
        <v>#REF!</v>
      </c>
      <c r="AA52" t="e">
        <f>'Technical Skills Weighting'!#REF!+"`FU!$:."</f>
        <v>#REF!</v>
      </c>
      <c r="AB52" t="e">
        <f>'Technical Skills Weighting'!#REF!+"`FU!$:/"</f>
        <v>#REF!</v>
      </c>
      <c r="AC52" t="e">
        <f>'Technical Skills Weighting'!#REF!+"`FU!$:0"</f>
        <v>#REF!</v>
      </c>
      <c r="AD52" t="e">
        <f>'Technical Skills Weighting'!#REF!+"`FU!$:1"</f>
        <v>#REF!</v>
      </c>
      <c r="AE52" t="e">
        <f>'Technical Skills Weighting'!#REF!+"`FU!$:2"</f>
        <v>#REF!</v>
      </c>
      <c r="AF52" t="e">
        <f>'Technical Skills Weighting'!#REF!+"`FU!$:3"</f>
        <v>#REF!</v>
      </c>
      <c r="AG52" t="e">
        <f>'Technical Skills Weighting'!#REF!+"`FU!$:4"</f>
        <v>#REF!</v>
      </c>
      <c r="AH52" t="e">
        <f>'Technical Skills Weighting'!#REF!+"`FU!$:5"</f>
        <v>#REF!</v>
      </c>
      <c r="AI52" t="e">
        <f>'Technical Skills Weighting'!#REF!+"`FU!$:6"</f>
        <v>#REF!</v>
      </c>
      <c r="AJ52" t="e">
        <f>'Technical Skills Weighting'!#REF!+"`FU!$:7"</f>
        <v>#REF!</v>
      </c>
      <c r="AK52" t="e">
        <f>'Technical Skills Weighting'!#REF!+"`FU!$:8"</f>
        <v>#REF!</v>
      </c>
      <c r="AL52" t="e">
        <f>'Technical Skills Weighting'!#REF!+"`FU!$:9"</f>
        <v>#REF!</v>
      </c>
      <c r="AM52" t="e">
        <f>'Technical Skills Weighting'!#REF!+"`FU!$::"</f>
        <v>#REF!</v>
      </c>
      <c r="AN52" t="e">
        <f>'Technical Skills Weighting'!#REF!+"`FU!$:;"</f>
        <v>#REF!</v>
      </c>
      <c r="AO52" t="e">
        <f>'Technical Skills Weighting'!#REF!+"`FU!$:&lt;"</f>
        <v>#REF!</v>
      </c>
      <c r="AP52" t="e">
        <f>'Technical Skills Weighting'!#REF!+"`FU!$:="</f>
        <v>#REF!</v>
      </c>
      <c r="AQ52" t="e">
        <f>'Technical Skills Weighting'!#REF!+"`FU!$:&gt;"</f>
        <v>#REF!</v>
      </c>
      <c r="AR52" t="e">
        <f>'Technical Skills Weighting'!#REF!+"`FU!$:?"</f>
        <v>#REF!</v>
      </c>
      <c r="AS52" t="e">
        <f>'Technical Skills Weighting'!#REF!+"`FU!$:@"</f>
        <v>#REF!</v>
      </c>
      <c r="AT52" t="e">
        <f>'Technical Skills Weighting'!#REF!+"`FU!$:A"</f>
        <v>#REF!</v>
      </c>
      <c r="AU52" t="e">
        <f>'Technical Skills Weighting'!#REF!+"`FU!$:B"</f>
        <v>#REF!</v>
      </c>
      <c r="AV52" t="e">
        <f>'Technical Skills Weighting'!#REF!+"`FU!$:C"</f>
        <v>#REF!</v>
      </c>
      <c r="AW52" t="e">
        <f>'Technical Skills Weighting'!#REF!+"`FU!$:D"</f>
        <v>#REF!</v>
      </c>
      <c r="AX52" t="e">
        <f>'Technical Skills Weighting'!#REF!+"`FU!$:E"</f>
        <v>#REF!</v>
      </c>
      <c r="AY52" t="e">
        <f>'Technical Skills Weighting'!#REF!+"`FU!$:F"</f>
        <v>#REF!</v>
      </c>
      <c r="AZ52" t="e">
        <f>'Technical Skills Weighting'!#REF!+"`FU!$:G"</f>
        <v>#REF!</v>
      </c>
      <c r="BA52" t="e">
        <f>'Technical Skills Weighting'!#REF!+"`FU!$:H"</f>
        <v>#REF!</v>
      </c>
      <c r="BB52" t="e">
        <f>'Technical Skills Weighting'!#REF!+"`FU!$:I"</f>
        <v>#REF!</v>
      </c>
      <c r="BC52" t="e">
        <f>'Technical Skills Weighting'!#REF!+"`FU!$:J"</f>
        <v>#REF!</v>
      </c>
      <c r="BD52" t="e">
        <f>'Technical Skills Weighting'!#REF!+"`FU!$:K"</f>
        <v>#REF!</v>
      </c>
      <c r="BE52" t="e">
        <f>'Technical Skills Weighting'!#REF!+"`FU!$:L"</f>
        <v>#REF!</v>
      </c>
      <c r="BF52" t="e">
        <f>'Technical Skills Weighting'!#REF!+"`FU!$:M"</f>
        <v>#REF!</v>
      </c>
      <c r="BG52" t="e">
        <f>'Technical Skills Weighting'!#REF!+"`FU!$:N"</f>
        <v>#REF!</v>
      </c>
      <c r="BH52" t="e">
        <f>'Technical Skills Weighting'!#REF!+"`FU!$:O"</f>
        <v>#REF!</v>
      </c>
      <c r="BI52" t="e">
        <f>'Technical Skills Weighting'!#REF!+"`FU!$:P"</f>
        <v>#REF!</v>
      </c>
      <c r="BJ52" t="e">
        <f>'Technical Skills Weighting'!#REF!+"`FU!$:Q"</f>
        <v>#REF!</v>
      </c>
      <c r="BK52" t="e">
        <f>'Technical Skills Weighting'!#REF!+"`FU!$:R"</f>
        <v>#REF!</v>
      </c>
      <c r="BL52" t="e">
        <f>'Technical Skills Weighting'!#REF!+"`FU!$:S"</f>
        <v>#REF!</v>
      </c>
      <c r="BM52" t="e">
        <f>'Technical Skills Weighting'!#REF!+"`FU!$:T"</f>
        <v>#REF!</v>
      </c>
      <c r="BN52" t="e">
        <f>'Technical Skills Weighting'!#REF!+"`FU!$:U"</f>
        <v>#REF!</v>
      </c>
      <c r="BO52" t="e">
        <f>'Technical Skills Weighting'!#REF!+"`FU!$:V"</f>
        <v>#REF!</v>
      </c>
      <c r="BP52" t="e">
        <f>'Technical Skills Weighting'!#REF!+"`FU!$:W"</f>
        <v>#REF!</v>
      </c>
      <c r="BQ52" t="e">
        <f>'Technical Skills Weighting'!#REF!+"`FU!$:X"</f>
        <v>#REF!</v>
      </c>
      <c r="BR52" t="e">
        <f>'Technical Skills Weighting'!#REF!+"`FU!$:Y"</f>
        <v>#REF!</v>
      </c>
      <c r="BS52" t="e">
        <f>'Technical Skills Weighting'!#REF!+"`FU!$:Z"</f>
        <v>#REF!</v>
      </c>
      <c r="BT52" t="e">
        <f>'Technical Skills Weighting'!#REF!+"`FU!$:["</f>
        <v>#REF!</v>
      </c>
      <c r="BU52" t="e">
        <f>'Technical Skills Weighting'!#REF!+"`FU!$:\"</f>
        <v>#REF!</v>
      </c>
      <c r="BV52" t="e">
        <f>'Technical Skills Weighting'!#REF!+"`FU!$:]"</f>
        <v>#REF!</v>
      </c>
      <c r="BW52" t="e">
        <f>'Technical Skills Weighting'!#REF!+"`FU!$:^"</f>
        <v>#REF!</v>
      </c>
      <c r="BX52" t="e">
        <f>'Technical Skills Weighting'!#REF!+"`FU!$:_"</f>
        <v>#REF!</v>
      </c>
      <c r="BY52" t="e">
        <f>'Technical Skills Weighting'!#REF!+"`FU!$:`"</f>
        <v>#REF!</v>
      </c>
      <c r="BZ52" t="e">
        <f>'Technical Skills Weighting'!#REF!+"`FU!$:a"</f>
        <v>#REF!</v>
      </c>
      <c r="CA52" t="e">
        <f>'Technical Skills Weighting'!#REF!+"`FU!$:b"</f>
        <v>#REF!</v>
      </c>
      <c r="CB52" t="e">
        <f>'Technical Skills Weighting'!#REF!+"`FU!$:c"</f>
        <v>#REF!</v>
      </c>
      <c r="CC52" t="e">
        <f>'Technical Skills Weighting'!#REF!+"`FU!$:d"</f>
        <v>#REF!</v>
      </c>
      <c r="CD52" t="e">
        <f>'Technical Skills Weighting'!#REF!+"`FU!$:e"</f>
        <v>#REF!</v>
      </c>
      <c r="CE52" t="e">
        <f>'Technical Skills Weighting'!#REF!+"`FU!$:f"</f>
        <v>#REF!</v>
      </c>
      <c r="CF52" t="e">
        <f>'Technical Skills Weighting'!#REF!+"`FU!$:g"</f>
        <v>#REF!</v>
      </c>
      <c r="CG52" t="e">
        <f>'Technical Skills Weighting'!#REF!+"`FU!$:h"</f>
        <v>#REF!</v>
      </c>
      <c r="CH52" t="e">
        <f>'Technical Skills Weighting'!#REF!+"`FU!$:i"</f>
        <v>#REF!</v>
      </c>
      <c r="CI52" t="e">
        <f>'Technical Skills Weighting'!#REF!+"`FU!$:j"</f>
        <v>#REF!</v>
      </c>
      <c r="CJ52" t="e">
        <f>'Technical Skills Weighting'!#REF!+"`FU!$:k"</f>
        <v>#REF!</v>
      </c>
      <c r="CK52" t="e">
        <f>'Technical Skills Weighting'!#REF!+"`FU!$:l"</f>
        <v>#REF!</v>
      </c>
      <c r="CL52" t="e">
        <f>'Technical Skills Weighting'!#REF!+"`FU!$:m"</f>
        <v>#REF!</v>
      </c>
      <c r="CM52" t="e">
        <f>'Technical Skills Weighting'!#REF!+"`FU!$:n"</f>
        <v>#REF!</v>
      </c>
      <c r="CN52" t="e">
        <f>'Technical Skills Weighting'!#REF!+"`FU!$:o"</f>
        <v>#REF!</v>
      </c>
      <c r="CO52" t="e">
        <f>'Technical Skills Weighting'!#REF!+"`FU!$:p"</f>
        <v>#REF!</v>
      </c>
      <c r="CP52" t="e">
        <f>'Technical Skills Weighting'!#REF!+"`FU!$:q"</f>
        <v>#REF!</v>
      </c>
      <c r="CQ52" t="e">
        <f>'Technical Skills Weighting'!#REF!+"`FU!$:r"</f>
        <v>#REF!</v>
      </c>
      <c r="CR52" t="e">
        <f>'Technical Skills Weighting'!#REF!+"`FU!$:s"</f>
        <v>#REF!</v>
      </c>
      <c r="CS52" t="e">
        <f>'Technical Skills Weighting'!#REF!+"`FU!$:t"</f>
        <v>#REF!</v>
      </c>
      <c r="CT52" t="e">
        <f>'Technical Skills Weighting'!#REF!+"`FU!$:u"</f>
        <v>#REF!</v>
      </c>
      <c r="CU52" t="e">
        <f>'Technical Skills Weighting'!#REF!+"`FU!$:v"</f>
        <v>#REF!</v>
      </c>
      <c r="CV52" t="e">
        <f>'Technical Skills Weighting'!#REF!+"`FU!$:w"</f>
        <v>#REF!</v>
      </c>
      <c r="CW52" t="e">
        <f>'Technical Skills Weighting'!#REF!+"`FU!$:x"</f>
        <v>#REF!</v>
      </c>
      <c r="CX52" t="e">
        <f>'Technical Skills Weighting'!#REF!+"`FU!$:y"</f>
        <v>#REF!</v>
      </c>
      <c r="CY52" t="e">
        <f>'Technical Skills Weighting'!#REF!+"`FU!$:z"</f>
        <v>#REF!</v>
      </c>
      <c r="CZ52" t="e">
        <f>'Technical Skills Weighting'!#REF!+"`FU!$:{"</f>
        <v>#REF!</v>
      </c>
      <c r="DA52" t="e">
        <f>'Technical Skills Weighting'!#REF!+"`FU!$:|"</f>
        <v>#REF!</v>
      </c>
      <c r="DB52" t="e">
        <f>'Technical Skills Weighting'!#REF!+"`FU!$:}"</f>
        <v>#REF!</v>
      </c>
      <c r="DC52" t="e">
        <f>'Technical Skills Weighting'!#REF!+"`FU!$:~"</f>
        <v>#REF!</v>
      </c>
      <c r="DD52" t="e">
        <f>'Technical Skills Weighting'!#REF!+"`FU!$;#"</f>
        <v>#REF!</v>
      </c>
      <c r="DE52" t="e">
        <f>'Technical Skills Weighting'!#REF!+"`FU!$;$"</f>
        <v>#REF!</v>
      </c>
      <c r="DF52" t="e">
        <f>'Technical Skills Weighting'!#REF!+"`FU!$;%"</f>
        <v>#REF!</v>
      </c>
      <c r="DG52" t="e">
        <f>'Technical Skills Weighting'!#REF!+"`FU!$;&amp;"</f>
        <v>#REF!</v>
      </c>
      <c r="DH52" t="e">
        <f>'Technical Skills Weighting'!#REF!+"`FU!$;'"</f>
        <v>#REF!</v>
      </c>
      <c r="DI52" t="e">
        <f>'Technical Skills Weighting'!#REF!+"`FU!$;("</f>
        <v>#REF!</v>
      </c>
      <c r="DJ52" t="e">
        <f>'Technical Skills Weighting'!#REF!+"`FU!$;)"</f>
        <v>#REF!</v>
      </c>
      <c r="DK52" t="e">
        <f>'Technical Skills Weighting'!#REF!+"`FU!$;."</f>
        <v>#REF!</v>
      </c>
      <c r="DL52" t="e">
        <f>'Technical Skills Weighting'!#REF!+"`FU!$;/"</f>
        <v>#REF!</v>
      </c>
      <c r="DM52" t="e">
        <f>'Technical Skills Weighting'!#REF!+"`FU!$;0"</f>
        <v>#REF!</v>
      </c>
      <c r="DN52" t="e">
        <f>'Technical Skills Weighting'!#REF!+"`FU!$;1"</f>
        <v>#REF!</v>
      </c>
      <c r="DO52" t="e">
        <f>'Technical Skills Weighting'!#REF!+"`FU!$;2"</f>
        <v>#REF!</v>
      </c>
      <c r="DP52" t="e">
        <f>'Technical Skills Weighting'!#REF!+"`FU!$;3"</f>
        <v>#REF!</v>
      </c>
      <c r="DQ52" t="e">
        <f>'Technical Skills Weighting'!#REF!+"`FU!$;4"</f>
        <v>#REF!</v>
      </c>
      <c r="DR52" t="e">
        <f>'Technical Skills Weighting'!#REF!+"`FU!$;5"</f>
        <v>#REF!</v>
      </c>
      <c r="DS52" t="e">
        <f>'Technical Skills Weighting'!#REF!+"`FU!$;6"</f>
        <v>#REF!</v>
      </c>
      <c r="DT52" t="e">
        <f>'Technical Skills Weighting'!#REF!+"`FU!$;7"</f>
        <v>#REF!</v>
      </c>
      <c r="DU52" t="e">
        <f>'Technical Skills Weighting'!#REF!+"`FU!$;8"</f>
        <v>#REF!</v>
      </c>
      <c r="DV52" t="e">
        <f>'Technical Skills Weighting'!#REF!+"`FU!$;9"</f>
        <v>#REF!</v>
      </c>
      <c r="DW52" t="e">
        <f>'Technical Skills Weighting'!#REF!+"`FU!$;:"</f>
        <v>#REF!</v>
      </c>
      <c r="DX52" t="e">
        <f>'Technical Skills Weighting'!#REF!+"`FU!$;;"</f>
        <v>#REF!</v>
      </c>
      <c r="DY52" t="e">
        <f>'Technical Skills Weighting'!#REF!+"`FU!$;&lt;"</f>
        <v>#REF!</v>
      </c>
      <c r="DZ52" t="e">
        <f>'Technical Skills Weighting'!#REF!+"`FU!$;="</f>
        <v>#REF!</v>
      </c>
      <c r="EA52" t="e">
        <f>'Technical Skills Weighting'!#REF!+"`FU!$;&gt;"</f>
        <v>#REF!</v>
      </c>
      <c r="EB52" t="e">
        <f>'Technical Skills Weighting'!#REF!+"`FU!$;?"</f>
        <v>#REF!</v>
      </c>
      <c r="EC52" t="e">
        <f>'Technical Skills Weighting'!#REF!+"`FU!$;@"</f>
        <v>#REF!</v>
      </c>
      <c r="ED52" t="e">
        <f>'Technical Skills Weighting'!#REF!+"`FU!$;A"</f>
        <v>#REF!</v>
      </c>
      <c r="EE52" t="e">
        <f>'Technical Skills Weighting'!#REF!+"`FU!$;B"</f>
        <v>#REF!</v>
      </c>
      <c r="EF52" t="e">
        <f>'Technical Skills Weighting'!#REF!+"`FU!$;C"</f>
        <v>#REF!</v>
      </c>
      <c r="EG52" t="e">
        <f>'Technical Skills Weighting'!#REF!+"`FU!$;D"</f>
        <v>#REF!</v>
      </c>
      <c r="EH52" t="e">
        <f>'Technical Skills Weighting'!#REF!+"`FU!$;E"</f>
        <v>#REF!</v>
      </c>
      <c r="EI52" t="e">
        <f>'Technical Skills Weighting'!#REF!+"`FU!$;F"</f>
        <v>#REF!</v>
      </c>
      <c r="EJ52" t="e">
        <f>'Technical Skills Weighting'!#REF!+"`FU!$;G"</f>
        <v>#REF!</v>
      </c>
      <c r="EK52" t="e">
        <f>'Technical Skills Weighting'!#REF!+"`FU!$;H"</f>
        <v>#REF!</v>
      </c>
      <c r="EL52" t="e">
        <f>'Technical Skills Weighting'!#REF!+"`FU!$;I"</f>
        <v>#REF!</v>
      </c>
      <c r="EM52" t="e">
        <f>'Technical Skills Weighting'!#REF!+"`FU!$;J"</f>
        <v>#REF!</v>
      </c>
      <c r="EN52" t="e">
        <f>'Technical Skills Weighting'!#REF!+"`FU!$;K"</f>
        <v>#REF!</v>
      </c>
      <c r="EO52" t="e">
        <f>'Technical Skills Weighting'!#REF!+"`FU!$;L"</f>
        <v>#REF!</v>
      </c>
      <c r="EP52" t="e">
        <f>'Technical Skills Weighting'!#REF!+"`FU!$;M"</f>
        <v>#REF!</v>
      </c>
      <c r="EQ52" t="e">
        <f>'Technical Skills Weighting'!#REF!+"`FU!$;N"</f>
        <v>#REF!</v>
      </c>
      <c r="ER52" t="e">
        <f>'Technical Skills Weighting'!#REF!+"`FU!$;O"</f>
        <v>#REF!</v>
      </c>
      <c r="ES52" t="e">
        <f>'Technical Skills Weighting'!#REF!+"`FU!$;P"</f>
        <v>#REF!</v>
      </c>
      <c r="ET52" t="e">
        <f>'Technical Skills Weighting'!#REF!+"`FU!$;Q"</f>
        <v>#REF!</v>
      </c>
      <c r="EU52" t="e">
        <f>'Technical Skills Weighting'!#REF!+"`FU!$;R"</f>
        <v>#REF!</v>
      </c>
      <c r="EV52" t="e">
        <f>'Technical Skills Weighting'!#REF!+"`FU!$;S"</f>
        <v>#REF!</v>
      </c>
      <c r="EW52" t="e">
        <f>'Technical Skills Weighting'!#REF!+"`FU!$;T"</f>
        <v>#REF!</v>
      </c>
      <c r="EX52" t="e">
        <f>'Technical Skills Weighting'!#REF!+"`FU!$;U"</f>
        <v>#REF!</v>
      </c>
      <c r="EY52" t="e">
        <f>'Technical Skills Weighting'!#REF!+"`FU!$;V"</f>
        <v>#REF!</v>
      </c>
      <c r="EZ52" t="e">
        <f>'Technical Skills Weighting'!#REF!+"`FU!$;W"</f>
        <v>#REF!</v>
      </c>
      <c r="FA52" t="e">
        <f>'Technical Skills Weighting'!#REF!+"`FU!$;X"</f>
        <v>#REF!</v>
      </c>
      <c r="FB52" t="e">
        <f>'Technical Skills Weighting'!#REF!+"`FU!$;Y"</f>
        <v>#REF!</v>
      </c>
      <c r="FC52" t="e">
        <f>'Technical Skills Weighting'!#REF!+"`FU!$;Z"</f>
        <v>#REF!</v>
      </c>
      <c r="FD52" t="e">
        <f>'Technical Skills Weighting'!#REF!+"`FU!$;["</f>
        <v>#REF!</v>
      </c>
      <c r="FE52" t="e">
        <f>'Technical Skills Weighting'!#REF!+"`FU!$;\"</f>
        <v>#REF!</v>
      </c>
      <c r="FF52" t="e">
        <f>'Technical Skills Weighting'!#REF!+"`FU!$;]"</f>
        <v>#REF!</v>
      </c>
      <c r="FG52" t="e">
        <f>'Technical Skills Weighting'!#REF!+"`FU!$;^"</f>
        <v>#REF!</v>
      </c>
      <c r="FH52" t="e">
        <f>'Technical Skills Weighting'!#REF!+"`FU!$;_"</f>
        <v>#REF!</v>
      </c>
      <c r="FI52" t="e">
        <f>'Technical Skills Weighting'!#REF!+"`FU!$;`"</f>
        <v>#REF!</v>
      </c>
      <c r="FJ52" t="e">
        <f>'Technical Skills Weighting'!#REF!+"`FU!$;a"</f>
        <v>#REF!</v>
      </c>
      <c r="FK52" t="e">
        <f>'Technical Skills Weighting'!#REF!+"`FU!$;b"</f>
        <v>#REF!</v>
      </c>
      <c r="FL52" t="e">
        <f>'Technical Skills Weighting'!#REF!+"`FU!$;c"</f>
        <v>#REF!</v>
      </c>
      <c r="FM52" t="e">
        <f>'Technical Skills Weighting'!#REF!+"`FU!$;d"</f>
        <v>#REF!</v>
      </c>
      <c r="FN52" t="e">
        <f>'Technical Skills Weighting'!#REF!+"`FU!$;e"</f>
        <v>#REF!</v>
      </c>
      <c r="FO52" t="e">
        <f>'Technical Skills Weighting'!#REF!+"`FU!$;f"</f>
        <v>#REF!</v>
      </c>
      <c r="FP52" t="e">
        <f>'Technical Skills Weighting'!#REF!+"`FU!$;g"</f>
        <v>#REF!</v>
      </c>
      <c r="FQ52" t="e">
        <f>'Technical Skills Weighting'!#REF!+"`FU!$;h"</f>
        <v>#REF!</v>
      </c>
      <c r="FR52" t="e">
        <f>'Technical Skills Weighting'!#REF!+"`FU!$;i"</f>
        <v>#REF!</v>
      </c>
      <c r="FS52" t="e">
        <f>'Technical Skills Weighting'!#REF!+"`FU!$;j"</f>
        <v>#REF!</v>
      </c>
      <c r="FT52" t="e">
        <f>'Technical Skills Weighting'!#REF!+"`FU!$;k"</f>
        <v>#REF!</v>
      </c>
      <c r="FU52" t="e">
        <f>'Technical Skills Weighting'!#REF!+"`FU!$;l"</f>
        <v>#REF!</v>
      </c>
      <c r="FV52" t="e">
        <f>'Technical Skills Weighting'!#REF!+"`FU!$;m"</f>
        <v>#REF!</v>
      </c>
      <c r="FW52" t="e">
        <f>'Technical Skills Weighting'!#REF!+"`FU!$;n"</f>
        <v>#REF!</v>
      </c>
      <c r="FX52" t="e">
        <f>'Technical Skills Weighting'!#REF!+"`FU!$;o"</f>
        <v>#REF!</v>
      </c>
      <c r="FY52" t="e">
        <f>'Technical Skills Weighting'!#REF!+"`FU!$;p"</f>
        <v>#REF!</v>
      </c>
      <c r="FZ52" t="e">
        <f>'Technical Skills Weighting'!#REF!+"`FU!$;q"</f>
        <v>#REF!</v>
      </c>
      <c r="GA52" t="e">
        <f>'Technical Skills Weighting'!#REF!+"`FU!$;r"</f>
        <v>#REF!</v>
      </c>
      <c r="GB52" t="e">
        <f>'Technical Skills Weighting'!#REF!+"`FU!$;s"</f>
        <v>#REF!</v>
      </c>
      <c r="GC52" t="e">
        <f>'Technical Skills Weighting'!#REF!+"`FU!$;t"</f>
        <v>#REF!</v>
      </c>
      <c r="GD52" t="e">
        <f>'Technical Skills Weighting'!#REF!+"`FU!$;u"</f>
        <v>#REF!</v>
      </c>
      <c r="GE52" t="e">
        <f>'Technical Skills Weighting'!#REF!+"`FU!$;v"</f>
        <v>#REF!</v>
      </c>
      <c r="GF52" t="e">
        <f>'Technical Skills Weighting'!#REF!+"`FU!$;w"</f>
        <v>#REF!</v>
      </c>
      <c r="GG52" t="e">
        <f>'Technical Skills Weighting'!#REF!+"`FU!$;x"</f>
        <v>#REF!</v>
      </c>
      <c r="GH52" t="e">
        <f>'Technical Skills Weighting'!#REF!+"`FU!$;y"</f>
        <v>#REF!</v>
      </c>
      <c r="GI52" t="e">
        <f>'Technical Skills Weighting'!#REF!+"`FU!$;z"</f>
        <v>#REF!</v>
      </c>
      <c r="GJ52" t="e">
        <f>'Technical Skills Weighting'!#REF!+"`FU!$;{"</f>
        <v>#REF!</v>
      </c>
      <c r="GK52" t="e">
        <f>'Technical Skills Weighting'!#REF!+"`FU!$;|"</f>
        <v>#REF!</v>
      </c>
      <c r="GL52" t="e">
        <f>'Technical Skills Weighting'!#REF!+"`FU!$;}"</f>
        <v>#REF!</v>
      </c>
      <c r="GM52" t="e">
        <f>'Technical Skills Weighting'!#REF!+"`FU!$;~"</f>
        <v>#REF!</v>
      </c>
      <c r="GN52" t="e">
        <f>'Technical Skills Weighting'!#REF!+"`FU!$&lt;#"</f>
        <v>#REF!</v>
      </c>
      <c r="GO52" t="e">
        <f>'Technical Skills Weighting'!#REF!+"`FU!$&lt;$"</f>
        <v>#REF!</v>
      </c>
      <c r="GP52" t="e">
        <f>'Technical Skills Weighting'!#REF!+"`FU!$&lt;%"</f>
        <v>#REF!</v>
      </c>
      <c r="GQ52" t="e">
        <f>'Technical Skills Weighting'!#REF!+"`FU!$&lt;&amp;"</f>
        <v>#REF!</v>
      </c>
      <c r="GR52" t="e">
        <f>'Technical Skills Weighting'!#REF!+"`FU!$&lt;'"</f>
        <v>#REF!</v>
      </c>
      <c r="GS52" t="e">
        <f>'Technical Skills Weighting'!#REF!+"`FU!$&lt;("</f>
        <v>#REF!</v>
      </c>
      <c r="GT52" t="e">
        <f>'Technical Skills Weighting'!#REF!+"`FU!$&lt;)"</f>
        <v>#REF!</v>
      </c>
      <c r="GU52" t="e">
        <f>'Technical Skills Weighting'!#REF!+"`FU!$&lt;."</f>
        <v>#REF!</v>
      </c>
      <c r="GV52" t="e">
        <f>'Technical Skills Weighting'!#REF!+"`FU!$&lt;/"</f>
        <v>#REF!</v>
      </c>
      <c r="GW52" t="e">
        <f>'Technical Skills Weighting'!#REF!+"`FU!$&lt;0"</f>
        <v>#REF!</v>
      </c>
      <c r="GX52" t="e">
        <f>'Technical Skills Weighting'!#REF!+"`FU!$&lt;1"</f>
        <v>#REF!</v>
      </c>
      <c r="GY52" t="e">
        <f>'Technical Skills Weighting'!#REF!+"`FU!$&lt;2"</f>
        <v>#REF!</v>
      </c>
      <c r="GZ52" t="e">
        <f>'Technical Skills Weighting'!#REF!+"`FU!$&lt;3"</f>
        <v>#REF!</v>
      </c>
      <c r="HA52" t="e">
        <f>'Technical Skills Weighting'!#REF!+"`FU!$&lt;4"</f>
        <v>#REF!</v>
      </c>
      <c r="HB52" t="e">
        <f>'Technical Skills Weighting'!#REF!+"`FU!$&lt;5"</f>
        <v>#REF!</v>
      </c>
      <c r="HC52" t="e">
        <f>'Technical Skills Weighting'!#REF!+"`FU!$&lt;6"</f>
        <v>#REF!</v>
      </c>
      <c r="HD52" t="e">
        <f>'Technical Skills Weighting'!#REF!+"`FU!$&lt;7"</f>
        <v>#REF!</v>
      </c>
      <c r="HE52" t="e">
        <f>'Technical Skills Weighting'!#REF!+"`FU!$&lt;8"</f>
        <v>#REF!</v>
      </c>
      <c r="HF52" t="e">
        <f>'Technical Skills Weighting'!#REF!+"`FU!$&lt;9"</f>
        <v>#REF!</v>
      </c>
      <c r="HG52" t="e">
        <f>'Technical Skills Weighting'!#REF!+"`FU!$&lt;:"</f>
        <v>#REF!</v>
      </c>
      <c r="HH52" t="e">
        <f>'Technical Skills Weighting'!#REF!+"`FU!$&lt;;"</f>
        <v>#REF!</v>
      </c>
      <c r="HI52" t="e">
        <f>'Technical Skills Weighting'!#REF!+"`FU!$&lt;&lt;"</f>
        <v>#REF!</v>
      </c>
      <c r="HJ52" t="e">
        <f>'Technical Skills Weighting'!#REF!+"`FU!$&lt;="</f>
        <v>#REF!</v>
      </c>
      <c r="HK52" t="e">
        <f>'Technical Skills Weighting'!#REF!+"`FU!$&lt;&gt;"</f>
        <v>#REF!</v>
      </c>
      <c r="HL52" t="e">
        <f>'Technical Skills Weighting'!#REF!+"`FU!$&lt;?"</f>
        <v>#REF!</v>
      </c>
      <c r="HM52" t="e">
        <f>'Technical Skills Weighting'!#REF!+"`FU!$&lt;@"</f>
        <v>#REF!</v>
      </c>
      <c r="HN52" t="e">
        <f>'Technical Skills Weighting'!#REF!+"`FU!$&lt;A"</f>
        <v>#REF!</v>
      </c>
      <c r="HO52" t="e">
        <f>'Technical Skills Weighting'!#REF!+"`FU!$&lt;B"</f>
        <v>#REF!</v>
      </c>
      <c r="HP52" t="e">
        <f>'Technical Skills Weighting'!#REF!+"`FU!$&lt;C"</f>
        <v>#REF!</v>
      </c>
      <c r="HQ52" t="e">
        <f>'Technical Skills Weighting'!#REF!+"`FU!$&lt;D"</f>
        <v>#REF!</v>
      </c>
      <c r="HR52" t="e">
        <f>'Technical Skills Weighting'!#REF!+"`FU!$&lt;E"</f>
        <v>#REF!</v>
      </c>
      <c r="HS52" t="e">
        <f>'Technical Skills Weighting'!#REF!+"`FU!$&lt;F"</f>
        <v>#REF!</v>
      </c>
      <c r="HT52" t="e">
        <f>'Technical Skills Weighting'!#REF!+"`FU!$&lt;G"</f>
        <v>#REF!</v>
      </c>
      <c r="HU52" t="e">
        <f>'Technical Skills Weighting'!#REF!+"`FU!$&lt;H"</f>
        <v>#REF!</v>
      </c>
      <c r="HV52" t="e">
        <f>'Technical Skills Weighting'!#REF!+"`FU!$&lt;I"</f>
        <v>#REF!</v>
      </c>
      <c r="HW52" t="e">
        <f>'Technical Skills Weighting'!#REF!+"`FU!$&lt;J"</f>
        <v>#REF!</v>
      </c>
      <c r="HX52" t="e">
        <f>'Technical Skills Weighting'!#REF!+"`FU!$&lt;K"</f>
        <v>#REF!</v>
      </c>
      <c r="HY52" t="e">
        <f>'Technical Skills Weighting'!#REF!+"`FU!$&lt;L"</f>
        <v>#REF!</v>
      </c>
      <c r="HZ52" t="e">
        <f>'Technical Skills Weighting'!#REF!+"`FU!$&lt;M"</f>
        <v>#REF!</v>
      </c>
      <c r="IA52" t="e">
        <f>'Technical Skills Weighting'!#REF!+"`FU!$&lt;N"</f>
        <v>#REF!</v>
      </c>
      <c r="IB52" t="e">
        <f>'Technical Skills Weighting'!#REF!+"`FU!$&lt;O"</f>
        <v>#REF!</v>
      </c>
      <c r="IC52" t="e">
        <f>'Technical Skills Weighting'!#REF!+"`FU!$&lt;P"</f>
        <v>#REF!</v>
      </c>
      <c r="ID52" t="e">
        <f>'Technical Skills Weighting'!#REF!+"`FU!$&lt;Q"</f>
        <v>#REF!</v>
      </c>
      <c r="IE52" t="e">
        <f>'Technical Skills Weighting'!#REF!+"`FU!$&lt;R"</f>
        <v>#REF!</v>
      </c>
      <c r="IF52" t="e">
        <f>'Technical Skills Weighting'!#REF!+"`FU!$&lt;S"</f>
        <v>#REF!</v>
      </c>
      <c r="IG52" t="e">
        <f>'Technical Skills Weighting'!#REF!+"`FU!$&lt;T"</f>
        <v>#REF!</v>
      </c>
      <c r="IH52" t="e">
        <f>'Technical Skills Weighting'!#REF!+"`FU!$&lt;U"</f>
        <v>#REF!</v>
      </c>
      <c r="II52" t="e">
        <f>'Technical Skills Weighting'!#REF!+"`FU!$&lt;V"</f>
        <v>#REF!</v>
      </c>
      <c r="IJ52" t="e">
        <f>'Technical Skills Weighting'!#REF!+"`FU!$&lt;W"</f>
        <v>#REF!</v>
      </c>
      <c r="IK52" t="e">
        <f>'Technical Skills Weighting'!#REF!+"`FU!$&lt;X"</f>
        <v>#REF!</v>
      </c>
      <c r="IL52" t="e">
        <f>'Technical Skills Weighting'!#REF!+"`FU!$&lt;Y"</f>
        <v>#REF!</v>
      </c>
      <c r="IM52" t="e">
        <f>'Technical Skills Weighting'!#REF!+"`FU!$&lt;Z"</f>
        <v>#REF!</v>
      </c>
      <c r="IN52" t="e">
        <f>'Technical Skills Weighting'!#REF!+"`FU!$&lt;["</f>
        <v>#REF!</v>
      </c>
      <c r="IO52" t="e">
        <f>'Technical Skills Weighting'!#REF!+"`FU!$&lt;\"</f>
        <v>#REF!</v>
      </c>
      <c r="IP52" t="e">
        <f>'Technical Skills Weighting'!#REF!+"`FU!$&lt;]"</f>
        <v>#REF!</v>
      </c>
      <c r="IQ52" t="e">
        <f>'Technical Skills Weighting'!#REF!+"`FU!$&lt;^"</f>
        <v>#REF!</v>
      </c>
      <c r="IR52" t="e">
        <f>'Technical Skills Weighting'!#REF!+"`FU!$&lt;_"</f>
        <v>#REF!</v>
      </c>
      <c r="IS52" t="e">
        <f>'Technical Skills Weighting'!#REF!+"`FU!$&lt;`"</f>
        <v>#REF!</v>
      </c>
      <c r="IT52" t="e">
        <f>'Technical Skills Weighting'!#REF!+"`FU!$&lt;a"</f>
        <v>#REF!</v>
      </c>
      <c r="IU52" t="e">
        <f>'Technical Skills Weighting'!#REF!+"`FU!$&lt;b"</f>
        <v>#REF!</v>
      </c>
      <c r="IV52" t="e">
        <f>'Technical Skills Weighting'!#REF!+"`FU!$&lt;c"</f>
        <v>#REF!</v>
      </c>
    </row>
    <row r="53" spans="6:256" x14ac:dyDescent="0.25">
      <c r="F53" t="e">
        <f>'Technical Skills Weighting'!#REF!+"`FU!$&lt;d"</f>
        <v>#REF!</v>
      </c>
      <c r="G53" t="e">
        <f>'Technical Skills Weighting'!#REF!+"`FU!$&lt;e"</f>
        <v>#REF!</v>
      </c>
      <c r="H53" t="e">
        <f>'Technical Skills Weighting'!#REF!+"`FU!$&lt;f"</f>
        <v>#REF!</v>
      </c>
      <c r="I53" t="e">
        <f>'Technical Skills Weighting'!#REF!+"`FU!$&lt;g"</f>
        <v>#REF!</v>
      </c>
      <c r="J53" t="e">
        <f>'Technical Skills Weighting'!#REF!+"`FU!$&lt;h"</f>
        <v>#REF!</v>
      </c>
      <c r="K53" t="e">
        <f>'Technical Skills Weighting'!#REF!+"`FU!$&lt;i"</f>
        <v>#REF!</v>
      </c>
      <c r="L53" t="e">
        <f>'Technical Skills Weighting'!#REF!+"`FU!$&lt;j"</f>
        <v>#REF!</v>
      </c>
      <c r="M53" t="e">
        <f>'Technical Skills Weighting'!#REF!+"`FU!$&lt;k"</f>
        <v>#REF!</v>
      </c>
      <c r="N53" t="e">
        <f>'Technical Skills Weighting'!#REF!+"`FU!$&lt;l"</f>
        <v>#REF!</v>
      </c>
      <c r="O53" t="e">
        <f>'Technical Skills Weighting'!#REF!+"`FU!$&lt;m"</f>
        <v>#REF!</v>
      </c>
      <c r="P53" t="e">
        <f>'Technical Skills Weighting'!#REF!+"`FU!$&lt;n"</f>
        <v>#REF!</v>
      </c>
      <c r="Q53" t="e">
        <f>'Technical Skills Weighting'!#REF!+"`FU!$&lt;o"</f>
        <v>#REF!</v>
      </c>
      <c r="R53" t="e">
        <f>'Technical Skills Weighting'!#REF!+"`FU!$&lt;p"</f>
        <v>#REF!</v>
      </c>
      <c r="S53" t="e">
        <f>'Technical Skills Weighting'!#REF!+"`FU!$&lt;q"</f>
        <v>#REF!</v>
      </c>
      <c r="T53" t="e">
        <f>'Technical Skills Weighting'!#REF!+"`FU!$&lt;r"</f>
        <v>#REF!</v>
      </c>
      <c r="U53" t="e">
        <f>'Technical Skills Weighting'!#REF!+"`FU!$&lt;s"</f>
        <v>#REF!</v>
      </c>
      <c r="V53" t="e">
        <f>'Technical Skills Weighting'!#REF!+"`FU!$&lt;t"</f>
        <v>#REF!</v>
      </c>
      <c r="W53" t="e">
        <f>'Technical Skills Weighting'!#REF!+"`FU!$&lt;u"</f>
        <v>#REF!</v>
      </c>
      <c r="X53" t="e">
        <f>'Technical Skills Weighting'!#REF!+"`FU!$&lt;v"</f>
        <v>#REF!</v>
      </c>
      <c r="Y53" t="e">
        <f>'Technical Skills Weighting'!#REF!+"`FU!$&lt;w"</f>
        <v>#REF!</v>
      </c>
      <c r="Z53" t="e">
        <f>'Technical Skills Weighting'!#REF!+"`FU!$&lt;x"</f>
        <v>#REF!</v>
      </c>
      <c r="AA53" t="e">
        <f>'Technical Skills Weighting'!#REF!+"`FU!$&lt;y"</f>
        <v>#REF!</v>
      </c>
      <c r="AB53" t="e">
        <f>'Technical Skills Weighting'!#REF!+"`FU!$&lt;z"</f>
        <v>#REF!</v>
      </c>
      <c r="AC53" t="e">
        <f>'Technical Skills Weighting'!#REF!+"`FU!$&lt;{"</f>
        <v>#REF!</v>
      </c>
      <c r="AD53" t="e">
        <f>'Technical Skills Weighting'!#REF!+"`FU!$&lt;|"</f>
        <v>#REF!</v>
      </c>
      <c r="AE53" t="e">
        <f>'Technical Skills Weighting'!#REF!+"`FU!$&lt;}"</f>
        <v>#REF!</v>
      </c>
      <c r="AF53" t="e">
        <f>'Technical Skills Weighting'!#REF!+"`FU!$&lt;~"</f>
        <v>#REF!</v>
      </c>
      <c r="AG53" t="e">
        <f>'Technical Skills Weighting'!#REF!+"`FU!$=#"</f>
        <v>#REF!</v>
      </c>
      <c r="AH53" t="e">
        <f>'Technical Skills Weighting'!#REF!+"`FU!$=$"</f>
        <v>#REF!</v>
      </c>
      <c r="AI53" t="e">
        <f>'Technical Skills Weighting'!#REF!+"`FU!$=%"</f>
        <v>#REF!</v>
      </c>
      <c r="AJ53" t="e">
        <f>'Technical Skills Weighting'!#REF!+"`FU!$=&amp;"</f>
        <v>#REF!</v>
      </c>
      <c r="AK53" t="e">
        <f>'Technical Skills Weighting'!#REF!+"`FU!$='"</f>
        <v>#REF!</v>
      </c>
      <c r="AL53" t="e">
        <f>'Technical Skills Weighting'!#REF!+"`FU!$=("</f>
        <v>#REF!</v>
      </c>
      <c r="AM53" t="e">
        <f>'Technical Skills Weighting'!#REF!+"`FU!$=)"</f>
        <v>#REF!</v>
      </c>
      <c r="AN53" t="e">
        <f>'Technical Skills Weighting'!#REF!+"`FU!$=."</f>
        <v>#REF!</v>
      </c>
      <c r="AO53" t="e">
        <f>'Technical Skills Weighting'!#REF!+"`FU!$=/"</f>
        <v>#REF!</v>
      </c>
      <c r="AP53" t="e">
        <f>'Technical Skills Weighting'!#REF!+"`FU!$=0"</f>
        <v>#REF!</v>
      </c>
      <c r="AQ53" t="e">
        <f>'Technical Skills Weighting'!#REF!+"`FU!$=1"</f>
        <v>#REF!</v>
      </c>
      <c r="AR53" t="e">
        <f>'Technical Skills Weighting'!#REF!+"`FU!$=2"</f>
        <v>#REF!</v>
      </c>
      <c r="AS53" t="e">
        <f>'Technical Skills Weighting'!#REF!+"`FU!$=3"</f>
        <v>#REF!</v>
      </c>
      <c r="AT53" t="e">
        <f>'Technical Skills Weighting'!#REF!+"`FU!$=4"</f>
        <v>#REF!</v>
      </c>
      <c r="AU53" t="e">
        <f>'Technical Skills Weighting'!#REF!+"`FU!$=5"</f>
        <v>#REF!</v>
      </c>
      <c r="AV53" t="e">
        <f>'Technical Skills Weighting'!#REF!+"`FU!$=6"</f>
        <v>#REF!</v>
      </c>
      <c r="AW53" t="e">
        <f>'Technical Skills Weighting'!#REF!+"`FU!$=7"</f>
        <v>#REF!</v>
      </c>
      <c r="AX53" t="e">
        <f>'Technical Skills Weighting'!#REF!+"`FU!$=8"</f>
        <v>#REF!</v>
      </c>
      <c r="AY53" t="e">
        <f>'Technical Skills Weighting'!#REF!+"`FU!$=9"</f>
        <v>#REF!</v>
      </c>
      <c r="AZ53" t="e">
        <f>'Technical Skills Weighting'!#REF!+"`FU!$=:"</f>
        <v>#REF!</v>
      </c>
      <c r="BA53" t="e">
        <f>'Technical Skills Weighting'!#REF!+"`FU!$=;"</f>
        <v>#REF!</v>
      </c>
      <c r="BB53" t="e">
        <f>'Technical Skills Weighting'!#REF!+"`FU!$=&lt;"</f>
        <v>#REF!</v>
      </c>
      <c r="BC53" t="e">
        <f>'Technical Skills Weighting'!#REF!+"`FU!$=="</f>
        <v>#REF!</v>
      </c>
      <c r="BD53" t="e">
        <f>'Technical Skills Weighting'!#REF!+"`FU!$=&gt;"</f>
        <v>#REF!</v>
      </c>
      <c r="BE53" t="e">
        <f>'Technical Skills Weighting'!#REF!+"`FU!$=?"</f>
        <v>#REF!</v>
      </c>
      <c r="BF53" t="e">
        <f>'Technical Skills Weighting'!#REF!+"`FU!$=@"</f>
        <v>#REF!</v>
      </c>
      <c r="BG53" t="e">
        <f>'Technical Skills Weighting'!#REF!+"`FU!$=A"</f>
        <v>#REF!</v>
      </c>
      <c r="BH53" t="e">
        <f>'Technical Skills Weighting'!#REF!+"`FU!$=B"</f>
        <v>#REF!</v>
      </c>
      <c r="BI53" t="e">
        <f>'Technical Skills Weighting'!#REF!+"`FU!$=C"</f>
        <v>#REF!</v>
      </c>
      <c r="BJ53" t="e">
        <f>'Technical Skills Weighting'!#REF!+"`FU!$=D"</f>
        <v>#REF!</v>
      </c>
      <c r="BK53" t="e">
        <f>'Technical Skills Weighting'!#REF!+"`FU!$=E"</f>
        <v>#REF!</v>
      </c>
      <c r="BL53" t="e">
        <f>'Technical Skills Weighting'!#REF!+"`FU!$=F"</f>
        <v>#REF!</v>
      </c>
      <c r="BM53" t="e">
        <f>'Technical Skills Weighting'!#REF!+"`FU!$=G"</f>
        <v>#REF!</v>
      </c>
      <c r="BN53" t="e">
        <f>'Technical Skills Weighting'!#REF!+"`FU!$=H"</f>
        <v>#REF!</v>
      </c>
      <c r="BO53" t="e">
        <f>'Technical Skills Weighting'!#REF!+"`FU!$=I"</f>
        <v>#REF!</v>
      </c>
      <c r="BP53" t="e">
        <f>'Technical Skills Weighting'!#REF!+"`FU!$=J"</f>
        <v>#REF!</v>
      </c>
      <c r="BQ53" t="e">
        <f>'Technical Skills Weighting'!#REF!+"`FU!$=K"</f>
        <v>#REF!</v>
      </c>
      <c r="BR53" t="e">
        <f>'Technical Skills Weighting'!#REF!+"`FU!$=L"</f>
        <v>#REF!</v>
      </c>
      <c r="BS53" t="e">
        <f>'Technical Skills Weighting'!#REF!+"`FU!$=M"</f>
        <v>#REF!</v>
      </c>
      <c r="BT53" t="e">
        <f>'Technical Skills Weighting'!#REF!+"`FU!$=N"</f>
        <v>#REF!</v>
      </c>
      <c r="BU53" t="e">
        <f>'Technical Skills Weighting'!#REF!+"`FU!$=O"</f>
        <v>#REF!</v>
      </c>
      <c r="BV53" t="e">
        <f>'Technical Skills Weighting'!#REF!+"`FU!$=P"</f>
        <v>#REF!</v>
      </c>
      <c r="BW53" t="e">
        <f>'Technical Skills Weighting'!#REF!+"`FU!$=Q"</f>
        <v>#REF!</v>
      </c>
      <c r="BX53" t="e">
        <f>'Technical Skills Weighting'!#REF!+"`FU!$=R"</f>
        <v>#REF!</v>
      </c>
      <c r="BY53" t="e">
        <f>'Technical Skills Weighting'!#REF!+"`FU!$=S"</f>
        <v>#REF!</v>
      </c>
      <c r="BZ53" t="e">
        <f>'Technical Skills Weighting'!#REF!+"`FU!$=T"</f>
        <v>#REF!</v>
      </c>
      <c r="CA53" t="e">
        <f>'Technical Skills Weighting'!#REF!+"`FU!$=U"</f>
        <v>#REF!</v>
      </c>
      <c r="CB53" t="e">
        <f>'Technical Skills Weighting'!#REF!+"`FU!$=V"</f>
        <v>#REF!</v>
      </c>
      <c r="CC53" t="e">
        <f>'Technical Skills Weighting'!#REF!+"`FU!$=W"</f>
        <v>#REF!</v>
      </c>
      <c r="CD53" t="e">
        <f>'Technical Skills Weighting'!#REF!+"`FU!$=X"</f>
        <v>#REF!</v>
      </c>
      <c r="CE53" t="e">
        <f>'Technical Skills Weighting'!#REF!+"`FU!$=Y"</f>
        <v>#REF!</v>
      </c>
      <c r="CF53" t="e">
        <f>'Technical Skills Weighting'!#REF!+"`FU!$=Z"</f>
        <v>#REF!</v>
      </c>
      <c r="CG53" t="e">
        <f>'Technical Skills Weighting'!#REF!+"`FU!$=["</f>
        <v>#REF!</v>
      </c>
      <c r="CH53" t="e">
        <f>'Technical Skills Weighting'!#REF!+"`FU!$=\"</f>
        <v>#REF!</v>
      </c>
      <c r="CI53" t="e">
        <f>'Technical Skills Weighting'!#REF!+"`FU!$=]"</f>
        <v>#REF!</v>
      </c>
      <c r="CJ53" t="e">
        <f>'Technical Skills Weighting'!#REF!+"`FU!$=^"</f>
        <v>#REF!</v>
      </c>
      <c r="CK53" t="e">
        <f>'Technical Skills Weighting'!#REF!+"`FU!$=_"</f>
        <v>#REF!</v>
      </c>
      <c r="CL53" t="e">
        <f>'Technical Skills Weighting'!#REF!+"`FU!$=`"</f>
        <v>#REF!</v>
      </c>
      <c r="CM53" t="e">
        <f>'Technical Skills Weighting'!#REF!+"`FU!$=a"</f>
        <v>#REF!</v>
      </c>
      <c r="CN53" t="e">
        <f>'Technical Skills Weighting'!#REF!+"`FU!$=b"</f>
        <v>#REF!</v>
      </c>
      <c r="CO53" t="e">
        <f>'Technical Skills Weighting'!#REF!+"`FU!$=c"</f>
        <v>#REF!</v>
      </c>
      <c r="CP53" t="e">
        <f>'Technical Skills Weighting'!#REF!+"`FU!$=d"</f>
        <v>#REF!</v>
      </c>
      <c r="CQ53" t="e">
        <f>'Technical Skills Weighting'!#REF!+"`FU!$=e"</f>
        <v>#REF!</v>
      </c>
      <c r="CR53" t="e">
        <f>'Technical Skills Weighting'!#REF!+"`FU!$=f"</f>
        <v>#REF!</v>
      </c>
      <c r="CS53" t="e">
        <f>'Technical Skills Weighting'!#REF!+"`FU!$=g"</f>
        <v>#REF!</v>
      </c>
      <c r="CT53" t="e">
        <f>'Technical Skills Weighting'!#REF!+"`FU!$=h"</f>
        <v>#REF!</v>
      </c>
      <c r="CU53" t="e">
        <f>'Technical Skills Weighting'!#REF!+"`FU!$=i"</f>
        <v>#REF!</v>
      </c>
      <c r="CV53" t="e">
        <f>'Technical Skills Weighting'!#REF!+"`FU!$=j"</f>
        <v>#REF!</v>
      </c>
      <c r="CW53" t="e">
        <f>'Technical Skills Weighting'!#REF!+"`FU!$=k"</f>
        <v>#REF!</v>
      </c>
      <c r="CX53" t="e">
        <f>'Technical Skills Weighting'!#REF!+"`FU!$=l"</f>
        <v>#REF!</v>
      </c>
      <c r="CY53" t="e">
        <f>'Technical Skills Weighting'!#REF!+"`FU!$=m"</f>
        <v>#REF!</v>
      </c>
      <c r="CZ53" t="e">
        <f>'Technical Skills Weighting'!#REF!+"`FU!$=n"</f>
        <v>#REF!</v>
      </c>
      <c r="DA53" t="e">
        <f>'Technical Skills Weighting'!#REF!+"`FU!$=o"</f>
        <v>#REF!</v>
      </c>
      <c r="DB53" t="e">
        <f>'Technical Skills Weighting'!#REF!+"`FU!$=p"</f>
        <v>#REF!</v>
      </c>
      <c r="DC53" t="e">
        <f>'Technical Skills Weighting'!#REF!+"`FU!$=q"</f>
        <v>#REF!</v>
      </c>
      <c r="DD53" t="e">
        <f>'Technical Skills Weighting'!#REF!+"`FU!$=r"</f>
        <v>#REF!</v>
      </c>
      <c r="DE53" t="e">
        <f>'Technical Skills Weighting'!#REF!+"`FU!$=s"</f>
        <v>#REF!</v>
      </c>
      <c r="DF53" t="e">
        <f>'Technical Skills Weighting'!#REF!+"`FU!$=t"</f>
        <v>#REF!</v>
      </c>
      <c r="DG53" t="e">
        <f>'Technical Skills Weighting'!#REF!+"`FU!$=u"</f>
        <v>#REF!</v>
      </c>
      <c r="DH53" t="e">
        <f>'Technical Skills Weighting'!#REF!+"`FU!$=v"</f>
        <v>#REF!</v>
      </c>
      <c r="DI53" t="e">
        <f>'Technical Skills Weighting'!#REF!+"`FU!$=w"</f>
        <v>#REF!</v>
      </c>
      <c r="DJ53" t="e">
        <f>'Technical Skills Weighting'!#REF!+"`FU!$=x"</f>
        <v>#REF!</v>
      </c>
      <c r="DK53" t="e">
        <f>'Technical Skills Weighting'!#REF!+"`FU!$=y"</f>
        <v>#REF!</v>
      </c>
      <c r="DL53" t="e">
        <f>'Technical Skills Weighting'!#REF!+"`FU!$=z"</f>
        <v>#REF!</v>
      </c>
      <c r="DM53" t="e">
        <f>'Technical Skills Weighting'!#REF!+"`FU!$={"</f>
        <v>#REF!</v>
      </c>
      <c r="DN53" t="e">
        <f>'Technical Skills Weighting'!#REF!+"`FU!$=|"</f>
        <v>#REF!</v>
      </c>
      <c r="DO53" t="e">
        <f>'Technical Skills Weighting'!#REF!+"`FU!$=}"</f>
        <v>#REF!</v>
      </c>
      <c r="DP53" t="e">
        <f>'Technical Skills Weighting'!#REF!+"`FU!$=~"</f>
        <v>#REF!</v>
      </c>
      <c r="DQ53" t="e">
        <f>'Technical Skills Weighting'!#REF!+"`FU!$&gt;#"</f>
        <v>#REF!</v>
      </c>
      <c r="DR53" t="e">
        <f>'Technical Skills Weighting'!#REF!+"`FU!$&gt;$"</f>
        <v>#REF!</v>
      </c>
      <c r="DS53" t="e">
        <f>'Technical Skills Weighting'!#REF!+"`FU!$&gt;%"</f>
        <v>#REF!</v>
      </c>
      <c r="DT53" t="e">
        <f>'Technical Skills Weighting'!#REF!+"`FU!$&gt;&amp;"</f>
        <v>#REF!</v>
      </c>
      <c r="DU53" t="e">
        <f>'Technical Skills Weighting'!#REF!+"`FU!$&gt;'"</f>
        <v>#REF!</v>
      </c>
      <c r="DV53" t="e">
        <f>'Technical Skills Weighting'!#REF!+"`FU!$&gt;("</f>
        <v>#REF!</v>
      </c>
      <c r="DW53" t="e">
        <f>'Technical Skills Weighting'!#REF!+"`FU!$&gt;)"</f>
        <v>#REF!</v>
      </c>
      <c r="DX53" t="e">
        <f>'Technical Skills Weighting'!#REF!+"`FU!$&gt;."</f>
        <v>#REF!</v>
      </c>
      <c r="DY53" t="e">
        <f>'Technical Skills Weighting'!#REF!+"`FU!$&gt;/"</f>
        <v>#REF!</v>
      </c>
      <c r="DZ53" t="e">
        <f>'Technical Skills Weighting'!#REF!+"`FU!$&gt;0"</f>
        <v>#REF!</v>
      </c>
      <c r="EA53" t="e">
        <f>'Technical Skills Weighting'!#REF!+"`FU!$&gt;1"</f>
        <v>#REF!</v>
      </c>
      <c r="EB53" t="e">
        <f>'Technical Skills Weighting'!A:A*"`FU!$&gt;2"</f>
        <v>#VALUE!</v>
      </c>
      <c r="EC53" t="e">
        <f>'Technical Skills Weighting'!GO:GO*"`FU!$&gt;3"</f>
        <v>#VALUE!</v>
      </c>
      <c r="ED53" t="e">
        <f>'Technical Skills Weighting'!GP:GP*"`FU!$&gt;4"</f>
        <v>#VALUE!</v>
      </c>
      <c r="EE53" t="e">
        <f>'Technical Skills Weighting'!GQ:GQ*"`FU!$&gt;5"</f>
        <v>#VALUE!</v>
      </c>
      <c r="EF53" t="e">
        <f>'Technical Skills Weighting'!GR:GR*"`FU!$&gt;6"</f>
        <v>#VALUE!</v>
      </c>
      <c r="EG53" t="e">
        <f>'Technical Skills Weighting'!GS:GS*"`FU!$&gt;7"</f>
        <v>#VALUE!</v>
      </c>
      <c r="EH53" t="e">
        <f>'Technical Skills Weighting'!GT:GT*"`FU!$&gt;8"</f>
        <v>#VALUE!</v>
      </c>
      <c r="EI53" t="e">
        <f>'Technical Skills Weighting'!GU:GU*"`FU!$&gt;9"</f>
        <v>#VALUE!</v>
      </c>
      <c r="EJ53" t="e">
        <f>'Technical Skills Weighting'!GV:GV*"`FU!$&gt;:"</f>
        <v>#VALUE!</v>
      </c>
      <c r="EK53" t="e">
        <f>'Technical Skills Weighting'!GW:GW*"`FU!$&gt;;"</f>
        <v>#VALUE!</v>
      </c>
      <c r="EL53" t="e">
        <f>'Technical Skills Weighting'!GX:GX*"`FU!$&gt;&lt;"</f>
        <v>#VALUE!</v>
      </c>
      <c r="EM53" t="e">
        <f>'Technical Skills Weighting'!GY:GY*"`FU!$&gt;="</f>
        <v>#VALUE!</v>
      </c>
      <c r="EN53" t="e">
        <f>'Technical Skills Weighting'!GZ:GZ*"`FU!$&gt;&gt;"</f>
        <v>#VALUE!</v>
      </c>
      <c r="EO53" t="e">
        <f>'Technical Skills Weighting'!HA:HA*"`FU!$&gt;?"</f>
        <v>#VALUE!</v>
      </c>
      <c r="EP53" t="e">
        <f>'Technical Skills Weighting'!HB:HB*"`FU!$&gt;@"</f>
        <v>#VALUE!</v>
      </c>
      <c r="EQ53" t="e">
        <f>'Technical Skills Weighting'!HC:HC*"`FU!$&gt;A"</f>
        <v>#VALUE!</v>
      </c>
      <c r="ER53" t="e">
        <f>'Technical Skills Weighting'!HD:HD*"`FU!$&gt;B"</f>
        <v>#VALUE!</v>
      </c>
      <c r="ES53" t="e">
        <f>'Technical Skills Weighting'!HE:HE*"`FU!$&gt;C"</f>
        <v>#VALUE!</v>
      </c>
      <c r="ET53" t="e">
        <f>'Technical Skills Weighting'!HF:HF*"`FU!$&gt;D"</f>
        <v>#VALUE!</v>
      </c>
      <c r="EU53" t="e">
        <f>'Technical Skills Weighting'!HG:HG*"`FU!$&gt;E"</f>
        <v>#VALUE!</v>
      </c>
      <c r="EV53" t="e">
        <f>'Technical Skills Weighting'!HH:HH*"`FU!$&gt;F"</f>
        <v>#VALUE!</v>
      </c>
      <c r="EW53" t="e">
        <f>'Technical Skills Weighting'!HI:HI*"`FU!$&gt;G"</f>
        <v>#VALUE!</v>
      </c>
      <c r="EX53" t="e">
        <f>'Technical Skills Weighting'!HJ:HJ*"`FU!$&gt;H"</f>
        <v>#VALUE!</v>
      </c>
      <c r="EY53" t="e">
        <f>'Technical Skills Weighting'!HK:HK*"`FU!$&gt;I"</f>
        <v>#VALUE!</v>
      </c>
      <c r="EZ53" t="e">
        <f>'Technical Skills Weighting'!HL:HL*"`FU!$&gt;J"</f>
        <v>#VALUE!</v>
      </c>
      <c r="FA53" t="e">
        <f>'Technical Skills Weighting'!HM:HM*"`FU!$&gt;K"</f>
        <v>#VALUE!</v>
      </c>
      <c r="FB53" t="e">
        <f>'Technical Skills Weighting'!HN:HN*"`FU!$&gt;L"</f>
        <v>#VALUE!</v>
      </c>
      <c r="FC53" t="e">
        <f>'Technical Skills Weighting'!HO:HO*"`FU!$&gt;M"</f>
        <v>#VALUE!</v>
      </c>
      <c r="FD53" t="e">
        <f>'Technical Skills Weighting'!HP:HP*"`FU!$&gt;N"</f>
        <v>#VALUE!</v>
      </c>
      <c r="FE53" t="e">
        <f>'Technical Skills Weighting'!HQ:HQ*"`FU!$&gt;O"</f>
        <v>#VALUE!</v>
      </c>
      <c r="FF53" t="e">
        <f>'Technical Skills Weighting'!HR:HR*"`FU!$&gt;P"</f>
        <v>#VALUE!</v>
      </c>
      <c r="FG53" t="e">
        <f>'Technical Skills Weighting'!HS:HS*"`FU!$&gt;Q"</f>
        <v>#VALUE!</v>
      </c>
      <c r="FH53" t="e">
        <f>'Technical Skills Weighting'!HT:HT*"`FU!$&gt;R"</f>
        <v>#VALUE!</v>
      </c>
      <c r="FI53" t="e">
        <f>'Technical Skills Weighting'!HU:HU*"`FU!$&gt;S"</f>
        <v>#VALUE!</v>
      </c>
      <c r="FJ53" t="e">
        <f>'Technical Skills Weighting'!HV:HV*"`FU!$&gt;T"</f>
        <v>#VALUE!</v>
      </c>
      <c r="FK53" t="e">
        <f>'Technical Skills Weighting'!HW:HW*"`FU!$&gt;U"</f>
        <v>#VALUE!</v>
      </c>
      <c r="FL53" t="e">
        <f>'Technical Skills Weighting'!HX:HX*"`FU!$&gt;V"</f>
        <v>#VALUE!</v>
      </c>
      <c r="FM53" t="e">
        <f>'Technical Skills Weighting'!HY:HY*"`FU!$&gt;W"</f>
        <v>#VALUE!</v>
      </c>
      <c r="FN53" t="e">
        <f>'Technical Skills Weighting'!HZ:HZ*"`FU!$&gt;X"</f>
        <v>#VALUE!</v>
      </c>
      <c r="FO53" t="e">
        <f>'Technical Skills Weighting'!IA:IA*"`FU!$&gt;Y"</f>
        <v>#VALUE!</v>
      </c>
      <c r="FP53" t="e">
        <f>'Technical Skills Weighting'!IB:IB*"`FU!$&gt;Z"</f>
        <v>#VALUE!</v>
      </c>
      <c r="FQ53" t="e">
        <f>'Technical Skills Weighting'!IC:IC*"`FU!$&gt;["</f>
        <v>#VALUE!</v>
      </c>
      <c r="FR53" t="e">
        <f>'Technical Skills Weighting'!ID:ID*"`FU!$&gt;\"</f>
        <v>#VALUE!</v>
      </c>
      <c r="FS53" t="e">
        <f>'Technical Skills Weighting'!IE:IE*"`FU!$&gt;]"</f>
        <v>#VALUE!</v>
      </c>
      <c r="FT53" t="e">
        <f>'Technical Skills Weighting'!IF:IF*"`FU!$&gt;^"</f>
        <v>#VALUE!</v>
      </c>
      <c r="FU53" t="e">
        <f>'Technical Skills Weighting'!IG:IG*"`FU!$&gt;_"</f>
        <v>#VALUE!</v>
      </c>
      <c r="FV53" t="e">
        <f>'Technical Skills Weighting'!3:3-"`FU!$&gt;`"</f>
        <v>#VALUE!</v>
      </c>
      <c r="FW53" t="e">
        <f>'Technical Skills Weighting'!4:4-"`FU!$&gt;a"</f>
        <v>#VALUE!</v>
      </c>
      <c r="FX53" t="e">
        <f>'Technical Skills Weighting'!5:5-"`FU!$&gt;b"</f>
        <v>#VALUE!</v>
      </c>
      <c r="FY53" t="e">
        <f>'Technical Skills Weighting'!6:6-"`FU!$&gt;c"</f>
        <v>#VALUE!</v>
      </c>
      <c r="FZ53" t="e">
        <f>'Technical Skills Weighting'!7:7-"`FU!$&gt;d"</f>
        <v>#VALUE!</v>
      </c>
      <c r="GA53" t="e">
        <f>'Technical Skills Weighting'!8:8-"`FU!$&gt;e"</f>
        <v>#VALUE!</v>
      </c>
      <c r="GB53" t="e">
        <f>'Technical Skills Weighting'!9:9-"`FU!$&gt;f"</f>
        <v>#VALUE!</v>
      </c>
      <c r="GC53" t="e">
        <f>'Technical Skills Weighting'!#REF!-"`FU!$&gt;g"</f>
        <v>#REF!</v>
      </c>
      <c r="GD53" t="e">
        <f>'Technical Skills Weighting'!10:10-"`FU!$&gt;h"</f>
        <v>#VALUE!</v>
      </c>
      <c r="GE53" t="e">
        <f>'Technical Skills Weighting'!B1+"`FU!$&gt;i"</f>
        <v>#VALUE!</v>
      </c>
      <c r="GF53" t="e">
        <f>'Technical Skills Weighting'!A2+"`FU!$&gt;j"</f>
        <v>#VALUE!</v>
      </c>
      <c r="GG53" t="e">
        <f>'Technical Skills Weighting'!B2+"`FU!$&gt;k"</f>
        <v>#VALUE!</v>
      </c>
      <c r="GH53" t="e">
        <f>'Technical Skills Weighting'!EQ2+"`FU!$&gt;l"</f>
        <v>#VALUE!</v>
      </c>
      <c r="GI53" t="e">
        <f>'Technical Skills Weighting'!ER2+"`FU!$&gt;m"</f>
        <v>#VALUE!</v>
      </c>
      <c r="GJ53" t="e">
        <f>'Technical Skills Weighting'!ES2+"`FU!$&gt;n"</f>
        <v>#VALUE!</v>
      </c>
      <c r="GK53" t="e">
        <f>'Technical Skills Weighting'!ET2+"`FU!$&gt;o"</f>
        <v>#VALUE!</v>
      </c>
      <c r="GL53" t="e">
        <f>'Technical Skills Weighting'!EU2+"`FU!$&gt;p"</f>
        <v>#VALUE!</v>
      </c>
      <c r="GM53" t="e">
        <f>'Technical Skills Weighting'!EV2+"`FU!$&gt;q"</f>
        <v>#VALUE!</v>
      </c>
      <c r="GN53" t="e">
        <f>'Technical Skills Weighting'!EW2+"`FU!$&gt;r"</f>
        <v>#VALUE!</v>
      </c>
      <c r="GO53" t="e">
        <f>'Technical Skills Weighting'!EX2+"`FU!$&gt;s"</f>
        <v>#VALUE!</v>
      </c>
      <c r="GP53" t="e">
        <f>'Technical Skills Weighting'!EY2+"`FU!$&gt;t"</f>
        <v>#VALUE!</v>
      </c>
      <c r="GQ53" t="e">
        <f>'Technical Skills Weighting'!EZ2+"`FU!$&gt;u"</f>
        <v>#VALUE!</v>
      </c>
      <c r="GR53" t="e">
        <f>'Technical Skills Weighting'!FA2+"`FU!$&gt;v"</f>
        <v>#VALUE!</v>
      </c>
      <c r="GS53" t="e">
        <f>'Technical Skills Weighting'!FB2+"`FU!$&gt;w"</f>
        <v>#VALUE!</v>
      </c>
      <c r="GT53" t="e">
        <f>'Technical Skills Weighting'!FC2+"`FU!$&gt;x"</f>
        <v>#VALUE!</v>
      </c>
      <c r="GU53" t="e">
        <f>'Technical Skills Weighting'!FD2+"`FU!$&gt;y"</f>
        <v>#VALUE!</v>
      </c>
      <c r="GV53" t="e">
        <f>'Technical Skills Weighting'!FE2+"`FU!$&gt;z"</f>
        <v>#VALUE!</v>
      </c>
      <c r="GW53" t="e">
        <f>'Technical Skills Weighting'!FF2+"`FU!$&gt;{"</f>
        <v>#VALUE!</v>
      </c>
      <c r="GX53" t="e">
        <f>'Technical Skills Weighting'!FG2+"`FU!$&gt;|"</f>
        <v>#VALUE!</v>
      </c>
      <c r="GY53" t="e">
        <f>'Technical Skills Weighting'!FH2+"`FU!$&gt;}"</f>
        <v>#VALUE!</v>
      </c>
      <c r="GZ53" t="e">
        <f>'Technical Skills Weighting'!FI2+"`FU!$&gt;~"</f>
        <v>#VALUE!</v>
      </c>
      <c r="HA53" t="e">
        <f>'Technical Skills Weighting'!FJ2+"`FU!$?#"</f>
        <v>#VALUE!</v>
      </c>
      <c r="HB53" t="e">
        <f>'Technical Skills Weighting'!FK2+"`FU!$?$"</f>
        <v>#VALUE!</v>
      </c>
      <c r="HC53" t="e">
        <f>'Technical Skills Weighting'!FL2+"`FU!$?%"</f>
        <v>#VALUE!</v>
      </c>
      <c r="HD53" t="e">
        <f>'Technical Skills Weighting'!FM2+"`FU!$?&amp;"</f>
        <v>#VALUE!</v>
      </c>
      <c r="HE53" t="e">
        <f>'Technical Skills Weighting'!FN2+"`FU!$?'"</f>
        <v>#VALUE!</v>
      </c>
      <c r="HF53" t="e">
        <f>'Technical Skills Weighting'!FO2+"`FU!$?("</f>
        <v>#VALUE!</v>
      </c>
      <c r="HG53" t="e">
        <f>'Technical Skills Weighting'!FP2+"`FU!$?)"</f>
        <v>#VALUE!</v>
      </c>
      <c r="HH53" t="e">
        <f>'Technical Skills Weighting'!FQ2+"`FU!$?."</f>
        <v>#VALUE!</v>
      </c>
      <c r="HI53" t="e">
        <f>'Technical Skills Weighting'!FR2+"`FU!$?/"</f>
        <v>#VALUE!</v>
      </c>
      <c r="HJ53" t="e">
        <f>'Technical Skills Weighting'!FS2+"`FU!$?0"</f>
        <v>#VALUE!</v>
      </c>
      <c r="HK53" t="e">
        <f>'Technical Skills Weighting'!FT2+"`FU!$?1"</f>
        <v>#VALUE!</v>
      </c>
      <c r="HL53" t="e">
        <f>'Technical Skills Weighting'!FU2+"`FU!$?2"</f>
        <v>#VALUE!</v>
      </c>
      <c r="HM53" t="e">
        <f>'Technical Skills Weighting'!FV2+"`FU!$?3"</f>
        <v>#VALUE!</v>
      </c>
      <c r="HN53" t="e">
        <f>'Technical Skills Weighting'!FW2+"`FU!$?4"</f>
        <v>#VALUE!</v>
      </c>
      <c r="HO53" t="e">
        <f>'Technical Skills Weighting'!FX2+"`FU!$?5"</f>
        <v>#VALUE!</v>
      </c>
      <c r="HP53" t="e">
        <f>'Technical Skills Weighting'!FY2+"`FU!$?6"</f>
        <v>#VALUE!</v>
      </c>
      <c r="HQ53" t="e">
        <f>'Technical Skills Weighting'!FZ2+"`FU!$?7"</f>
        <v>#VALUE!</v>
      </c>
      <c r="HR53" t="e">
        <f>'Technical Skills Weighting'!GA2+"`FU!$?8"</f>
        <v>#VALUE!</v>
      </c>
      <c r="HS53" t="e">
        <f>'Technical Skills Weighting'!GB2+"`FU!$?9"</f>
        <v>#VALUE!</v>
      </c>
      <c r="HT53" t="e">
        <f>'Technical Skills Weighting'!GC2+"`FU!$?:"</f>
        <v>#VALUE!</v>
      </c>
      <c r="HU53" t="e">
        <f>'Technical Skills Weighting'!GD2+"`FU!$?;"</f>
        <v>#VALUE!</v>
      </c>
      <c r="HV53" t="e">
        <f>'Technical Skills Weighting'!GE2+"`FU!$?&lt;"</f>
        <v>#VALUE!</v>
      </c>
      <c r="HW53" t="e">
        <f>'Technical Skills Weighting'!GF2+"`FU!$?="</f>
        <v>#VALUE!</v>
      </c>
      <c r="HX53" t="e">
        <f>'Technical Skills Weighting'!GG2+"`FU!$?&gt;"</f>
        <v>#VALUE!</v>
      </c>
      <c r="HY53" t="e">
        <f>'Technical Skills Weighting'!GH2+"`FU!$??"</f>
        <v>#VALUE!</v>
      </c>
      <c r="HZ53" t="e">
        <f>'Technical Skills Weighting'!GI2+"`FU!$?@"</f>
        <v>#VALUE!</v>
      </c>
      <c r="IA53" t="e">
        <f>'Technical Skills Weighting'!A3+"`FU!$?A"</f>
        <v>#VALUE!</v>
      </c>
      <c r="IB53" t="e">
        <f>'Technical Skills Weighting'!B3+"`FU!$?B"</f>
        <v>#VALUE!</v>
      </c>
      <c r="IC53" t="e">
        <f>'Technical Skills Weighting'!F3+"`FU!$?C"</f>
        <v>#VALUE!</v>
      </c>
      <c r="ID53" t="e">
        <f>'Technical Skills Weighting'!G3+"`FU!$?D"</f>
        <v>#VALUE!</v>
      </c>
      <c r="IE53" t="e">
        <f>'Technical Skills Weighting'!H3+"`FU!$?E"</f>
        <v>#VALUE!</v>
      </c>
      <c r="IF53" t="e">
        <f>'Technical Skills Weighting'!I3+"`FU!$?F"</f>
        <v>#VALUE!</v>
      </c>
      <c r="IG53" t="e">
        <f>'Technical Skills Weighting'!J3+"`FU!$?G"</f>
        <v>#VALUE!</v>
      </c>
      <c r="IH53" t="e">
        <f>'Technical Skills Weighting'!K3+"`FU!$?H"</f>
        <v>#VALUE!</v>
      </c>
      <c r="II53" t="e">
        <f>'Technical Skills Weighting'!L3+"`FU!$?I"</f>
        <v>#VALUE!</v>
      </c>
      <c r="IJ53" t="e">
        <f>'Technical Skills Weighting'!M3+"`FU!$?J"</f>
        <v>#VALUE!</v>
      </c>
      <c r="IK53" t="e">
        <f>'Technical Skills Weighting'!N3+"`FU!$?K"</f>
        <v>#VALUE!</v>
      </c>
      <c r="IL53" t="e">
        <f>'Technical Skills Weighting'!O3+"`FU!$?L"</f>
        <v>#VALUE!</v>
      </c>
      <c r="IM53" t="e">
        <f>'Technical Skills Weighting'!P3+"`FU!$?M"</f>
        <v>#VALUE!</v>
      </c>
      <c r="IN53" t="e">
        <f>'Technical Skills Weighting'!Q3+"`FU!$?N"</f>
        <v>#VALUE!</v>
      </c>
      <c r="IO53" t="e">
        <f>'Technical Skills Weighting'!R3+"`FU!$?O"</f>
        <v>#VALUE!</v>
      </c>
      <c r="IP53" t="e">
        <f>'Technical Skills Weighting'!S3+"`FU!$?P"</f>
        <v>#VALUE!</v>
      </c>
      <c r="IQ53" t="e">
        <f>'Technical Skills Weighting'!T3+"`FU!$?Q"</f>
        <v>#VALUE!</v>
      </c>
      <c r="IR53" t="e">
        <f>'Technical Skills Weighting'!U3+"`FU!$?R"</f>
        <v>#VALUE!</v>
      </c>
      <c r="IS53" t="e">
        <f>'Technical Skills Weighting'!V3+"`FU!$?S"</f>
        <v>#VALUE!</v>
      </c>
      <c r="IT53" t="e">
        <f>'Technical Skills Weighting'!W3+"`FU!$?T"</f>
        <v>#VALUE!</v>
      </c>
      <c r="IU53" t="e">
        <f>'Technical Skills Weighting'!X3+"`FU!$?U"</f>
        <v>#VALUE!</v>
      </c>
      <c r="IV53" t="e">
        <f>'Technical Skills Weighting'!Y3+"`FU!$?V"</f>
        <v>#VALUE!</v>
      </c>
    </row>
    <row r="54" spans="6:256" x14ac:dyDescent="0.25">
      <c r="F54" t="e">
        <f>'Technical Skills Weighting'!Z3+"`FU!$?W"</f>
        <v>#VALUE!</v>
      </c>
      <c r="G54" t="e">
        <f>'Technical Skills Weighting'!AA3+"`FU!$?X"</f>
        <v>#VALUE!</v>
      </c>
      <c r="H54" t="e">
        <f>'Technical Skills Weighting'!AB3+"`FU!$?Y"</f>
        <v>#VALUE!</v>
      </c>
      <c r="I54" t="e">
        <f>'Technical Skills Weighting'!AC3+"`FU!$?Z"</f>
        <v>#VALUE!</v>
      </c>
      <c r="J54" t="e">
        <f>'Technical Skills Weighting'!AD3+"`FU!$?["</f>
        <v>#VALUE!</v>
      </c>
      <c r="K54" t="e">
        <f>'Technical Skills Weighting'!AE3+"`FU!$?\"</f>
        <v>#VALUE!</v>
      </c>
      <c r="L54" t="e">
        <f>'Technical Skills Weighting'!AF3+"`FU!$?]"</f>
        <v>#VALUE!</v>
      </c>
      <c r="M54" t="e">
        <f>'Technical Skills Weighting'!AG3+"`FU!$?^"</f>
        <v>#VALUE!</v>
      </c>
      <c r="N54" t="e">
        <f>'Technical Skills Weighting'!AH3+"`FU!$?_"</f>
        <v>#VALUE!</v>
      </c>
      <c r="O54" t="e">
        <f>'Technical Skills Weighting'!AI3+"`FU!$?`"</f>
        <v>#VALUE!</v>
      </c>
      <c r="P54" t="e">
        <f>'Technical Skills Weighting'!AJ3+"`FU!$?a"</f>
        <v>#VALUE!</v>
      </c>
      <c r="Q54" t="e">
        <f>'Technical Skills Weighting'!AK3+"`FU!$?b"</f>
        <v>#VALUE!</v>
      </c>
      <c r="R54" t="e">
        <f>'Technical Skills Weighting'!AL3+"`FU!$?c"</f>
        <v>#VALUE!</v>
      </c>
      <c r="S54" t="e">
        <f>'Technical Skills Weighting'!AM3+"`FU!$?d"</f>
        <v>#VALUE!</v>
      </c>
      <c r="T54" t="e">
        <f>'Technical Skills Weighting'!AN3+"`FU!$?e"</f>
        <v>#VALUE!</v>
      </c>
      <c r="U54" t="e">
        <f>'Technical Skills Weighting'!AO3+"`FU!$?f"</f>
        <v>#VALUE!</v>
      </c>
      <c r="V54" t="e">
        <f>'Technical Skills Weighting'!AP3+"`FU!$?g"</f>
        <v>#VALUE!</v>
      </c>
      <c r="W54" t="e">
        <f>'Technical Skills Weighting'!AQ3+"`FU!$?h"</f>
        <v>#VALUE!</v>
      </c>
      <c r="X54" t="e">
        <f>'Technical Skills Weighting'!AR3+"`FU!$?i"</f>
        <v>#VALUE!</v>
      </c>
      <c r="Y54" t="e">
        <f>'Technical Skills Weighting'!AS3+"`FU!$?j"</f>
        <v>#VALUE!</v>
      </c>
      <c r="Z54" t="e">
        <f>'Technical Skills Weighting'!AT3+"`FU!$?k"</f>
        <v>#VALUE!</v>
      </c>
      <c r="AA54" t="e">
        <f>'Technical Skills Weighting'!AU3+"`FU!$?l"</f>
        <v>#VALUE!</v>
      </c>
      <c r="AB54" t="e">
        <f>'Technical Skills Weighting'!AV3+"`FU!$?m"</f>
        <v>#VALUE!</v>
      </c>
      <c r="AC54" t="e">
        <f>'Technical Skills Weighting'!AW3+"`FU!$?n"</f>
        <v>#VALUE!</v>
      </c>
      <c r="AD54" t="e">
        <f>'Technical Skills Weighting'!AX3+"`FU!$?o"</f>
        <v>#VALUE!</v>
      </c>
      <c r="AE54" t="e">
        <f>'Technical Skills Weighting'!AY3+"`FU!$?p"</f>
        <v>#VALUE!</v>
      </c>
      <c r="AF54" t="e">
        <f>'Technical Skills Weighting'!AZ3+"`FU!$?q"</f>
        <v>#VALUE!</v>
      </c>
      <c r="AG54" t="e">
        <f>'Technical Skills Weighting'!BA3+"`FU!$?r"</f>
        <v>#VALUE!</v>
      </c>
      <c r="AH54" t="e">
        <f>'Technical Skills Weighting'!BB3+"`FU!$?s"</f>
        <v>#VALUE!</v>
      </c>
      <c r="AI54" t="e">
        <f>'Technical Skills Weighting'!BC3+"`FU!$?t"</f>
        <v>#VALUE!</v>
      </c>
      <c r="AJ54" t="e">
        <f>'Technical Skills Weighting'!BD3+"`FU!$?u"</f>
        <v>#VALUE!</v>
      </c>
      <c r="AK54" t="e">
        <f>'Technical Skills Weighting'!BE3+"`FU!$?v"</f>
        <v>#VALUE!</v>
      </c>
      <c r="AL54" t="e">
        <f>'Technical Skills Weighting'!BF3+"`FU!$?w"</f>
        <v>#VALUE!</v>
      </c>
      <c r="AM54" t="e">
        <f>'Technical Skills Weighting'!BG3+"`FU!$?x"</f>
        <v>#VALUE!</v>
      </c>
      <c r="AN54" t="e">
        <f>'Technical Skills Weighting'!BH3+"`FU!$?y"</f>
        <v>#VALUE!</v>
      </c>
      <c r="AO54" t="e">
        <f>'Technical Skills Weighting'!BI3+"`FU!$?z"</f>
        <v>#VALUE!</v>
      </c>
      <c r="AP54" t="e">
        <f>'Technical Skills Weighting'!BJ3+"`FU!$?{"</f>
        <v>#VALUE!</v>
      </c>
      <c r="AQ54" t="e">
        <f>'Technical Skills Weighting'!BK3+"`FU!$?|"</f>
        <v>#VALUE!</v>
      </c>
      <c r="AR54" t="e">
        <f>'Technical Skills Weighting'!BL3+"`FU!$?}"</f>
        <v>#VALUE!</v>
      </c>
      <c r="AS54" t="e">
        <f>'Technical Skills Weighting'!BM3+"`FU!$?~"</f>
        <v>#VALUE!</v>
      </c>
      <c r="AT54" t="e">
        <f>'Technical Skills Weighting'!BN3+"`FU!$@#"</f>
        <v>#VALUE!</v>
      </c>
      <c r="AU54" t="e">
        <f>'Technical Skills Weighting'!BO3+"`FU!$@$"</f>
        <v>#VALUE!</v>
      </c>
      <c r="AV54" t="e">
        <f>'Technical Skills Weighting'!BP3+"`FU!$@%"</f>
        <v>#VALUE!</v>
      </c>
      <c r="AW54" t="e">
        <f>'Technical Skills Weighting'!BQ3+"`FU!$@&amp;"</f>
        <v>#VALUE!</v>
      </c>
      <c r="AX54" t="e">
        <f>'Technical Skills Weighting'!BR3+"`FU!$@'"</f>
        <v>#VALUE!</v>
      </c>
      <c r="AY54" t="e">
        <f>'Technical Skills Weighting'!BS3+"`FU!$@("</f>
        <v>#VALUE!</v>
      </c>
      <c r="AZ54" t="e">
        <f>'Technical Skills Weighting'!BT3+"`FU!$@)"</f>
        <v>#VALUE!</v>
      </c>
      <c r="BA54" t="e">
        <f>'Technical Skills Weighting'!BU3+"`FU!$@."</f>
        <v>#VALUE!</v>
      </c>
      <c r="BB54" t="e">
        <f>'Technical Skills Weighting'!BV3+"`FU!$@/"</f>
        <v>#VALUE!</v>
      </c>
      <c r="BC54" t="e">
        <f>'Technical Skills Weighting'!BW3+"`FU!$@0"</f>
        <v>#VALUE!</v>
      </c>
      <c r="BD54" t="e">
        <f>'Technical Skills Weighting'!BX3+"`FU!$@1"</f>
        <v>#VALUE!</v>
      </c>
      <c r="BE54" t="e">
        <f>'Technical Skills Weighting'!BY3+"`FU!$@2"</f>
        <v>#VALUE!</v>
      </c>
      <c r="BF54" t="e">
        <f>'Technical Skills Weighting'!BZ3+"`FU!$@3"</f>
        <v>#VALUE!</v>
      </c>
      <c r="BG54" t="e">
        <f>'Technical Skills Weighting'!CA3+"`FU!$@4"</f>
        <v>#VALUE!</v>
      </c>
      <c r="BH54" t="e">
        <f>'Technical Skills Weighting'!CB3+"`FU!$@5"</f>
        <v>#VALUE!</v>
      </c>
      <c r="BI54" t="e">
        <f>'Technical Skills Weighting'!CC3+"`FU!$@6"</f>
        <v>#VALUE!</v>
      </c>
      <c r="BJ54" t="e">
        <f>'Technical Skills Weighting'!CD3+"`FU!$@7"</f>
        <v>#VALUE!</v>
      </c>
      <c r="BK54" t="e">
        <f>'Technical Skills Weighting'!CE3+"`FU!$@8"</f>
        <v>#VALUE!</v>
      </c>
      <c r="BL54" t="e">
        <f>'Technical Skills Weighting'!CF3+"`FU!$@9"</f>
        <v>#VALUE!</v>
      </c>
      <c r="BM54" t="e">
        <f>'Technical Skills Weighting'!CG3+"`FU!$@:"</f>
        <v>#VALUE!</v>
      </c>
      <c r="BN54" t="e">
        <f>'Technical Skills Weighting'!CH3+"`FU!$@;"</f>
        <v>#VALUE!</v>
      </c>
      <c r="BO54" t="e">
        <f>'Technical Skills Weighting'!CI3+"`FU!$@&lt;"</f>
        <v>#VALUE!</v>
      </c>
      <c r="BP54" t="e">
        <f>'Technical Skills Weighting'!CJ3+"`FU!$@="</f>
        <v>#VALUE!</v>
      </c>
      <c r="BQ54" t="e">
        <f>'Technical Skills Weighting'!CK3+"`FU!$@&gt;"</f>
        <v>#VALUE!</v>
      </c>
      <c r="BR54" t="e">
        <f>'Technical Skills Weighting'!CL3+"`FU!$@?"</f>
        <v>#VALUE!</v>
      </c>
      <c r="BS54" t="e">
        <f>'Technical Skills Weighting'!CM3+"`FU!$@@"</f>
        <v>#VALUE!</v>
      </c>
      <c r="BT54" t="e">
        <f>'Technical Skills Weighting'!CN3+"`FU!$@A"</f>
        <v>#VALUE!</v>
      </c>
      <c r="BU54" t="e">
        <f>'Technical Skills Weighting'!CO3+"`FU!$@B"</f>
        <v>#VALUE!</v>
      </c>
      <c r="BV54" t="e">
        <f>'Technical Skills Weighting'!CP3+"`FU!$@C"</f>
        <v>#VALUE!</v>
      </c>
      <c r="BW54" t="e">
        <f>'Technical Skills Weighting'!CQ3+"`FU!$@D"</f>
        <v>#VALUE!</v>
      </c>
      <c r="BX54" t="e">
        <f>'Technical Skills Weighting'!CR3+"`FU!$@E"</f>
        <v>#VALUE!</v>
      </c>
      <c r="BY54" t="e">
        <f>'Technical Skills Weighting'!CS3+"`FU!$@F"</f>
        <v>#VALUE!</v>
      </c>
      <c r="BZ54" t="e">
        <f>'Technical Skills Weighting'!CT3+"`FU!$@G"</f>
        <v>#VALUE!</v>
      </c>
      <c r="CA54" t="e">
        <f>'Technical Skills Weighting'!CU3+"`FU!$@H"</f>
        <v>#VALUE!</v>
      </c>
      <c r="CB54" t="e">
        <f>'Technical Skills Weighting'!CV3+"`FU!$@I"</f>
        <v>#VALUE!</v>
      </c>
      <c r="CC54" t="e">
        <f>'Technical Skills Weighting'!CW3+"`FU!$@J"</f>
        <v>#VALUE!</v>
      </c>
      <c r="CD54" t="e">
        <f>'Technical Skills Weighting'!CX3+"`FU!$@K"</f>
        <v>#VALUE!</v>
      </c>
      <c r="CE54" t="e">
        <f>'Technical Skills Weighting'!CY3+"`FU!$@L"</f>
        <v>#VALUE!</v>
      </c>
      <c r="CF54" t="e">
        <f>'Technical Skills Weighting'!CZ3+"`FU!$@M"</f>
        <v>#VALUE!</v>
      </c>
      <c r="CG54" t="e">
        <f>'Technical Skills Weighting'!DA3+"`FU!$@N"</f>
        <v>#VALUE!</v>
      </c>
      <c r="CH54" t="e">
        <f>'Technical Skills Weighting'!DB3+"`FU!$@O"</f>
        <v>#VALUE!</v>
      </c>
      <c r="CI54" t="e">
        <f>'Technical Skills Weighting'!DC3+"`FU!$@P"</f>
        <v>#VALUE!</v>
      </c>
      <c r="CJ54" t="e">
        <f>'Technical Skills Weighting'!DD3+"`FU!$@Q"</f>
        <v>#VALUE!</v>
      </c>
      <c r="CK54" t="e">
        <f>'Technical Skills Weighting'!DE3+"`FU!$@R"</f>
        <v>#VALUE!</v>
      </c>
      <c r="CL54" t="e">
        <f>'Technical Skills Weighting'!DF3+"`FU!$@S"</f>
        <v>#VALUE!</v>
      </c>
      <c r="CM54" t="e">
        <f>'Technical Skills Weighting'!DG3+"`FU!$@T"</f>
        <v>#VALUE!</v>
      </c>
      <c r="CN54" t="e">
        <f>'Technical Skills Weighting'!DH3+"`FU!$@U"</f>
        <v>#VALUE!</v>
      </c>
      <c r="CO54" t="e">
        <f>'Technical Skills Weighting'!DI3+"`FU!$@V"</f>
        <v>#VALUE!</v>
      </c>
      <c r="CP54" t="e">
        <f>'Technical Skills Weighting'!DJ3+"`FU!$@W"</f>
        <v>#VALUE!</v>
      </c>
      <c r="CQ54" t="e">
        <f>'Technical Skills Weighting'!DK3+"`FU!$@X"</f>
        <v>#VALUE!</v>
      </c>
      <c r="CR54" t="e">
        <f>'Technical Skills Weighting'!DL3+"`FU!$@Y"</f>
        <v>#VALUE!</v>
      </c>
      <c r="CS54" t="e">
        <f>'Technical Skills Weighting'!DM3+"`FU!$@Z"</f>
        <v>#VALUE!</v>
      </c>
      <c r="CT54" t="e">
        <f>'Technical Skills Weighting'!DN3+"`FU!$@["</f>
        <v>#VALUE!</v>
      </c>
      <c r="CU54" t="e">
        <f>'Technical Skills Weighting'!DO3+"`FU!$@\"</f>
        <v>#VALUE!</v>
      </c>
      <c r="CV54" t="e">
        <f>'Technical Skills Weighting'!DP3+"`FU!$@]"</f>
        <v>#VALUE!</v>
      </c>
      <c r="CW54" t="e">
        <f>'Technical Skills Weighting'!DQ3+"`FU!$@^"</f>
        <v>#VALUE!</v>
      </c>
      <c r="CX54" t="e">
        <f>'Technical Skills Weighting'!DR3+"`FU!$@_"</f>
        <v>#VALUE!</v>
      </c>
      <c r="CY54" t="e">
        <f>'Technical Skills Weighting'!DS3+"`FU!$@`"</f>
        <v>#VALUE!</v>
      </c>
      <c r="CZ54" t="e">
        <f>'Technical Skills Weighting'!DT3+"`FU!$@a"</f>
        <v>#VALUE!</v>
      </c>
      <c r="DA54" t="e">
        <f>'Technical Skills Weighting'!DU3+"`FU!$@b"</f>
        <v>#VALUE!</v>
      </c>
      <c r="DB54" t="e">
        <f>'Technical Skills Weighting'!DV3+"`FU!$@c"</f>
        <v>#VALUE!</v>
      </c>
      <c r="DC54" t="e">
        <f>'Technical Skills Weighting'!DW3+"`FU!$@d"</f>
        <v>#VALUE!</v>
      </c>
      <c r="DD54" t="e">
        <f>'Technical Skills Weighting'!DX3+"`FU!$@e"</f>
        <v>#VALUE!</v>
      </c>
      <c r="DE54" t="e">
        <f>'Technical Skills Weighting'!DY3+"`FU!$@f"</f>
        <v>#VALUE!</v>
      </c>
      <c r="DF54" t="e">
        <f>'Technical Skills Weighting'!DZ3+"`FU!$@g"</f>
        <v>#VALUE!</v>
      </c>
      <c r="DG54" t="e">
        <f>'Technical Skills Weighting'!EA3+"`FU!$@h"</f>
        <v>#VALUE!</v>
      </c>
      <c r="DH54" t="e">
        <f>'Technical Skills Weighting'!EB3+"`FU!$@i"</f>
        <v>#VALUE!</v>
      </c>
      <c r="DI54" t="e">
        <f>'Technical Skills Weighting'!EC3+"`FU!$@j"</f>
        <v>#VALUE!</v>
      </c>
      <c r="DJ54" t="e">
        <f>'Technical Skills Weighting'!ED3+"`FU!$@k"</f>
        <v>#VALUE!</v>
      </c>
      <c r="DK54" t="e">
        <f>'Technical Skills Weighting'!EE3+"`FU!$@l"</f>
        <v>#VALUE!</v>
      </c>
      <c r="DL54" t="e">
        <f>'Technical Skills Weighting'!EF3+"`FU!$@m"</f>
        <v>#VALUE!</v>
      </c>
      <c r="DM54" t="e">
        <f>'Technical Skills Weighting'!EG3+"`FU!$@n"</f>
        <v>#VALUE!</v>
      </c>
      <c r="DN54" t="e">
        <f>'Technical Skills Weighting'!EH3+"`FU!$@o"</f>
        <v>#VALUE!</v>
      </c>
      <c r="DO54" t="e">
        <f>'Technical Skills Weighting'!EI3+"`FU!$@p"</f>
        <v>#VALUE!</v>
      </c>
      <c r="DP54" t="e">
        <f>'Technical Skills Weighting'!EJ3+"`FU!$@q"</f>
        <v>#VALUE!</v>
      </c>
      <c r="DQ54" t="e">
        <f>'Technical Skills Weighting'!EK3+"`FU!$@r"</f>
        <v>#VALUE!</v>
      </c>
      <c r="DR54" t="e">
        <f>'Technical Skills Weighting'!EL3+"`FU!$@s"</f>
        <v>#VALUE!</v>
      </c>
      <c r="DS54" t="e">
        <f>'Technical Skills Weighting'!EM3+"`FU!$@t"</f>
        <v>#VALUE!</v>
      </c>
      <c r="DT54" t="e">
        <f>'Technical Skills Weighting'!EN3+"`FU!$@u"</f>
        <v>#VALUE!</v>
      </c>
      <c r="DU54" t="e">
        <f>'Technical Skills Weighting'!EO3+"`FU!$@v"</f>
        <v>#VALUE!</v>
      </c>
      <c r="DV54" t="e">
        <f>'Technical Skills Weighting'!EP3+"`FU!$@w"</f>
        <v>#VALUE!</v>
      </c>
      <c r="DW54" t="e">
        <f>'Technical Skills Weighting'!EQ3+"`FU!$@x"</f>
        <v>#VALUE!</v>
      </c>
      <c r="DX54" t="e">
        <f>'Technical Skills Weighting'!ER3+"`FU!$@y"</f>
        <v>#VALUE!</v>
      </c>
      <c r="DY54" t="e">
        <f>'Technical Skills Weighting'!ES3+"`FU!$@z"</f>
        <v>#VALUE!</v>
      </c>
      <c r="DZ54" t="e">
        <f>'Technical Skills Weighting'!ET3+"`FU!$@{"</f>
        <v>#VALUE!</v>
      </c>
      <c r="EA54" t="e">
        <f>'Technical Skills Weighting'!EU3+"`FU!$@|"</f>
        <v>#VALUE!</v>
      </c>
      <c r="EB54" t="e">
        <f>'Technical Skills Weighting'!EV3+"`FU!$@}"</f>
        <v>#VALUE!</v>
      </c>
      <c r="EC54" t="e">
        <f>'Technical Skills Weighting'!EW3+"`FU!$@~"</f>
        <v>#VALUE!</v>
      </c>
      <c r="ED54" t="e">
        <f>'Technical Skills Weighting'!EX3+"`FU!$A#"</f>
        <v>#VALUE!</v>
      </c>
      <c r="EE54" t="e">
        <f>'Technical Skills Weighting'!EY3+"`FU!$A$"</f>
        <v>#VALUE!</v>
      </c>
      <c r="EF54" t="e">
        <f>'Technical Skills Weighting'!EZ3+"`FU!$A%"</f>
        <v>#VALUE!</v>
      </c>
      <c r="EG54" t="e">
        <f>'Technical Skills Weighting'!FA3+"`FU!$A&amp;"</f>
        <v>#VALUE!</v>
      </c>
      <c r="EH54" t="e">
        <f>'Technical Skills Weighting'!FB3+"`FU!$A'"</f>
        <v>#VALUE!</v>
      </c>
      <c r="EI54" t="e">
        <f>'Technical Skills Weighting'!FC3+"`FU!$A("</f>
        <v>#VALUE!</v>
      </c>
      <c r="EJ54" t="e">
        <f>'Technical Skills Weighting'!FD3+"`FU!$A)"</f>
        <v>#VALUE!</v>
      </c>
      <c r="EK54" t="e">
        <f>'Technical Skills Weighting'!FE3+"`FU!$A."</f>
        <v>#VALUE!</v>
      </c>
      <c r="EL54" t="e">
        <f>'Technical Skills Weighting'!FF3+"`FU!$A/"</f>
        <v>#VALUE!</v>
      </c>
      <c r="EM54" t="e">
        <f>'Technical Skills Weighting'!FG3+"`FU!$A0"</f>
        <v>#VALUE!</v>
      </c>
      <c r="EN54" t="e">
        <f>'Technical Skills Weighting'!FH3+"`FU!$A1"</f>
        <v>#VALUE!</v>
      </c>
      <c r="EO54" t="e">
        <f>'Technical Skills Weighting'!FI3+"`FU!$A2"</f>
        <v>#VALUE!</v>
      </c>
      <c r="EP54" t="e">
        <f>'Technical Skills Weighting'!FJ3+"`FU!$A3"</f>
        <v>#VALUE!</v>
      </c>
      <c r="EQ54" t="e">
        <f>'Technical Skills Weighting'!FK3+"`FU!$A4"</f>
        <v>#VALUE!</v>
      </c>
      <c r="ER54" t="e">
        <f>'Technical Skills Weighting'!FL3+"`FU!$A5"</f>
        <v>#VALUE!</v>
      </c>
      <c r="ES54" t="e">
        <f>'Technical Skills Weighting'!FM3+"`FU!$A6"</f>
        <v>#VALUE!</v>
      </c>
      <c r="ET54" t="e">
        <f>'Technical Skills Weighting'!FN3+"`FU!$A7"</f>
        <v>#VALUE!</v>
      </c>
      <c r="EU54" t="e">
        <f>'Technical Skills Weighting'!FO3+"`FU!$A8"</f>
        <v>#VALUE!</v>
      </c>
      <c r="EV54" t="e">
        <f>'Technical Skills Weighting'!FP3+"`FU!$A9"</f>
        <v>#VALUE!</v>
      </c>
      <c r="EW54" t="e">
        <f>'Technical Skills Weighting'!FQ3+"`FU!$A:"</f>
        <v>#VALUE!</v>
      </c>
      <c r="EX54" t="e">
        <f>'Technical Skills Weighting'!FR3+"`FU!$A;"</f>
        <v>#VALUE!</v>
      </c>
      <c r="EY54" t="e">
        <f>'Technical Skills Weighting'!FS3+"`FU!$A&lt;"</f>
        <v>#VALUE!</v>
      </c>
      <c r="EZ54" t="e">
        <f>'Technical Skills Weighting'!FT3+"`FU!$A="</f>
        <v>#VALUE!</v>
      </c>
      <c r="FA54" t="e">
        <f>'Technical Skills Weighting'!FU3+"`FU!$A&gt;"</f>
        <v>#VALUE!</v>
      </c>
      <c r="FB54" t="e">
        <f>'Technical Skills Weighting'!FV3+"`FU!$A?"</f>
        <v>#VALUE!</v>
      </c>
      <c r="FC54" t="e">
        <f>'Technical Skills Weighting'!FW3+"`FU!$A@"</f>
        <v>#VALUE!</v>
      </c>
      <c r="FD54" t="e">
        <f>'Technical Skills Weighting'!FX3+"`FU!$AA"</f>
        <v>#VALUE!</v>
      </c>
      <c r="FE54" t="e">
        <f>'Technical Skills Weighting'!FY3+"`FU!$AB"</f>
        <v>#VALUE!</v>
      </c>
      <c r="FF54" t="e">
        <f>'Technical Skills Weighting'!FZ3+"`FU!$AC"</f>
        <v>#VALUE!</v>
      </c>
      <c r="FG54" t="e">
        <f>'Technical Skills Weighting'!GA3+"`FU!$AD"</f>
        <v>#VALUE!</v>
      </c>
      <c r="FH54" t="e">
        <f>'Technical Skills Weighting'!GB3+"`FU!$AE"</f>
        <v>#VALUE!</v>
      </c>
      <c r="FI54" t="e">
        <f>'Technical Skills Weighting'!GC3+"`FU!$AF"</f>
        <v>#VALUE!</v>
      </c>
      <c r="FJ54" t="e">
        <f>'Technical Skills Weighting'!GD3+"`FU!$AG"</f>
        <v>#VALUE!</v>
      </c>
      <c r="FK54" t="e">
        <f>'Technical Skills Weighting'!GE3+"`FU!$AH"</f>
        <v>#VALUE!</v>
      </c>
      <c r="FL54" t="e">
        <f>'Technical Skills Weighting'!GF3+"`FU!$AI"</f>
        <v>#VALUE!</v>
      </c>
      <c r="FM54" t="e">
        <f>'Technical Skills Weighting'!GG3+"`FU!$AJ"</f>
        <v>#VALUE!</v>
      </c>
      <c r="FN54" t="e">
        <f>'Technical Skills Weighting'!GH3+"`FU!$AK"</f>
        <v>#VALUE!</v>
      </c>
      <c r="FO54" t="e">
        <f>'Technical Skills Weighting'!GI3+"`FU!$AL"</f>
        <v>#VALUE!</v>
      </c>
      <c r="FP54" t="e">
        <f>'Technical Skills Weighting'!A4+"`FU!$AM"</f>
        <v>#VALUE!</v>
      </c>
      <c r="FQ54" t="e">
        <f>'Technical Skills Weighting'!B4+"`FU!$AN"</f>
        <v>#VALUE!</v>
      </c>
      <c r="FR54" t="e">
        <f>'Technical Skills Weighting'!F4+"`FU!$AO"</f>
        <v>#VALUE!</v>
      </c>
      <c r="FS54" t="e">
        <f>'Technical Skills Weighting'!G4+"`FU!$AP"</f>
        <v>#VALUE!</v>
      </c>
      <c r="FT54" t="e">
        <f>'Technical Skills Weighting'!H4+"`FU!$AQ"</f>
        <v>#VALUE!</v>
      </c>
      <c r="FU54" t="e">
        <f>'Technical Skills Weighting'!I4+"`FU!$AR"</f>
        <v>#VALUE!</v>
      </c>
      <c r="FV54" t="e">
        <f>'Technical Skills Weighting'!J4+"`FU!$AS"</f>
        <v>#VALUE!</v>
      </c>
      <c r="FW54" t="e">
        <f>'Technical Skills Weighting'!K4+"`FU!$AT"</f>
        <v>#VALUE!</v>
      </c>
      <c r="FX54" t="e">
        <f>'Technical Skills Weighting'!L4+"`FU!$AU"</f>
        <v>#VALUE!</v>
      </c>
      <c r="FY54" t="e">
        <f>'Technical Skills Weighting'!M4+"`FU!$AV"</f>
        <v>#VALUE!</v>
      </c>
      <c r="FZ54" t="e">
        <f>'Technical Skills Weighting'!N4+"`FU!$AW"</f>
        <v>#VALUE!</v>
      </c>
      <c r="GA54" t="e">
        <f>'Technical Skills Weighting'!O4+"`FU!$AX"</f>
        <v>#VALUE!</v>
      </c>
      <c r="GB54" t="e">
        <f>'Technical Skills Weighting'!P4+"`FU!$AY"</f>
        <v>#VALUE!</v>
      </c>
      <c r="GC54" t="e">
        <f>'Technical Skills Weighting'!Q4+"`FU!$AZ"</f>
        <v>#VALUE!</v>
      </c>
      <c r="GD54" t="e">
        <f>'Technical Skills Weighting'!R4+"`FU!$A["</f>
        <v>#VALUE!</v>
      </c>
      <c r="GE54" t="e">
        <f>'Technical Skills Weighting'!S4+"`FU!$A\"</f>
        <v>#VALUE!</v>
      </c>
      <c r="GF54" t="e">
        <f>'Technical Skills Weighting'!T4+"`FU!$A]"</f>
        <v>#VALUE!</v>
      </c>
      <c r="GG54" t="e">
        <f>'Technical Skills Weighting'!U4+"`FU!$A^"</f>
        <v>#VALUE!</v>
      </c>
      <c r="GH54" t="e">
        <f>'Technical Skills Weighting'!V4+"`FU!$A_"</f>
        <v>#VALUE!</v>
      </c>
      <c r="GI54" t="e">
        <f>'Technical Skills Weighting'!W4+"`FU!$A`"</f>
        <v>#VALUE!</v>
      </c>
      <c r="GJ54" t="e">
        <f>'Technical Skills Weighting'!X4+"`FU!$Aa"</f>
        <v>#VALUE!</v>
      </c>
      <c r="GK54" t="e">
        <f>'Technical Skills Weighting'!Y4+"`FU!$Ab"</f>
        <v>#VALUE!</v>
      </c>
      <c r="GL54" t="e">
        <f>'Technical Skills Weighting'!Z4+"`FU!$Ac"</f>
        <v>#VALUE!</v>
      </c>
      <c r="GM54" t="e">
        <f>'Technical Skills Weighting'!AA4+"`FU!$Ad"</f>
        <v>#VALUE!</v>
      </c>
      <c r="GN54" t="e">
        <f>'Technical Skills Weighting'!AB4+"`FU!$Ae"</f>
        <v>#VALUE!</v>
      </c>
      <c r="GO54" t="e">
        <f>'Technical Skills Weighting'!AC4+"`FU!$Af"</f>
        <v>#VALUE!</v>
      </c>
      <c r="GP54" t="e">
        <f>'Technical Skills Weighting'!AD4+"`FU!$Ag"</f>
        <v>#VALUE!</v>
      </c>
      <c r="GQ54" t="e">
        <f>'Technical Skills Weighting'!AE4+"`FU!$Ah"</f>
        <v>#VALUE!</v>
      </c>
      <c r="GR54" t="e">
        <f>'Technical Skills Weighting'!AF4+"`FU!$Ai"</f>
        <v>#VALUE!</v>
      </c>
      <c r="GS54" t="e">
        <f>'Technical Skills Weighting'!AG4+"`FU!$Aj"</f>
        <v>#VALUE!</v>
      </c>
      <c r="GT54" t="e">
        <f>'Technical Skills Weighting'!AH4+"`FU!$Ak"</f>
        <v>#VALUE!</v>
      </c>
      <c r="GU54" t="e">
        <f>'Technical Skills Weighting'!AI4+"`FU!$Al"</f>
        <v>#VALUE!</v>
      </c>
      <c r="GV54" t="e">
        <f>'Technical Skills Weighting'!AJ4+"`FU!$Am"</f>
        <v>#VALUE!</v>
      </c>
      <c r="GW54" t="e">
        <f>'Technical Skills Weighting'!AK4+"`FU!$An"</f>
        <v>#VALUE!</v>
      </c>
      <c r="GX54" t="e">
        <f>'Technical Skills Weighting'!AL4+"`FU!$Ao"</f>
        <v>#VALUE!</v>
      </c>
      <c r="GY54" t="e">
        <f>'Technical Skills Weighting'!AM4+"`FU!$Ap"</f>
        <v>#VALUE!</v>
      </c>
      <c r="GZ54" t="e">
        <f>'Technical Skills Weighting'!AN4+"`FU!$Aq"</f>
        <v>#VALUE!</v>
      </c>
      <c r="HA54" t="e">
        <f>'Technical Skills Weighting'!AO4+"`FU!$Ar"</f>
        <v>#VALUE!</v>
      </c>
      <c r="HB54" t="e">
        <f>'Technical Skills Weighting'!AP4+"`FU!$As"</f>
        <v>#VALUE!</v>
      </c>
      <c r="HC54" t="e">
        <f>'Technical Skills Weighting'!AQ4+"`FU!$At"</f>
        <v>#VALUE!</v>
      </c>
      <c r="HD54" t="e">
        <f>'Technical Skills Weighting'!AR4+"`FU!$Au"</f>
        <v>#VALUE!</v>
      </c>
      <c r="HE54" t="e">
        <f>'Technical Skills Weighting'!AS4+"`FU!$Av"</f>
        <v>#VALUE!</v>
      </c>
      <c r="HF54" t="e">
        <f>'Technical Skills Weighting'!AT4+"`FU!$Aw"</f>
        <v>#VALUE!</v>
      </c>
      <c r="HG54" t="e">
        <f>'Technical Skills Weighting'!AU4+"`FU!$Ax"</f>
        <v>#VALUE!</v>
      </c>
      <c r="HH54" t="e">
        <f>'Technical Skills Weighting'!AV4+"`FU!$Ay"</f>
        <v>#VALUE!</v>
      </c>
      <c r="HI54" t="e">
        <f>'Technical Skills Weighting'!AW4+"`FU!$Az"</f>
        <v>#VALUE!</v>
      </c>
      <c r="HJ54" t="e">
        <f>'Technical Skills Weighting'!AX4+"`FU!$A{"</f>
        <v>#VALUE!</v>
      </c>
      <c r="HK54" t="e">
        <f>'Technical Skills Weighting'!AY4+"`FU!$A|"</f>
        <v>#VALUE!</v>
      </c>
      <c r="HL54" t="e">
        <f>'Technical Skills Weighting'!AZ4+"`FU!$A}"</f>
        <v>#VALUE!</v>
      </c>
      <c r="HM54" t="e">
        <f>'Technical Skills Weighting'!BA4+"`FU!$A~"</f>
        <v>#VALUE!</v>
      </c>
      <c r="HN54" t="e">
        <f>'Technical Skills Weighting'!BB4+"`FU!$B#"</f>
        <v>#VALUE!</v>
      </c>
      <c r="HO54" t="e">
        <f>'Technical Skills Weighting'!BC4+"`FU!$B$"</f>
        <v>#VALUE!</v>
      </c>
      <c r="HP54" t="e">
        <f>'Technical Skills Weighting'!BD4+"`FU!$B%"</f>
        <v>#VALUE!</v>
      </c>
      <c r="HQ54" t="e">
        <f>'Technical Skills Weighting'!BE4+"`FU!$B&amp;"</f>
        <v>#VALUE!</v>
      </c>
      <c r="HR54" t="e">
        <f>'Technical Skills Weighting'!BF4+"`FU!$B'"</f>
        <v>#VALUE!</v>
      </c>
      <c r="HS54" t="e">
        <f>'Technical Skills Weighting'!BG4+"`FU!$B("</f>
        <v>#VALUE!</v>
      </c>
      <c r="HT54" t="e">
        <f>'Technical Skills Weighting'!BH4+"`FU!$B)"</f>
        <v>#VALUE!</v>
      </c>
      <c r="HU54" t="e">
        <f>'Technical Skills Weighting'!BI4+"`FU!$B."</f>
        <v>#VALUE!</v>
      </c>
      <c r="HV54" t="e">
        <f>'Technical Skills Weighting'!BJ4+"`FU!$B/"</f>
        <v>#VALUE!</v>
      </c>
      <c r="HW54" t="e">
        <f>'Technical Skills Weighting'!BK4+"`FU!$B0"</f>
        <v>#VALUE!</v>
      </c>
      <c r="HX54" t="e">
        <f>'Technical Skills Weighting'!BL4+"`FU!$B1"</f>
        <v>#VALUE!</v>
      </c>
      <c r="HY54" t="e">
        <f>'Technical Skills Weighting'!BM4+"`FU!$B2"</f>
        <v>#VALUE!</v>
      </c>
      <c r="HZ54" t="e">
        <f>'Technical Skills Weighting'!BN4+"`FU!$B3"</f>
        <v>#VALUE!</v>
      </c>
      <c r="IA54" t="e">
        <f>'Technical Skills Weighting'!BO4+"`FU!$B4"</f>
        <v>#VALUE!</v>
      </c>
      <c r="IB54" t="e">
        <f>'Technical Skills Weighting'!BP4+"`FU!$B5"</f>
        <v>#VALUE!</v>
      </c>
      <c r="IC54" t="e">
        <f>'Technical Skills Weighting'!BQ4+"`FU!$B6"</f>
        <v>#VALUE!</v>
      </c>
      <c r="ID54" t="e">
        <f>'Technical Skills Weighting'!BR4+"`FU!$B7"</f>
        <v>#VALUE!</v>
      </c>
      <c r="IE54" t="e">
        <f>'Technical Skills Weighting'!BS4+"`FU!$B8"</f>
        <v>#VALUE!</v>
      </c>
      <c r="IF54" t="e">
        <f>'Technical Skills Weighting'!BT4+"`FU!$B9"</f>
        <v>#VALUE!</v>
      </c>
      <c r="IG54" t="e">
        <f>'Technical Skills Weighting'!BU4+"`FU!$B:"</f>
        <v>#VALUE!</v>
      </c>
      <c r="IH54" t="e">
        <f>'Technical Skills Weighting'!BV4+"`FU!$B;"</f>
        <v>#VALUE!</v>
      </c>
      <c r="II54" t="e">
        <f>'Technical Skills Weighting'!BW4+"`FU!$B&lt;"</f>
        <v>#VALUE!</v>
      </c>
      <c r="IJ54" t="e">
        <f>'Technical Skills Weighting'!BX4+"`FU!$B="</f>
        <v>#VALUE!</v>
      </c>
      <c r="IK54" t="e">
        <f>'Technical Skills Weighting'!BY4+"`FU!$B&gt;"</f>
        <v>#VALUE!</v>
      </c>
      <c r="IL54" t="e">
        <f>'Technical Skills Weighting'!BZ4+"`FU!$B?"</f>
        <v>#VALUE!</v>
      </c>
      <c r="IM54" t="e">
        <f>'Technical Skills Weighting'!CA4+"`FU!$B@"</f>
        <v>#VALUE!</v>
      </c>
      <c r="IN54" t="e">
        <f>'Technical Skills Weighting'!CB4+"`FU!$BA"</f>
        <v>#VALUE!</v>
      </c>
      <c r="IO54" t="e">
        <f>'Technical Skills Weighting'!CC4+"`FU!$BB"</f>
        <v>#VALUE!</v>
      </c>
      <c r="IP54" t="e">
        <f>'Technical Skills Weighting'!CD4+"`FU!$BC"</f>
        <v>#VALUE!</v>
      </c>
      <c r="IQ54" t="e">
        <f>'Technical Skills Weighting'!CE4+"`FU!$BD"</f>
        <v>#VALUE!</v>
      </c>
      <c r="IR54" t="e">
        <f>'Technical Skills Weighting'!CF4+"`FU!$BE"</f>
        <v>#VALUE!</v>
      </c>
      <c r="IS54" t="e">
        <f>'Technical Skills Weighting'!CG4+"`FU!$BF"</f>
        <v>#VALUE!</v>
      </c>
      <c r="IT54" t="e">
        <f>'Technical Skills Weighting'!CH4+"`FU!$BG"</f>
        <v>#VALUE!</v>
      </c>
      <c r="IU54" t="e">
        <f>'Technical Skills Weighting'!CI4+"`FU!$BH"</f>
        <v>#VALUE!</v>
      </c>
      <c r="IV54" t="e">
        <f>'Technical Skills Weighting'!CJ4+"`FU!$BI"</f>
        <v>#VALUE!</v>
      </c>
    </row>
    <row r="55" spans="6:256" x14ac:dyDescent="0.25">
      <c r="F55" t="e">
        <f>'Technical Skills Weighting'!CK4+"`FU!$BJ"</f>
        <v>#VALUE!</v>
      </c>
      <c r="G55" t="e">
        <f>'Technical Skills Weighting'!CL4+"`FU!$BK"</f>
        <v>#VALUE!</v>
      </c>
      <c r="H55" t="e">
        <f>'Technical Skills Weighting'!CM4+"`FU!$BL"</f>
        <v>#VALUE!</v>
      </c>
      <c r="I55" t="e">
        <f>'Technical Skills Weighting'!CN4+"`FU!$BM"</f>
        <v>#VALUE!</v>
      </c>
      <c r="J55" t="e">
        <f>'Technical Skills Weighting'!CO4+"`FU!$BN"</f>
        <v>#VALUE!</v>
      </c>
      <c r="K55" t="e">
        <f>'Technical Skills Weighting'!CP4+"`FU!$BO"</f>
        <v>#VALUE!</v>
      </c>
      <c r="L55" t="e">
        <f>'Technical Skills Weighting'!CQ4+"`FU!$BP"</f>
        <v>#VALUE!</v>
      </c>
      <c r="M55" t="e">
        <f>'Technical Skills Weighting'!CR4+"`FU!$BQ"</f>
        <v>#VALUE!</v>
      </c>
      <c r="N55" t="e">
        <f>'Technical Skills Weighting'!CS4+"`FU!$BR"</f>
        <v>#VALUE!</v>
      </c>
      <c r="O55" t="e">
        <f>'Technical Skills Weighting'!CT4+"`FU!$BS"</f>
        <v>#VALUE!</v>
      </c>
      <c r="P55" t="e">
        <f>'Technical Skills Weighting'!CU4+"`FU!$BT"</f>
        <v>#VALUE!</v>
      </c>
      <c r="Q55" t="e">
        <f>'Technical Skills Weighting'!CV4+"`FU!$BU"</f>
        <v>#VALUE!</v>
      </c>
      <c r="R55" t="e">
        <f>'Technical Skills Weighting'!CW4+"`FU!$BV"</f>
        <v>#VALUE!</v>
      </c>
      <c r="S55" t="e">
        <f>'Technical Skills Weighting'!CX4+"`FU!$BW"</f>
        <v>#VALUE!</v>
      </c>
      <c r="T55" t="e">
        <f>'Technical Skills Weighting'!CY4+"`FU!$BX"</f>
        <v>#VALUE!</v>
      </c>
      <c r="U55" t="e">
        <f>'Technical Skills Weighting'!CZ4+"`FU!$BY"</f>
        <v>#VALUE!</v>
      </c>
      <c r="V55" t="e">
        <f>'Technical Skills Weighting'!DA4+"`FU!$BZ"</f>
        <v>#VALUE!</v>
      </c>
      <c r="W55" t="e">
        <f>'Technical Skills Weighting'!DB4+"`FU!$B["</f>
        <v>#VALUE!</v>
      </c>
      <c r="X55" t="e">
        <f>'Technical Skills Weighting'!DC4+"`FU!$B\"</f>
        <v>#VALUE!</v>
      </c>
      <c r="Y55" t="e">
        <f>'Technical Skills Weighting'!DD4+"`FU!$B]"</f>
        <v>#VALUE!</v>
      </c>
      <c r="Z55" t="e">
        <f>'Technical Skills Weighting'!DE4+"`FU!$B^"</f>
        <v>#VALUE!</v>
      </c>
      <c r="AA55" t="e">
        <f>'Technical Skills Weighting'!DF4+"`FU!$B_"</f>
        <v>#VALUE!</v>
      </c>
      <c r="AB55" t="e">
        <f>'Technical Skills Weighting'!DG4+"`FU!$B`"</f>
        <v>#VALUE!</v>
      </c>
      <c r="AC55" t="e">
        <f>'Technical Skills Weighting'!DH4+"`FU!$Ba"</f>
        <v>#VALUE!</v>
      </c>
      <c r="AD55" t="e">
        <f>'Technical Skills Weighting'!DI4+"`FU!$Bb"</f>
        <v>#VALUE!</v>
      </c>
      <c r="AE55" t="e">
        <f>'Technical Skills Weighting'!DJ4+"`FU!$Bc"</f>
        <v>#VALUE!</v>
      </c>
      <c r="AF55" t="e">
        <f>'Technical Skills Weighting'!DK4+"`FU!$Bd"</f>
        <v>#VALUE!</v>
      </c>
      <c r="AG55" t="e">
        <f>'Technical Skills Weighting'!DL4+"`FU!$Be"</f>
        <v>#VALUE!</v>
      </c>
      <c r="AH55" t="e">
        <f>'Technical Skills Weighting'!DM4+"`FU!$Bf"</f>
        <v>#VALUE!</v>
      </c>
      <c r="AI55" t="e">
        <f>'Technical Skills Weighting'!DN4+"`FU!$Bg"</f>
        <v>#VALUE!</v>
      </c>
      <c r="AJ55" t="e">
        <f>'Technical Skills Weighting'!DO4+"`FU!$Bh"</f>
        <v>#VALUE!</v>
      </c>
      <c r="AK55" t="e">
        <f>'Technical Skills Weighting'!DP4+"`FU!$Bi"</f>
        <v>#VALUE!</v>
      </c>
      <c r="AL55" t="e">
        <f>'Technical Skills Weighting'!DQ4+"`FU!$Bj"</f>
        <v>#VALUE!</v>
      </c>
      <c r="AM55" t="e">
        <f>'Technical Skills Weighting'!DR4+"`FU!$Bk"</f>
        <v>#VALUE!</v>
      </c>
      <c r="AN55" t="e">
        <f>'Technical Skills Weighting'!DS4+"`FU!$Bl"</f>
        <v>#VALUE!</v>
      </c>
      <c r="AO55" t="e">
        <f>'Technical Skills Weighting'!DT4+"`FU!$Bm"</f>
        <v>#VALUE!</v>
      </c>
      <c r="AP55" t="e">
        <f>'Technical Skills Weighting'!DU4+"`FU!$Bn"</f>
        <v>#VALUE!</v>
      </c>
      <c r="AQ55" t="e">
        <f>'Technical Skills Weighting'!DV4+"`FU!$Bo"</f>
        <v>#VALUE!</v>
      </c>
      <c r="AR55" t="e">
        <f>'Technical Skills Weighting'!DW4+"`FU!$Bp"</f>
        <v>#VALUE!</v>
      </c>
      <c r="AS55" t="e">
        <f>'Technical Skills Weighting'!DX4+"`FU!$Bq"</f>
        <v>#VALUE!</v>
      </c>
      <c r="AT55" t="e">
        <f>'Technical Skills Weighting'!DY4+"`FU!$Br"</f>
        <v>#VALUE!</v>
      </c>
      <c r="AU55" t="e">
        <f>'Technical Skills Weighting'!DZ4+"`FU!$Bs"</f>
        <v>#VALUE!</v>
      </c>
      <c r="AV55" t="e">
        <f>'Technical Skills Weighting'!EA4+"`FU!$Bt"</f>
        <v>#VALUE!</v>
      </c>
      <c r="AW55" t="e">
        <f>'Technical Skills Weighting'!EB4+"`FU!$Bu"</f>
        <v>#VALUE!</v>
      </c>
      <c r="AX55" t="e">
        <f>'Technical Skills Weighting'!EC4+"`FU!$Bv"</f>
        <v>#VALUE!</v>
      </c>
      <c r="AY55" t="e">
        <f>'Technical Skills Weighting'!ED4+"`FU!$Bw"</f>
        <v>#VALUE!</v>
      </c>
      <c r="AZ55" t="e">
        <f>'Technical Skills Weighting'!EE4+"`FU!$Bx"</f>
        <v>#VALUE!</v>
      </c>
      <c r="BA55" t="e">
        <f>'Technical Skills Weighting'!EF4+"`FU!$By"</f>
        <v>#VALUE!</v>
      </c>
      <c r="BB55" t="e">
        <f>'Technical Skills Weighting'!EG4+"`FU!$Bz"</f>
        <v>#VALUE!</v>
      </c>
      <c r="BC55" t="e">
        <f>'Technical Skills Weighting'!EH4+"`FU!$B{"</f>
        <v>#VALUE!</v>
      </c>
      <c r="BD55" t="e">
        <f>'Technical Skills Weighting'!EI4+"`FU!$B|"</f>
        <v>#VALUE!</v>
      </c>
      <c r="BE55" t="e">
        <f>'Technical Skills Weighting'!EJ4+"`FU!$B}"</f>
        <v>#VALUE!</v>
      </c>
      <c r="BF55" t="e">
        <f>'Technical Skills Weighting'!EK4+"`FU!$B~"</f>
        <v>#VALUE!</v>
      </c>
      <c r="BG55" t="e">
        <f>'Technical Skills Weighting'!EL4+"`FU!$C#"</f>
        <v>#VALUE!</v>
      </c>
      <c r="BH55" t="e">
        <f>'Technical Skills Weighting'!EM4+"`FU!$C$"</f>
        <v>#VALUE!</v>
      </c>
      <c r="BI55" t="e">
        <f>'Technical Skills Weighting'!EN4+"`FU!$C%"</f>
        <v>#VALUE!</v>
      </c>
      <c r="BJ55" t="e">
        <f>'Technical Skills Weighting'!EO4+"`FU!$C&amp;"</f>
        <v>#VALUE!</v>
      </c>
      <c r="BK55" t="e">
        <f>'Technical Skills Weighting'!EP4+"`FU!$C'"</f>
        <v>#VALUE!</v>
      </c>
      <c r="BL55" t="e">
        <f>'Technical Skills Weighting'!EQ4+"`FU!$C("</f>
        <v>#VALUE!</v>
      </c>
      <c r="BM55" t="e">
        <f>'Technical Skills Weighting'!ER4+"`FU!$C)"</f>
        <v>#VALUE!</v>
      </c>
      <c r="BN55" t="e">
        <f>'Technical Skills Weighting'!ES4+"`FU!$C."</f>
        <v>#VALUE!</v>
      </c>
      <c r="BO55" t="e">
        <f>'Technical Skills Weighting'!ET4+"`FU!$C/"</f>
        <v>#VALUE!</v>
      </c>
      <c r="BP55" t="e">
        <f>'Technical Skills Weighting'!EU4+"`FU!$C0"</f>
        <v>#VALUE!</v>
      </c>
      <c r="BQ55" t="e">
        <f>'Technical Skills Weighting'!EV4+"`FU!$C1"</f>
        <v>#VALUE!</v>
      </c>
      <c r="BR55" t="e">
        <f>'Technical Skills Weighting'!EW4+"`FU!$C2"</f>
        <v>#VALUE!</v>
      </c>
      <c r="BS55" t="e">
        <f>'Technical Skills Weighting'!EX4+"`FU!$C3"</f>
        <v>#VALUE!</v>
      </c>
      <c r="BT55" t="e">
        <f>'Technical Skills Weighting'!EY4+"`FU!$C4"</f>
        <v>#VALUE!</v>
      </c>
      <c r="BU55" t="e">
        <f>'Technical Skills Weighting'!EZ4+"`FU!$C5"</f>
        <v>#VALUE!</v>
      </c>
      <c r="BV55" t="e">
        <f>'Technical Skills Weighting'!FA4+"`FU!$C6"</f>
        <v>#VALUE!</v>
      </c>
      <c r="BW55" t="e">
        <f>'Technical Skills Weighting'!FB4+"`FU!$C7"</f>
        <v>#VALUE!</v>
      </c>
      <c r="BX55" t="e">
        <f>'Technical Skills Weighting'!FC4+"`FU!$C8"</f>
        <v>#VALUE!</v>
      </c>
      <c r="BY55" t="e">
        <f>'Technical Skills Weighting'!FD4+"`FU!$C9"</f>
        <v>#VALUE!</v>
      </c>
      <c r="BZ55" t="e">
        <f>'Technical Skills Weighting'!FE4+"`FU!$C:"</f>
        <v>#VALUE!</v>
      </c>
      <c r="CA55" t="e">
        <f>'Technical Skills Weighting'!FF4+"`FU!$C;"</f>
        <v>#VALUE!</v>
      </c>
      <c r="CB55" t="e">
        <f>'Technical Skills Weighting'!FG4+"`FU!$C&lt;"</f>
        <v>#VALUE!</v>
      </c>
      <c r="CC55" t="e">
        <f>'Technical Skills Weighting'!FH4+"`FU!$C="</f>
        <v>#VALUE!</v>
      </c>
      <c r="CD55" t="e">
        <f>'Technical Skills Weighting'!FI4+"`FU!$C&gt;"</f>
        <v>#VALUE!</v>
      </c>
      <c r="CE55" t="e">
        <f>'Technical Skills Weighting'!FJ4+"`FU!$C?"</f>
        <v>#VALUE!</v>
      </c>
      <c r="CF55" t="e">
        <f>'Technical Skills Weighting'!FK4+"`FU!$C@"</f>
        <v>#VALUE!</v>
      </c>
      <c r="CG55" t="e">
        <f>'Technical Skills Weighting'!FL4+"`FU!$CA"</f>
        <v>#VALUE!</v>
      </c>
      <c r="CH55" t="e">
        <f>'Technical Skills Weighting'!FM4+"`FU!$CB"</f>
        <v>#VALUE!</v>
      </c>
      <c r="CI55" t="e">
        <f>'Technical Skills Weighting'!FN4+"`FU!$CC"</f>
        <v>#VALUE!</v>
      </c>
      <c r="CJ55" t="e">
        <f>'Technical Skills Weighting'!FO4+"`FU!$CD"</f>
        <v>#VALUE!</v>
      </c>
      <c r="CK55" t="e">
        <f>'Technical Skills Weighting'!FP4+"`FU!$CE"</f>
        <v>#VALUE!</v>
      </c>
      <c r="CL55" t="e">
        <f>'Technical Skills Weighting'!FQ4+"`FU!$CF"</f>
        <v>#VALUE!</v>
      </c>
      <c r="CM55" t="e">
        <f>'Technical Skills Weighting'!FR4+"`FU!$CG"</f>
        <v>#VALUE!</v>
      </c>
      <c r="CN55" t="e">
        <f>'Technical Skills Weighting'!FS4+"`FU!$CH"</f>
        <v>#VALUE!</v>
      </c>
      <c r="CO55" t="e">
        <f>'Technical Skills Weighting'!FT4+"`FU!$CI"</f>
        <v>#VALUE!</v>
      </c>
      <c r="CP55" t="e">
        <f>'Technical Skills Weighting'!FU4+"`FU!$CJ"</f>
        <v>#VALUE!</v>
      </c>
      <c r="CQ55" t="e">
        <f>'Technical Skills Weighting'!FV4+"`FU!$CK"</f>
        <v>#VALUE!</v>
      </c>
      <c r="CR55" t="e">
        <f>'Technical Skills Weighting'!FW4+"`FU!$CL"</f>
        <v>#VALUE!</v>
      </c>
      <c r="CS55" t="e">
        <f>'Technical Skills Weighting'!FX4+"`FU!$CM"</f>
        <v>#VALUE!</v>
      </c>
      <c r="CT55" t="e">
        <f>'Technical Skills Weighting'!FY4+"`FU!$CN"</f>
        <v>#VALUE!</v>
      </c>
      <c r="CU55" t="e">
        <f>'Technical Skills Weighting'!FZ4+"`FU!$CO"</f>
        <v>#VALUE!</v>
      </c>
      <c r="CV55" t="e">
        <f>'Technical Skills Weighting'!GA4+"`FU!$CP"</f>
        <v>#VALUE!</v>
      </c>
      <c r="CW55" t="e">
        <f>'Technical Skills Weighting'!GB4+"`FU!$CQ"</f>
        <v>#VALUE!</v>
      </c>
      <c r="CX55" t="e">
        <f>'Technical Skills Weighting'!GC4+"`FU!$CR"</f>
        <v>#VALUE!</v>
      </c>
      <c r="CY55" t="e">
        <f>'Technical Skills Weighting'!GD4+"`FU!$CS"</f>
        <v>#VALUE!</v>
      </c>
      <c r="CZ55" t="e">
        <f>'Technical Skills Weighting'!GE4+"`FU!$CT"</f>
        <v>#VALUE!</v>
      </c>
      <c r="DA55" t="e">
        <f>'Technical Skills Weighting'!GF4+"`FU!$CU"</f>
        <v>#VALUE!</v>
      </c>
      <c r="DB55" t="e">
        <f>'Technical Skills Weighting'!GG4+"`FU!$CV"</f>
        <v>#VALUE!</v>
      </c>
      <c r="DC55" t="e">
        <f>'Technical Skills Weighting'!GH4+"`FU!$CW"</f>
        <v>#VALUE!</v>
      </c>
      <c r="DD55" t="e">
        <f>'Technical Skills Weighting'!GI4+"`FU!$CX"</f>
        <v>#VALUE!</v>
      </c>
      <c r="DE55" t="e">
        <f>'Technical Skills Weighting'!A5+"`FU!$CY"</f>
        <v>#VALUE!</v>
      </c>
      <c r="DF55" t="e">
        <f>'Technical Skills Weighting'!B5+"`FU!$CZ"</f>
        <v>#VALUE!</v>
      </c>
      <c r="DG55" t="e">
        <f>'Technical Skills Weighting'!F5+"`FU!$C["</f>
        <v>#VALUE!</v>
      </c>
      <c r="DH55" t="e">
        <f>'Technical Skills Weighting'!G5+"`FU!$C\"</f>
        <v>#VALUE!</v>
      </c>
      <c r="DI55" t="e">
        <f>'Technical Skills Weighting'!H5+"`FU!$C]"</f>
        <v>#VALUE!</v>
      </c>
      <c r="DJ55" t="e">
        <f>'Technical Skills Weighting'!I5+"`FU!$C^"</f>
        <v>#VALUE!</v>
      </c>
      <c r="DK55" t="e">
        <f>'Technical Skills Weighting'!J5+"`FU!$C_"</f>
        <v>#VALUE!</v>
      </c>
      <c r="DL55" t="e">
        <f>'Technical Skills Weighting'!K5+"`FU!$C`"</f>
        <v>#VALUE!</v>
      </c>
      <c r="DM55" t="e">
        <f>'Technical Skills Weighting'!L5+"`FU!$Ca"</f>
        <v>#VALUE!</v>
      </c>
      <c r="DN55" t="e">
        <f>'Technical Skills Weighting'!M5+"`FU!$Cb"</f>
        <v>#VALUE!</v>
      </c>
      <c r="DO55" t="e">
        <f>'Technical Skills Weighting'!N5+"`FU!$Cc"</f>
        <v>#VALUE!</v>
      </c>
      <c r="DP55" t="e">
        <f>'Technical Skills Weighting'!O5+"`FU!$Cd"</f>
        <v>#VALUE!</v>
      </c>
      <c r="DQ55" t="e">
        <f>'Technical Skills Weighting'!P5+"`FU!$Ce"</f>
        <v>#VALUE!</v>
      </c>
      <c r="DR55" t="e">
        <f>'Technical Skills Weighting'!Q5+"`FU!$Cf"</f>
        <v>#VALUE!</v>
      </c>
      <c r="DS55" t="e">
        <f>'Technical Skills Weighting'!R5+"`FU!$Cg"</f>
        <v>#VALUE!</v>
      </c>
      <c r="DT55" t="e">
        <f>'Technical Skills Weighting'!S5+"`FU!$Ch"</f>
        <v>#VALUE!</v>
      </c>
      <c r="DU55" t="e">
        <f>'Technical Skills Weighting'!T5+"`FU!$Ci"</f>
        <v>#VALUE!</v>
      </c>
      <c r="DV55" t="e">
        <f>'Technical Skills Weighting'!U5+"`FU!$Cj"</f>
        <v>#VALUE!</v>
      </c>
      <c r="DW55" t="e">
        <f>'Technical Skills Weighting'!V5+"`FU!$Ck"</f>
        <v>#VALUE!</v>
      </c>
      <c r="DX55" t="e">
        <f>'Technical Skills Weighting'!W5+"`FU!$Cl"</f>
        <v>#VALUE!</v>
      </c>
      <c r="DY55" t="e">
        <f>'Technical Skills Weighting'!X5+"`FU!$Cm"</f>
        <v>#VALUE!</v>
      </c>
      <c r="DZ55" t="e">
        <f>'Technical Skills Weighting'!Y5+"`FU!$Cn"</f>
        <v>#VALUE!</v>
      </c>
      <c r="EA55" t="e">
        <f>'Technical Skills Weighting'!Z5+"`FU!$Co"</f>
        <v>#VALUE!</v>
      </c>
      <c r="EB55" t="e">
        <f>'Technical Skills Weighting'!AA5+"`FU!$Cp"</f>
        <v>#VALUE!</v>
      </c>
      <c r="EC55" t="e">
        <f>'Technical Skills Weighting'!AB5+"`FU!$Cq"</f>
        <v>#VALUE!</v>
      </c>
      <c r="ED55" t="e">
        <f>'Technical Skills Weighting'!AC5+"`FU!$Cr"</f>
        <v>#VALUE!</v>
      </c>
      <c r="EE55" t="e">
        <f>'Technical Skills Weighting'!AD5+"`FU!$Cs"</f>
        <v>#VALUE!</v>
      </c>
      <c r="EF55" t="e">
        <f>'Technical Skills Weighting'!AE5+"`FU!$Ct"</f>
        <v>#VALUE!</v>
      </c>
      <c r="EG55" t="e">
        <f>'Technical Skills Weighting'!AF5+"`FU!$Cu"</f>
        <v>#VALUE!</v>
      </c>
      <c r="EH55" t="e">
        <f>'Technical Skills Weighting'!AG5+"`FU!$Cv"</f>
        <v>#VALUE!</v>
      </c>
      <c r="EI55" t="e">
        <f>'Technical Skills Weighting'!AH5+"`FU!$Cw"</f>
        <v>#VALUE!</v>
      </c>
      <c r="EJ55" t="e">
        <f>'Technical Skills Weighting'!AI5+"`FU!$Cx"</f>
        <v>#VALUE!</v>
      </c>
      <c r="EK55" t="e">
        <f>'Technical Skills Weighting'!AJ5+"`FU!$Cy"</f>
        <v>#VALUE!</v>
      </c>
      <c r="EL55" t="e">
        <f>'Technical Skills Weighting'!AK5+"`FU!$Cz"</f>
        <v>#VALUE!</v>
      </c>
      <c r="EM55" t="e">
        <f>'Technical Skills Weighting'!AL5+"`FU!$C{"</f>
        <v>#VALUE!</v>
      </c>
      <c r="EN55" t="e">
        <f>'Technical Skills Weighting'!AM5+"`FU!$C|"</f>
        <v>#VALUE!</v>
      </c>
      <c r="EO55" t="e">
        <f>'Technical Skills Weighting'!AN5+"`FU!$C}"</f>
        <v>#VALUE!</v>
      </c>
      <c r="EP55" t="e">
        <f>'Technical Skills Weighting'!AO5+"`FU!$C~"</f>
        <v>#VALUE!</v>
      </c>
      <c r="EQ55" t="e">
        <f>'Technical Skills Weighting'!AP5+"`FU!$D#"</f>
        <v>#VALUE!</v>
      </c>
      <c r="ER55" t="e">
        <f>'Technical Skills Weighting'!AQ5+"`FU!$D$"</f>
        <v>#VALUE!</v>
      </c>
      <c r="ES55" t="e">
        <f>'Technical Skills Weighting'!AR5+"`FU!$D%"</f>
        <v>#VALUE!</v>
      </c>
      <c r="ET55" t="e">
        <f>'Technical Skills Weighting'!AS5+"`FU!$D&amp;"</f>
        <v>#VALUE!</v>
      </c>
      <c r="EU55" t="e">
        <f>'Technical Skills Weighting'!AT5+"`FU!$D'"</f>
        <v>#VALUE!</v>
      </c>
      <c r="EV55" t="e">
        <f>'Technical Skills Weighting'!AU5+"`FU!$D("</f>
        <v>#VALUE!</v>
      </c>
      <c r="EW55" t="e">
        <f>'Technical Skills Weighting'!AV5+"`FU!$D)"</f>
        <v>#VALUE!</v>
      </c>
      <c r="EX55" t="e">
        <f>'Technical Skills Weighting'!AW5+"`FU!$D."</f>
        <v>#VALUE!</v>
      </c>
      <c r="EY55" t="e">
        <f>'Technical Skills Weighting'!AX5+"`FU!$D/"</f>
        <v>#VALUE!</v>
      </c>
      <c r="EZ55" t="e">
        <f>'Technical Skills Weighting'!AY5+"`FU!$D0"</f>
        <v>#VALUE!</v>
      </c>
      <c r="FA55" t="e">
        <f>'Technical Skills Weighting'!AZ5+"`FU!$D1"</f>
        <v>#VALUE!</v>
      </c>
      <c r="FB55" t="e">
        <f>'Technical Skills Weighting'!BA5+"`FU!$D2"</f>
        <v>#VALUE!</v>
      </c>
      <c r="FC55" t="e">
        <f>'Technical Skills Weighting'!BB5+"`FU!$D3"</f>
        <v>#VALUE!</v>
      </c>
      <c r="FD55" t="e">
        <f>'Technical Skills Weighting'!BC5+"`FU!$D4"</f>
        <v>#VALUE!</v>
      </c>
      <c r="FE55" t="e">
        <f>'Technical Skills Weighting'!BD5+"`FU!$D5"</f>
        <v>#VALUE!</v>
      </c>
      <c r="FF55" t="e">
        <f>'Technical Skills Weighting'!BE5+"`FU!$D6"</f>
        <v>#VALUE!</v>
      </c>
      <c r="FG55" t="e">
        <f>'Technical Skills Weighting'!BF5+"`FU!$D7"</f>
        <v>#VALUE!</v>
      </c>
      <c r="FH55" t="e">
        <f>'Technical Skills Weighting'!BG5+"`FU!$D8"</f>
        <v>#VALUE!</v>
      </c>
      <c r="FI55" t="e">
        <f>'Technical Skills Weighting'!BH5+"`FU!$D9"</f>
        <v>#VALUE!</v>
      </c>
      <c r="FJ55" t="e">
        <f>'Technical Skills Weighting'!BI5+"`FU!$D:"</f>
        <v>#VALUE!</v>
      </c>
      <c r="FK55" t="e">
        <f>'Technical Skills Weighting'!BJ5+"`FU!$D;"</f>
        <v>#VALUE!</v>
      </c>
      <c r="FL55" t="e">
        <f>'Technical Skills Weighting'!BK5+"`FU!$D&lt;"</f>
        <v>#VALUE!</v>
      </c>
      <c r="FM55" t="e">
        <f>'Technical Skills Weighting'!BL5+"`FU!$D="</f>
        <v>#VALUE!</v>
      </c>
      <c r="FN55" t="e">
        <f>'Technical Skills Weighting'!BM5+"`FU!$D&gt;"</f>
        <v>#VALUE!</v>
      </c>
      <c r="FO55" t="e">
        <f>'Technical Skills Weighting'!BN5+"`FU!$D?"</f>
        <v>#VALUE!</v>
      </c>
      <c r="FP55" t="e">
        <f>'Technical Skills Weighting'!BO5+"`FU!$D@"</f>
        <v>#VALUE!</v>
      </c>
      <c r="FQ55" t="e">
        <f>'Technical Skills Weighting'!BP5+"`FU!$DA"</f>
        <v>#VALUE!</v>
      </c>
      <c r="FR55" t="e">
        <f>'Technical Skills Weighting'!BQ5+"`FU!$DB"</f>
        <v>#VALUE!</v>
      </c>
      <c r="FS55" t="e">
        <f>'Technical Skills Weighting'!BR5+"`FU!$DC"</f>
        <v>#VALUE!</v>
      </c>
      <c r="FT55" t="e">
        <f>'Technical Skills Weighting'!BS5+"`FU!$DD"</f>
        <v>#VALUE!</v>
      </c>
      <c r="FU55" t="e">
        <f>'Technical Skills Weighting'!BT5+"`FU!$DE"</f>
        <v>#VALUE!</v>
      </c>
      <c r="FV55" t="e">
        <f>'Technical Skills Weighting'!BU5+"`FU!$DF"</f>
        <v>#VALUE!</v>
      </c>
      <c r="FW55" t="e">
        <f>'Technical Skills Weighting'!BV5+"`FU!$DG"</f>
        <v>#VALUE!</v>
      </c>
      <c r="FX55" t="e">
        <f>'Technical Skills Weighting'!BW5+"`FU!$DH"</f>
        <v>#VALUE!</v>
      </c>
      <c r="FY55" t="e">
        <f>'Technical Skills Weighting'!BX5+"`FU!$DI"</f>
        <v>#VALUE!</v>
      </c>
      <c r="FZ55" t="e">
        <f>'Technical Skills Weighting'!BY5+"`FU!$DJ"</f>
        <v>#VALUE!</v>
      </c>
      <c r="GA55" t="e">
        <f>'Technical Skills Weighting'!BZ5+"`FU!$DK"</f>
        <v>#VALUE!</v>
      </c>
      <c r="GB55" t="e">
        <f>'Technical Skills Weighting'!CA5+"`FU!$DL"</f>
        <v>#VALUE!</v>
      </c>
      <c r="GC55" t="e">
        <f>'Technical Skills Weighting'!CB5+"`FU!$DM"</f>
        <v>#VALUE!</v>
      </c>
      <c r="GD55" t="e">
        <f>'Technical Skills Weighting'!CC5+"`FU!$DN"</f>
        <v>#VALUE!</v>
      </c>
      <c r="GE55" t="e">
        <f>'Technical Skills Weighting'!CD5+"`FU!$DO"</f>
        <v>#VALUE!</v>
      </c>
      <c r="GF55" t="e">
        <f>'Technical Skills Weighting'!CE5+"`FU!$DP"</f>
        <v>#VALUE!</v>
      </c>
      <c r="GG55" t="e">
        <f>'Technical Skills Weighting'!CF5+"`FU!$DQ"</f>
        <v>#VALUE!</v>
      </c>
      <c r="GH55" t="e">
        <f>'Technical Skills Weighting'!CG5+"`FU!$DR"</f>
        <v>#VALUE!</v>
      </c>
      <c r="GI55" t="e">
        <f>'Technical Skills Weighting'!CH5+"`FU!$DS"</f>
        <v>#VALUE!</v>
      </c>
      <c r="GJ55" t="e">
        <f>'Technical Skills Weighting'!CI5+"`FU!$DT"</f>
        <v>#VALUE!</v>
      </c>
      <c r="GK55" t="e">
        <f>'Technical Skills Weighting'!CJ5+"`FU!$DU"</f>
        <v>#VALUE!</v>
      </c>
      <c r="GL55" t="e">
        <f>'Technical Skills Weighting'!CK5+"`FU!$DV"</f>
        <v>#VALUE!</v>
      </c>
      <c r="GM55" t="e">
        <f>'Technical Skills Weighting'!CL5+"`FU!$DW"</f>
        <v>#VALUE!</v>
      </c>
      <c r="GN55" t="e">
        <f>'Technical Skills Weighting'!CM5+"`FU!$DX"</f>
        <v>#VALUE!</v>
      </c>
      <c r="GO55" t="e">
        <f>'Technical Skills Weighting'!CN5+"`FU!$DY"</f>
        <v>#VALUE!</v>
      </c>
      <c r="GP55" t="e">
        <f>'Technical Skills Weighting'!CO5+"`FU!$DZ"</f>
        <v>#VALUE!</v>
      </c>
      <c r="GQ55" t="e">
        <f>'Technical Skills Weighting'!CP5+"`FU!$D["</f>
        <v>#VALUE!</v>
      </c>
      <c r="GR55" t="e">
        <f>'Technical Skills Weighting'!CQ5+"`FU!$D\"</f>
        <v>#VALUE!</v>
      </c>
      <c r="GS55" t="e">
        <f>'Technical Skills Weighting'!CR5+"`FU!$D]"</f>
        <v>#VALUE!</v>
      </c>
      <c r="GT55" t="e">
        <f>'Technical Skills Weighting'!CS5+"`FU!$D^"</f>
        <v>#VALUE!</v>
      </c>
      <c r="GU55" t="e">
        <f>'Technical Skills Weighting'!CT5+"`FU!$D_"</f>
        <v>#VALUE!</v>
      </c>
      <c r="GV55" t="e">
        <f>'Technical Skills Weighting'!CU5+"`FU!$D`"</f>
        <v>#VALUE!</v>
      </c>
      <c r="GW55" t="e">
        <f>'Technical Skills Weighting'!CV5+"`FU!$Da"</f>
        <v>#VALUE!</v>
      </c>
      <c r="GX55" t="e">
        <f>'Technical Skills Weighting'!CW5+"`FU!$Db"</f>
        <v>#VALUE!</v>
      </c>
      <c r="GY55" t="e">
        <f>'Technical Skills Weighting'!CX5+"`FU!$Dc"</f>
        <v>#VALUE!</v>
      </c>
      <c r="GZ55" t="e">
        <f>'Technical Skills Weighting'!CY5+"`FU!$Dd"</f>
        <v>#VALUE!</v>
      </c>
      <c r="HA55" t="e">
        <f>'Technical Skills Weighting'!CZ5+"`FU!$De"</f>
        <v>#VALUE!</v>
      </c>
      <c r="HB55" t="e">
        <f>'Technical Skills Weighting'!DA5+"`FU!$Df"</f>
        <v>#VALUE!</v>
      </c>
      <c r="HC55" t="e">
        <f>'Technical Skills Weighting'!DB5+"`FU!$Dg"</f>
        <v>#VALUE!</v>
      </c>
      <c r="HD55" t="e">
        <f>'Technical Skills Weighting'!DC5+"`FU!$Dh"</f>
        <v>#VALUE!</v>
      </c>
      <c r="HE55" t="e">
        <f>'Technical Skills Weighting'!DD5+"`FU!$Di"</f>
        <v>#VALUE!</v>
      </c>
      <c r="HF55" t="e">
        <f>'Technical Skills Weighting'!DE5+"`FU!$Dj"</f>
        <v>#VALUE!</v>
      </c>
      <c r="HG55" t="e">
        <f>'Technical Skills Weighting'!DF5+"`FU!$Dk"</f>
        <v>#VALUE!</v>
      </c>
      <c r="HH55" t="e">
        <f>'Technical Skills Weighting'!DG5+"`FU!$Dl"</f>
        <v>#VALUE!</v>
      </c>
      <c r="HI55" t="e">
        <f>'Technical Skills Weighting'!DH5+"`FU!$Dm"</f>
        <v>#VALUE!</v>
      </c>
      <c r="HJ55" t="e">
        <f>'Technical Skills Weighting'!DI5+"`FU!$Dn"</f>
        <v>#VALUE!</v>
      </c>
      <c r="HK55" t="e">
        <f>'Technical Skills Weighting'!DJ5+"`FU!$Do"</f>
        <v>#VALUE!</v>
      </c>
      <c r="HL55" t="e">
        <f>'Technical Skills Weighting'!DK5+"`FU!$Dp"</f>
        <v>#VALUE!</v>
      </c>
      <c r="HM55" t="e">
        <f>'Technical Skills Weighting'!DL5+"`FU!$Dq"</f>
        <v>#VALUE!</v>
      </c>
      <c r="HN55" t="e">
        <f>'Technical Skills Weighting'!DM5+"`FU!$Dr"</f>
        <v>#VALUE!</v>
      </c>
      <c r="HO55" t="e">
        <f>'Technical Skills Weighting'!DN5+"`FU!$Ds"</f>
        <v>#VALUE!</v>
      </c>
      <c r="HP55" t="e">
        <f>'Technical Skills Weighting'!DO5+"`FU!$Dt"</f>
        <v>#VALUE!</v>
      </c>
      <c r="HQ55" t="e">
        <f>'Technical Skills Weighting'!DP5+"`FU!$Du"</f>
        <v>#VALUE!</v>
      </c>
      <c r="HR55" t="e">
        <f>'Technical Skills Weighting'!DQ5+"`FU!$Dv"</f>
        <v>#VALUE!</v>
      </c>
      <c r="HS55" t="e">
        <f>'Technical Skills Weighting'!DR5+"`FU!$Dw"</f>
        <v>#VALUE!</v>
      </c>
      <c r="HT55" t="e">
        <f>'Technical Skills Weighting'!DS5+"`FU!$Dx"</f>
        <v>#VALUE!</v>
      </c>
      <c r="HU55" t="e">
        <f>'Technical Skills Weighting'!DT5+"`FU!$Dy"</f>
        <v>#VALUE!</v>
      </c>
      <c r="HV55" t="e">
        <f>'Technical Skills Weighting'!DU5+"`FU!$Dz"</f>
        <v>#VALUE!</v>
      </c>
      <c r="HW55" t="e">
        <f>'Technical Skills Weighting'!DV5+"`FU!$D{"</f>
        <v>#VALUE!</v>
      </c>
      <c r="HX55" t="e">
        <f>'Technical Skills Weighting'!DW5+"`FU!$D|"</f>
        <v>#VALUE!</v>
      </c>
      <c r="HY55" t="e">
        <f>'Technical Skills Weighting'!DX5+"`FU!$D}"</f>
        <v>#VALUE!</v>
      </c>
      <c r="HZ55" t="e">
        <f>'Technical Skills Weighting'!DY5+"`FU!$D~"</f>
        <v>#VALUE!</v>
      </c>
      <c r="IA55" t="e">
        <f>'Technical Skills Weighting'!DZ5+"`FU!$E#"</f>
        <v>#VALUE!</v>
      </c>
      <c r="IB55" t="e">
        <f>'Technical Skills Weighting'!EA5+"`FU!$E$"</f>
        <v>#VALUE!</v>
      </c>
      <c r="IC55" t="e">
        <f>'Technical Skills Weighting'!EB5+"`FU!$E%"</f>
        <v>#VALUE!</v>
      </c>
      <c r="ID55" t="e">
        <f>'Technical Skills Weighting'!EC5+"`FU!$E&amp;"</f>
        <v>#VALUE!</v>
      </c>
      <c r="IE55" t="e">
        <f>'Technical Skills Weighting'!ED5+"`FU!$E'"</f>
        <v>#VALUE!</v>
      </c>
      <c r="IF55" t="e">
        <f>'Technical Skills Weighting'!EE5+"`FU!$E("</f>
        <v>#VALUE!</v>
      </c>
      <c r="IG55" t="e">
        <f>'Technical Skills Weighting'!EF5+"`FU!$E)"</f>
        <v>#VALUE!</v>
      </c>
      <c r="IH55" t="e">
        <f>'Technical Skills Weighting'!EG5+"`FU!$E."</f>
        <v>#VALUE!</v>
      </c>
      <c r="II55" t="e">
        <f>'Technical Skills Weighting'!EH5+"`FU!$E/"</f>
        <v>#VALUE!</v>
      </c>
      <c r="IJ55" t="e">
        <f>'Technical Skills Weighting'!EI5+"`FU!$E0"</f>
        <v>#VALUE!</v>
      </c>
      <c r="IK55" t="e">
        <f>'Technical Skills Weighting'!EJ5+"`FU!$E1"</f>
        <v>#VALUE!</v>
      </c>
      <c r="IL55" t="e">
        <f>'Technical Skills Weighting'!EK5+"`FU!$E2"</f>
        <v>#VALUE!</v>
      </c>
      <c r="IM55" t="e">
        <f>'Technical Skills Weighting'!EL5+"`FU!$E3"</f>
        <v>#VALUE!</v>
      </c>
      <c r="IN55" t="e">
        <f>'Technical Skills Weighting'!EM5+"`FU!$E4"</f>
        <v>#VALUE!</v>
      </c>
      <c r="IO55" t="e">
        <f>'Technical Skills Weighting'!EN5+"`FU!$E5"</f>
        <v>#VALUE!</v>
      </c>
      <c r="IP55" t="e">
        <f>'Technical Skills Weighting'!EO5+"`FU!$E6"</f>
        <v>#VALUE!</v>
      </c>
      <c r="IQ55" t="e">
        <f>'Technical Skills Weighting'!EP5+"`FU!$E7"</f>
        <v>#VALUE!</v>
      </c>
      <c r="IR55" t="e">
        <f>'Technical Skills Weighting'!EQ5+"`FU!$E8"</f>
        <v>#VALUE!</v>
      </c>
      <c r="IS55" t="e">
        <f>'Technical Skills Weighting'!ER5+"`FU!$E9"</f>
        <v>#VALUE!</v>
      </c>
      <c r="IT55" t="e">
        <f>'Technical Skills Weighting'!ES5+"`FU!$E:"</f>
        <v>#VALUE!</v>
      </c>
      <c r="IU55" t="e">
        <f>'Technical Skills Weighting'!ET5+"`FU!$E;"</f>
        <v>#VALUE!</v>
      </c>
      <c r="IV55" t="e">
        <f>'Technical Skills Weighting'!EU5+"`FU!$E&lt;"</f>
        <v>#VALUE!</v>
      </c>
    </row>
    <row r="56" spans="6:256" x14ac:dyDescent="0.25">
      <c r="F56" t="e">
        <f>'Technical Skills Weighting'!EV5+"`FU!$E="</f>
        <v>#VALUE!</v>
      </c>
      <c r="G56" t="e">
        <f>'Technical Skills Weighting'!EW5+"`FU!$E&gt;"</f>
        <v>#VALUE!</v>
      </c>
      <c r="H56" t="e">
        <f>'Technical Skills Weighting'!EX5+"`FU!$E?"</f>
        <v>#VALUE!</v>
      </c>
      <c r="I56" t="e">
        <f>'Technical Skills Weighting'!EY5+"`FU!$E@"</f>
        <v>#VALUE!</v>
      </c>
      <c r="J56" t="e">
        <f>'Technical Skills Weighting'!EZ5+"`FU!$EA"</f>
        <v>#VALUE!</v>
      </c>
      <c r="K56" t="e">
        <f>'Technical Skills Weighting'!FA5+"`FU!$EB"</f>
        <v>#VALUE!</v>
      </c>
      <c r="L56" t="e">
        <f>'Technical Skills Weighting'!FB5+"`FU!$EC"</f>
        <v>#VALUE!</v>
      </c>
      <c r="M56" t="e">
        <f>'Technical Skills Weighting'!FC5+"`FU!$ED"</f>
        <v>#VALUE!</v>
      </c>
      <c r="N56" t="e">
        <f>'Technical Skills Weighting'!FD5+"`FU!$EE"</f>
        <v>#VALUE!</v>
      </c>
      <c r="O56" t="e">
        <f>'Technical Skills Weighting'!FE5+"`FU!$EF"</f>
        <v>#VALUE!</v>
      </c>
      <c r="P56" t="e">
        <f>'Technical Skills Weighting'!FF5+"`FU!$EG"</f>
        <v>#VALUE!</v>
      </c>
      <c r="Q56" t="e">
        <f>'Technical Skills Weighting'!FG5+"`FU!$EH"</f>
        <v>#VALUE!</v>
      </c>
      <c r="R56" t="e">
        <f>'Technical Skills Weighting'!FH5+"`FU!$EI"</f>
        <v>#VALUE!</v>
      </c>
      <c r="S56" t="e">
        <f>'Technical Skills Weighting'!FI5+"`FU!$EJ"</f>
        <v>#VALUE!</v>
      </c>
      <c r="T56" t="e">
        <f>'Technical Skills Weighting'!FJ5+"`FU!$EK"</f>
        <v>#VALUE!</v>
      </c>
      <c r="U56" t="e">
        <f>'Technical Skills Weighting'!FK5+"`FU!$EL"</f>
        <v>#VALUE!</v>
      </c>
      <c r="V56" t="e">
        <f>'Technical Skills Weighting'!FL5+"`FU!$EM"</f>
        <v>#VALUE!</v>
      </c>
      <c r="W56" t="e">
        <f>'Technical Skills Weighting'!FM5+"`FU!$EN"</f>
        <v>#VALUE!</v>
      </c>
      <c r="X56" t="e">
        <f>'Technical Skills Weighting'!FN5+"`FU!$EO"</f>
        <v>#VALUE!</v>
      </c>
      <c r="Y56" t="e">
        <f>'Technical Skills Weighting'!FO5+"`FU!$EP"</f>
        <v>#VALUE!</v>
      </c>
      <c r="Z56" t="e">
        <f>'Technical Skills Weighting'!FP5+"`FU!$EQ"</f>
        <v>#VALUE!</v>
      </c>
      <c r="AA56" t="e">
        <f>'Technical Skills Weighting'!FQ5+"`FU!$ER"</f>
        <v>#VALUE!</v>
      </c>
      <c r="AB56" t="e">
        <f>'Technical Skills Weighting'!FR5+"`FU!$ES"</f>
        <v>#VALUE!</v>
      </c>
      <c r="AC56" t="e">
        <f>'Technical Skills Weighting'!FS5+"`FU!$ET"</f>
        <v>#VALUE!</v>
      </c>
      <c r="AD56" t="e">
        <f>'Technical Skills Weighting'!FT5+"`FU!$EU"</f>
        <v>#VALUE!</v>
      </c>
      <c r="AE56" t="e">
        <f>'Technical Skills Weighting'!FU5+"`FU!$EV"</f>
        <v>#VALUE!</v>
      </c>
      <c r="AF56" t="e">
        <f>'Technical Skills Weighting'!FV5+"`FU!$EW"</f>
        <v>#VALUE!</v>
      </c>
      <c r="AG56" t="e">
        <f>'Technical Skills Weighting'!FW5+"`FU!$EX"</f>
        <v>#VALUE!</v>
      </c>
      <c r="AH56" t="e">
        <f>'Technical Skills Weighting'!FX5+"`FU!$EY"</f>
        <v>#VALUE!</v>
      </c>
      <c r="AI56" t="e">
        <f>'Technical Skills Weighting'!FY5+"`FU!$EZ"</f>
        <v>#VALUE!</v>
      </c>
      <c r="AJ56" t="e">
        <f>'Technical Skills Weighting'!FZ5+"`FU!$E["</f>
        <v>#VALUE!</v>
      </c>
      <c r="AK56" t="e">
        <f>'Technical Skills Weighting'!GA5+"`FU!$E\"</f>
        <v>#VALUE!</v>
      </c>
      <c r="AL56" t="e">
        <f>'Technical Skills Weighting'!GB5+"`FU!$E]"</f>
        <v>#VALUE!</v>
      </c>
      <c r="AM56" t="e">
        <f>'Technical Skills Weighting'!GC5+"`FU!$E^"</f>
        <v>#VALUE!</v>
      </c>
      <c r="AN56" t="e">
        <f>'Technical Skills Weighting'!GD5+"`FU!$E_"</f>
        <v>#VALUE!</v>
      </c>
      <c r="AO56" t="e">
        <f>'Technical Skills Weighting'!GE5+"`FU!$E`"</f>
        <v>#VALUE!</v>
      </c>
      <c r="AP56" t="e">
        <f>'Technical Skills Weighting'!GF5+"`FU!$Ea"</f>
        <v>#VALUE!</v>
      </c>
      <c r="AQ56" t="e">
        <f>'Technical Skills Weighting'!GG5+"`FU!$Eb"</f>
        <v>#VALUE!</v>
      </c>
      <c r="AR56" t="e">
        <f>'Technical Skills Weighting'!GH5+"`FU!$Ec"</f>
        <v>#VALUE!</v>
      </c>
      <c r="AS56" t="e">
        <f>'Technical Skills Weighting'!GI5+"`FU!$Ed"</f>
        <v>#VALUE!</v>
      </c>
      <c r="AT56" t="e">
        <f>'Technical Skills Weighting'!F6+"`FU!$Ee"</f>
        <v>#VALUE!</v>
      </c>
      <c r="AU56" t="e">
        <f>'Technical Skills Weighting'!G6+"`FU!$Ef"</f>
        <v>#VALUE!</v>
      </c>
      <c r="AV56" t="e">
        <f>'Technical Skills Weighting'!H6+"`FU!$Eg"</f>
        <v>#VALUE!</v>
      </c>
      <c r="AW56" t="e">
        <f>'Technical Skills Weighting'!I6+"`FU!$Eh"</f>
        <v>#VALUE!</v>
      </c>
      <c r="AX56" t="e">
        <f>'Technical Skills Weighting'!J6+"`FU!$Ei"</f>
        <v>#VALUE!</v>
      </c>
      <c r="AY56" t="e">
        <f>'Technical Skills Weighting'!K6+"`FU!$Ej"</f>
        <v>#VALUE!</v>
      </c>
      <c r="AZ56" t="e">
        <f>'Technical Skills Weighting'!L6+"`FU!$Ek"</f>
        <v>#VALUE!</v>
      </c>
      <c r="BA56" t="e">
        <f>'Technical Skills Weighting'!M6+"`FU!$El"</f>
        <v>#VALUE!</v>
      </c>
      <c r="BB56" t="e">
        <f>'Technical Skills Weighting'!N6+"`FU!$Em"</f>
        <v>#VALUE!</v>
      </c>
      <c r="BC56" t="e">
        <f>'Technical Skills Weighting'!O6+"`FU!$En"</f>
        <v>#VALUE!</v>
      </c>
      <c r="BD56" t="e">
        <f>'Technical Skills Weighting'!P6+"`FU!$Eo"</f>
        <v>#VALUE!</v>
      </c>
      <c r="BE56" t="e">
        <f>'Technical Skills Weighting'!Q6+"`FU!$Ep"</f>
        <v>#VALUE!</v>
      </c>
      <c r="BF56" t="e">
        <f>'Technical Skills Weighting'!R6+"`FU!$Eq"</f>
        <v>#VALUE!</v>
      </c>
      <c r="BG56" t="e">
        <f>'Technical Skills Weighting'!S6+"`FU!$Er"</f>
        <v>#VALUE!</v>
      </c>
      <c r="BH56" t="e">
        <f>'Technical Skills Weighting'!T6+"`FU!$Es"</f>
        <v>#VALUE!</v>
      </c>
      <c r="BI56" t="e">
        <f>'Technical Skills Weighting'!U6+"`FU!$Et"</f>
        <v>#VALUE!</v>
      </c>
      <c r="BJ56" t="e">
        <f>'Technical Skills Weighting'!V6+"`FU!$Eu"</f>
        <v>#VALUE!</v>
      </c>
      <c r="BK56" t="e">
        <f>'Technical Skills Weighting'!W6+"`FU!$Ev"</f>
        <v>#VALUE!</v>
      </c>
      <c r="BL56" t="e">
        <f>'Technical Skills Weighting'!X6+"`FU!$Ew"</f>
        <v>#VALUE!</v>
      </c>
      <c r="BM56" t="e">
        <f>'Technical Skills Weighting'!Y6+"`FU!$Ex"</f>
        <v>#VALUE!</v>
      </c>
      <c r="BN56" t="e">
        <f>'Technical Skills Weighting'!Z6+"`FU!$Ey"</f>
        <v>#VALUE!</v>
      </c>
      <c r="BO56" t="e">
        <f>'Technical Skills Weighting'!AA6+"`FU!$Ez"</f>
        <v>#VALUE!</v>
      </c>
      <c r="BP56" t="e">
        <f>'Technical Skills Weighting'!AB6+"`FU!$E{"</f>
        <v>#VALUE!</v>
      </c>
      <c r="BQ56" t="e">
        <f>'Technical Skills Weighting'!AC6+"`FU!$E|"</f>
        <v>#VALUE!</v>
      </c>
      <c r="BR56" t="e">
        <f>'Technical Skills Weighting'!AD6+"`FU!$E}"</f>
        <v>#VALUE!</v>
      </c>
      <c r="BS56" t="e">
        <f>'Technical Skills Weighting'!AE6+"`FU!$E~"</f>
        <v>#VALUE!</v>
      </c>
      <c r="BT56" t="e">
        <f>'Technical Skills Weighting'!AF6+"`FU!$F#"</f>
        <v>#VALUE!</v>
      </c>
      <c r="BU56" t="e">
        <f>'Technical Skills Weighting'!AG6+"`FU!$F$"</f>
        <v>#VALUE!</v>
      </c>
      <c r="BV56" t="e">
        <f>'Technical Skills Weighting'!AH6+"`FU!$F%"</f>
        <v>#VALUE!</v>
      </c>
      <c r="BW56" t="e">
        <f>'Technical Skills Weighting'!AI6+"`FU!$F&amp;"</f>
        <v>#VALUE!</v>
      </c>
      <c r="BX56" t="e">
        <f>'Technical Skills Weighting'!AJ6+"`FU!$F'"</f>
        <v>#VALUE!</v>
      </c>
      <c r="BY56" t="e">
        <f>'Technical Skills Weighting'!AK6+"`FU!$F("</f>
        <v>#VALUE!</v>
      </c>
      <c r="BZ56" t="e">
        <f>'Technical Skills Weighting'!AL6+"`FU!$F)"</f>
        <v>#VALUE!</v>
      </c>
      <c r="CA56" t="e">
        <f>'Technical Skills Weighting'!AM6+"`FU!$F."</f>
        <v>#VALUE!</v>
      </c>
      <c r="CB56" t="e">
        <f>'Technical Skills Weighting'!AN6+"`FU!$F/"</f>
        <v>#VALUE!</v>
      </c>
      <c r="CC56" t="e">
        <f>'Technical Skills Weighting'!AO6+"`FU!$F0"</f>
        <v>#VALUE!</v>
      </c>
      <c r="CD56" t="e">
        <f>'Technical Skills Weighting'!AP6+"`FU!$F1"</f>
        <v>#VALUE!</v>
      </c>
      <c r="CE56" t="e">
        <f>'Technical Skills Weighting'!AQ6+"`FU!$F2"</f>
        <v>#VALUE!</v>
      </c>
      <c r="CF56" t="e">
        <f>'Technical Skills Weighting'!AR6+"`FU!$F3"</f>
        <v>#VALUE!</v>
      </c>
      <c r="CG56" t="e">
        <f>'Technical Skills Weighting'!AS6+"`FU!$F4"</f>
        <v>#VALUE!</v>
      </c>
      <c r="CH56" t="e">
        <f>'Technical Skills Weighting'!AT6+"`FU!$F5"</f>
        <v>#VALUE!</v>
      </c>
      <c r="CI56" t="e">
        <f>'Technical Skills Weighting'!AU6+"`FU!$F6"</f>
        <v>#VALUE!</v>
      </c>
      <c r="CJ56" t="e">
        <f>'Technical Skills Weighting'!AV6+"`FU!$F7"</f>
        <v>#VALUE!</v>
      </c>
      <c r="CK56" t="e">
        <f>'Technical Skills Weighting'!AW6+"`FU!$F8"</f>
        <v>#VALUE!</v>
      </c>
      <c r="CL56" t="e">
        <f>'Technical Skills Weighting'!AX6+"`FU!$F9"</f>
        <v>#VALUE!</v>
      </c>
      <c r="CM56" t="e">
        <f>'Technical Skills Weighting'!AY6+"`FU!$F:"</f>
        <v>#VALUE!</v>
      </c>
      <c r="CN56" t="e">
        <f>'Technical Skills Weighting'!AZ6+"`FU!$F;"</f>
        <v>#VALUE!</v>
      </c>
      <c r="CO56" t="e">
        <f>'Technical Skills Weighting'!BA6+"`FU!$F&lt;"</f>
        <v>#VALUE!</v>
      </c>
      <c r="CP56" t="e">
        <f>'Technical Skills Weighting'!BB6+"`FU!$F="</f>
        <v>#VALUE!</v>
      </c>
      <c r="CQ56" t="e">
        <f>'Technical Skills Weighting'!BC6+"`FU!$F&gt;"</f>
        <v>#VALUE!</v>
      </c>
      <c r="CR56" t="e">
        <f>'Technical Skills Weighting'!BD6+"`FU!$F?"</f>
        <v>#VALUE!</v>
      </c>
      <c r="CS56" t="e">
        <f>'Technical Skills Weighting'!BE6+"`FU!$F@"</f>
        <v>#VALUE!</v>
      </c>
      <c r="CT56" t="e">
        <f>'Technical Skills Weighting'!BF6+"`FU!$FA"</f>
        <v>#VALUE!</v>
      </c>
      <c r="CU56" t="e">
        <f>'Technical Skills Weighting'!BG6+"`FU!$FB"</f>
        <v>#VALUE!</v>
      </c>
      <c r="CV56" t="e">
        <f>'Technical Skills Weighting'!BH6+"`FU!$FC"</f>
        <v>#VALUE!</v>
      </c>
      <c r="CW56" t="e">
        <f>'Technical Skills Weighting'!BI6+"`FU!$FD"</f>
        <v>#VALUE!</v>
      </c>
      <c r="CX56" t="e">
        <f>'Technical Skills Weighting'!BJ6+"`FU!$FE"</f>
        <v>#VALUE!</v>
      </c>
      <c r="CY56" t="e">
        <f>'Technical Skills Weighting'!BK6+"`FU!$FF"</f>
        <v>#VALUE!</v>
      </c>
      <c r="CZ56" t="e">
        <f>'Technical Skills Weighting'!BL6+"`FU!$FG"</f>
        <v>#VALUE!</v>
      </c>
      <c r="DA56" t="e">
        <f>'Technical Skills Weighting'!BM6+"`FU!$FH"</f>
        <v>#VALUE!</v>
      </c>
      <c r="DB56" t="e">
        <f>'Technical Skills Weighting'!BN6+"`FU!$FI"</f>
        <v>#VALUE!</v>
      </c>
      <c r="DC56" t="e">
        <f>'Technical Skills Weighting'!BO6+"`FU!$FJ"</f>
        <v>#VALUE!</v>
      </c>
      <c r="DD56" t="e">
        <f>'Technical Skills Weighting'!BP6+"`FU!$FK"</f>
        <v>#VALUE!</v>
      </c>
      <c r="DE56" t="e">
        <f>'Technical Skills Weighting'!BQ6+"`FU!$FL"</f>
        <v>#VALUE!</v>
      </c>
      <c r="DF56" t="e">
        <f>'Technical Skills Weighting'!BR6+"`FU!$FM"</f>
        <v>#VALUE!</v>
      </c>
      <c r="DG56" t="e">
        <f>'Technical Skills Weighting'!BS6+"`FU!$FN"</f>
        <v>#VALUE!</v>
      </c>
      <c r="DH56" t="e">
        <f>'Technical Skills Weighting'!BT6+"`FU!$FO"</f>
        <v>#VALUE!</v>
      </c>
      <c r="DI56" t="e">
        <f>'Technical Skills Weighting'!BU6+"`FU!$FP"</f>
        <v>#VALUE!</v>
      </c>
      <c r="DJ56" t="e">
        <f>'Technical Skills Weighting'!BV6+"`FU!$FQ"</f>
        <v>#VALUE!</v>
      </c>
      <c r="DK56" t="e">
        <f>'Technical Skills Weighting'!BW6+"`FU!$FR"</f>
        <v>#VALUE!</v>
      </c>
      <c r="DL56" t="e">
        <f>'Technical Skills Weighting'!BX6+"`FU!$FS"</f>
        <v>#VALUE!</v>
      </c>
      <c r="DM56" t="e">
        <f>'Technical Skills Weighting'!BY6+"`FU!$FT"</f>
        <v>#VALUE!</v>
      </c>
      <c r="DN56" t="e">
        <f>'Technical Skills Weighting'!BZ6+"`FU!$FU"</f>
        <v>#VALUE!</v>
      </c>
      <c r="DO56" t="e">
        <f>'Technical Skills Weighting'!CA6+"`FU!$FV"</f>
        <v>#VALUE!</v>
      </c>
      <c r="DP56" t="e">
        <f>'Technical Skills Weighting'!CB6+"`FU!$FW"</f>
        <v>#VALUE!</v>
      </c>
      <c r="DQ56" t="e">
        <f>'Technical Skills Weighting'!CC6+"`FU!$FX"</f>
        <v>#VALUE!</v>
      </c>
      <c r="DR56" t="e">
        <f>'Technical Skills Weighting'!CD6+"`FU!$FY"</f>
        <v>#VALUE!</v>
      </c>
      <c r="DS56" t="e">
        <f>'Technical Skills Weighting'!CE6+"`FU!$FZ"</f>
        <v>#VALUE!</v>
      </c>
      <c r="DT56" t="e">
        <f>'Technical Skills Weighting'!CF6+"`FU!$F["</f>
        <v>#VALUE!</v>
      </c>
      <c r="DU56" t="e">
        <f>'Technical Skills Weighting'!CG6+"`FU!$F\"</f>
        <v>#VALUE!</v>
      </c>
      <c r="DV56" t="e">
        <f>'Technical Skills Weighting'!CH6+"`FU!$F]"</f>
        <v>#VALUE!</v>
      </c>
      <c r="DW56" t="e">
        <f>'Technical Skills Weighting'!CI6+"`FU!$F^"</f>
        <v>#VALUE!</v>
      </c>
      <c r="DX56" t="e">
        <f>'Technical Skills Weighting'!CJ6+"`FU!$F_"</f>
        <v>#VALUE!</v>
      </c>
      <c r="DY56" t="e">
        <f>'Technical Skills Weighting'!CK6+"`FU!$F`"</f>
        <v>#VALUE!</v>
      </c>
      <c r="DZ56" t="e">
        <f>'Technical Skills Weighting'!CL6+"`FU!$Fa"</f>
        <v>#VALUE!</v>
      </c>
      <c r="EA56" t="e">
        <f>'Technical Skills Weighting'!CM6+"`FU!$Fb"</f>
        <v>#VALUE!</v>
      </c>
      <c r="EB56" t="e">
        <f>'Technical Skills Weighting'!CN6+"`FU!$Fc"</f>
        <v>#VALUE!</v>
      </c>
      <c r="EC56" t="e">
        <f>'Technical Skills Weighting'!CO6+"`FU!$Fd"</f>
        <v>#VALUE!</v>
      </c>
      <c r="ED56" t="e">
        <f>'Technical Skills Weighting'!CP6+"`FU!$Fe"</f>
        <v>#VALUE!</v>
      </c>
      <c r="EE56" t="e">
        <f>'Technical Skills Weighting'!CQ6+"`FU!$Ff"</f>
        <v>#VALUE!</v>
      </c>
      <c r="EF56" t="e">
        <f>'Technical Skills Weighting'!CR6+"`FU!$Fg"</f>
        <v>#VALUE!</v>
      </c>
      <c r="EG56" t="e">
        <f>'Technical Skills Weighting'!CS6+"`FU!$Fh"</f>
        <v>#VALUE!</v>
      </c>
      <c r="EH56" t="e">
        <f>'Technical Skills Weighting'!CT6+"`FU!$Fi"</f>
        <v>#VALUE!</v>
      </c>
      <c r="EI56" t="e">
        <f>'Technical Skills Weighting'!CU6+"`FU!$Fj"</f>
        <v>#VALUE!</v>
      </c>
      <c r="EJ56" t="e">
        <f>'Technical Skills Weighting'!CV6+"`FU!$Fk"</f>
        <v>#VALUE!</v>
      </c>
      <c r="EK56" t="e">
        <f>'Technical Skills Weighting'!CW6+"`FU!$Fl"</f>
        <v>#VALUE!</v>
      </c>
      <c r="EL56" t="e">
        <f>'Technical Skills Weighting'!CX6+"`FU!$Fm"</f>
        <v>#VALUE!</v>
      </c>
      <c r="EM56" t="e">
        <f>'Technical Skills Weighting'!CY6+"`FU!$Fn"</f>
        <v>#VALUE!</v>
      </c>
      <c r="EN56" t="e">
        <f>'Technical Skills Weighting'!CZ6+"`FU!$Fo"</f>
        <v>#VALUE!</v>
      </c>
      <c r="EO56" t="e">
        <f>'Technical Skills Weighting'!DA6+"`FU!$Fp"</f>
        <v>#VALUE!</v>
      </c>
      <c r="EP56" t="e">
        <f>'Technical Skills Weighting'!DB6+"`FU!$Fq"</f>
        <v>#VALUE!</v>
      </c>
      <c r="EQ56" t="e">
        <f>'Technical Skills Weighting'!DC6+"`FU!$Fr"</f>
        <v>#VALUE!</v>
      </c>
      <c r="ER56" t="e">
        <f>'Technical Skills Weighting'!DD6+"`FU!$Fs"</f>
        <v>#VALUE!</v>
      </c>
      <c r="ES56" t="e">
        <f>'Technical Skills Weighting'!DE6+"`FU!$Ft"</f>
        <v>#VALUE!</v>
      </c>
      <c r="ET56" t="e">
        <f>'Technical Skills Weighting'!DF6+"`FU!$Fu"</f>
        <v>#VALUE!</v>
      </c>
      <c r="EU56" t="e">
        <f>'Technical Skills Weighting'!DG6+"`FU!$Fv"</f>
        <v>#VALUE!</v>
      </c>
      <c r="EV56" t="e">
        <f>'Technical Skills Weighting'!DH6+"`FU!$Fw"</f>
        <v>#VALUE!</v>
      </c>
      <c r="EW56" t="e">
        <f>'Technical Skills Weighting'!DI6+"`FU!$Fx"</f>
        <v>#VALUE!</v>
      </c>
      <c r="EX56" t="e">
        <f>'Technical Skills Weighting'!DJ6+"`FU!$Fy"</f>
        <v>#VALUE!</v>
      </c>
      <c r="EY56" t="e">
        <f>'Technical Skills Weighting'!DK6+"`FU!$Fz"</f>
        <v>#VALUE!</v>
      </c>
      <c r="EZ56" t="e">
        <f>'Technical Skills Weighting'!DL6+"`FU!$F{"</f>
        <v>#VALUE!</v>
      </c>
      <c r="FA56" t="e">
        <f>'Technical Skills Weighting'!DM6+"`FU!$F|"</f>
        <v>#VALUE!</v>
      </c>
      <c r="FB56" t="e">
        <f>'Technical Skills Weighting'!DN6+"`FU!$F}"</f>
        <v>#VALUE!</v>
      </c>
      <c r="FC56" t="e">
        <f>'Technical Skills Weighting'!DO6+"`FU!$F~"</f>
        <v>#VALUE!</v>
      </c>
      <c r="FD56" t="e">
        <f>'Technical Skills Weighting'!DP6+"`FU!$G#"</f>
        <v>#VALUE!</v>
      </c>
      <c r="FE56" t="e">
        <f>'Technical Skills Weighting'!DQ6+"`FU!$G$"</f>
        <v>#VALUE!</v>
      </c>
      <c r="FF56" t="e">
        <f>'Technical Skills Weighting'!DR6+"`FU!$G%"</f>
        <v>#VALUE!</v>
      </c>
      <c r="FG56" t="e">
        <f>'Technical Skills Weighting'!DS6+"`FU!$G&amp;"</f>
        <v>#VALUE!</v>
      </c>
      <c r="FH56" t="e">
        <f>'Technical Skills Weighting'!DT6+"`FU!$G'"</f>
        <v>#VALUE!</v>
      </c>
      <c r="FI56" t="e">
        <f>'Technical Skills Weighting'!DU6+"`FU!$G("</f>
        <v>#VALUE!</v>
      </c>
      <c r="FJ56" t="e">
        <f>'Technical Skills Weighting'!DV6+"`FU!$G)"</f>
        <v>#VALUE!</v>
      </c>
      <c r="FK56" t="e">
        <f>'Technical Skills Weighting'!DW6+"`FU!$G."</f>
        <v>#VALUE!</v>
      </c>
      <c r="FL56" t="e">
        <f>'Technical Skills Weighting'!DX6+"`FU!$G/"</f>
        <v>#VALUE!</v>
      </c>
      <c r="FM56" t="e">
        <f>'Technical Skills Weighting'!DY6+"`FU!$G0"</f>
        <v>#VALUE!</v>
      </c>
      <c r="FN56" t="e">
        <f>'Technical Skills Weighting'!DZ6+"`FU!$G1"</f>
        <v>#VALUE!</v>
      </c>
      <c r="FO56" t="e">
        <f>'Technical Skills Weighting'!EA6+"`FU!$G2"</f>
        <v>#VALUE!</v>
      </c>
      <c r="FP56" t="e">
        <f>'Technical Skills Weighting'!EB6+"`FU!$G3"</f>
        <v>#VALUE!</v>
      </c>
      <c r="FQ56" t="e">
        <f>'Technical Skills Weighting'!EC6+"`FU!$G4"</f>
        <v>#VALUE!</v>
      </c>
      <c r="FR56" t="e">
        <f>'Technical Skills Weighting'!ED6+"`FU!$G5"</f>
        <v>#VALUE!</v>
      </c>
      <c r="FS56" t="e">
        <f>'Technical Skills Weighting'!EE6+"`FU!$G6"</f>
        <v>#VALUE!</v>
      </c>
      <c r="FT56" t="e">
        <f>'Technical Skills Weighting'!EF6+"`FU!$G7"</f>
        <v>#VALUE!</v>
      </c>
      <c r="FU56" t="e">
        <f>'Technical Skills Weighting'!EG6+"`FU!$G8"</f>
        <v>#VALUE!</v>
      </c>
      <c r="FV56" t="e">
        <f>'Technical Skills Weighting'!EH6+"`FU!$G9"</f>
        <v>#VALUE!</v>
      </c>
      <c r="FW56" t="e">
        <f>'Technical Skills Weighting'!EI6+"`FU!$G:"</f>
        <v>#VALUE!</v>
      </c>
      <c r="FX56" t="e">
        <f>'Technical Skills Weighting'!EJ6+"`FU!$G;"</f>
        <v>#VALUE!</v>
      </c>
      <c r="FY56" t="e">
        <f>'Technical Skills Weighting'!EK6+"`FU!$G&lt;"</f>
        <v>#VALUE!</v>
      </c>
      <c r="FZ56" t="e">
        <f>'Technical Skills Weighting'!EL6+"`FU!$G="</f>
        <v>#VALUE!</v>
      </c>
      <c r="GA56" t="e">
        <f>'Technical Skills Weighting'!EM6+"`FU!$G&gt;"</f>
        <v>#VALUE!</v>
      </c>
      <c r="GB56" t="e">
        <f>'Technical Skills Weighting'!EN6+"`FU!$G?"</f>
        <v>#VALUE!</v>
      </c>
      <c r="GC56" t="e">
        <f>'Technical Skills Weighting'!EO6+"`FU!$G@"</f>
        <v>#VALUE!</v>
      </c>
      <c r="GD56" t="e">
        <f>'Technical Skills Weighting'!EP6+"`FU!$GA"</f>
        <v>#VALUE!</v>
      </c>
      <c r="GE56" t="e">
        <f>'Technical Skills Weighting'!EQ6+"`FU!$GB"</f>
        <v>#VALUE!</v>
      </c>
      <c r="GF56" t="e">
        <f>'Technical Skills Weighting'!ER6+"`FU!$GC"</f>
        <v>#VALUE!</v>
      </c>
      <c r="GG56" t="e">
        <f>'Technical Skills Weighting'!ES6+"`FU!$GD"</f>
        <v>#VALUE!</v>
      </c>
      <c r="GH56" t="e">
        <f>'Technical Skills Weighting'!ET6+"`FU!$GE"</f>
        <v>#VALUE!</v>
      </c>
      <c r="GI56" t="e">
        <f>'Technical Skills Weighting'!EU6+"`FU!$GF"</f>
        <v>#VALUE!</v>
      </c>
      <c r="GJ56" t="e">
        <f>'Technical Skills Weighting'!EV6+"`FU!$GG"</f>
        <v>#VALUE!</v>
      </c>
      <c r="GK56" t="e">
        <f>'Technical Skills Weighting'!EW6+"`FU!$GH"</f>
        <v>#VALUE!</v>
      </c>
      <c r="GL56" t="e">
        <f>'Technical Skills Weighting'!EX6+"`FU!$GI"</f>
        <v>#VALUE!</v>
      </c>
      <c r="GM56" t="e">
        <f>'Technical Skills Weighting'!EY6+"`FU!$GJ"</f>
        <v>#VALUE!</v>
      </c>
      <c r="GN56" t="e">
        <f>'Technical Skills Weighting'!EZ6+"`FU!$GK"</f>
        <v>#VALUE!</v>
      </c>
      <c r="GO56" t="e">
        <f>'Technical Skills Weighting'!FA6+"`FU!$GL"</f>
        <v>#VALUE!</v>
      </c>
      <c r="GP56" t="e">
        <f>'Technical Skills Weighting'!FB6+"`FU!$GM"</f>
        <v>#VALUE!</v>
      </c>
      <c r="GQ56" t="e">
        <f>'Technical Skills Weighting'!FC6+"`FU!$GN"</f>
        <v>#VALUE!</v>
      </c>
      <c r="GR56" t="e">
        <f>'Technical Skills Weighting'!FD6+"`FU!$GO"</f>
        <v>#VALUE!</v>
      </c>
      <c r="GS56" t="e">
        <f>'Technical Skills Weighting'!FE6+"`FU!$GP"</f>
        <v>#VALUE!</v>
      </c>
      <c r="GT56" t="e">
        <f>'Technical Skills Weighting'!FF6+"`FU!$GQ"</f>
        <v>#VALUE!</v>
      </c>
      <c r="GU56" t="e">
        <f>'Technical Skills Weighting'!FG6+"`FU!$GR"</f>
        <v>#VALUE!</v>
      </c>
      <c r="GV56" t="e">
        <f>'Technical Skills Weighting'!FH6+"`FU!$GS"</f>
        <v>#VALUE!</v>
      </c>
      <c r="GW56" t="e">
        <f>'Technical Skills Weighting'!FI6+"`FU!$GT"</f>
        <v>#VALUE!</v>
      </c>
      <c r="GX56" t="e">
        <f>'Technical Skills Weighting'!FJ6+"`FU!$GU"</f>
        <v>#VALUE!</v>
      </c>
      <c r="GY56" t="e">
        <f>'Technical Skills Weighting'!FK6+"`FU!$GV"</f>
        <v>#VALUE!</v>
      </c>
      <c r="GZ56" t="e">
        <f>'Technical Skills Weighting'!FL6+"`FU!$GW"</f>
        <v>#VALUE!</v>
      </c>
      <c r="HA56" t="e">
        <f>'Technical Skills Weighting'!FM6+"`FU!$GX"</f>
        <v>#VALUE!</v>
      </c>
      <c r="HB56" t="e">
        <f>'Technical Skills Weighting'!FN6+"`FU!$GY"</f>
        <v>#VALUE!</v>
      </c>
      <c r="HC56" t="e">
        <f>'Technical Skills Weighting'!FO6+"`FU!$GZ"</f>
        <v>#VALUE!</v>
      </c>
      <c r="HD56" t="e">
        <f>'Technical Skills Weighting'!FP6+"`FU!$G["</f>
        <v>#VALUE!</v>
      </c>
      <c r="HE56" t="e">
        <f>'Technical Skills Weighting'!FQ6+"`FU!$G\"</f>
        <v>#VALUE!</v>
      </c>
      <c r="HF56" t="e">
        <f>'Technical Skills Weighting'!FR6+"`FU!$G]"</f>
        <v>#VALUE!</v>
      </c>
      <c r="HG56" t="e">
        <f>'Technical Skills Weighting'!FS6+"`FU!$G^"</f>
        <v>#VALUE!</v>
      </c>
      <c r="HH56" t="e">
        <f>'Technical Skills Weighting'!FT6+"`FU!$G_"</f>
        <v>#VALUE!</v>
      </c>
      <c r="HI56" t="e">
        <f>'Technical Skills Weighting'!FU6+"`FU!$G`"</f>
        <v>#VALUE!</v>
      </c>
      <c r="HJ56" t="e">
        <f>'Technical Skills Weighting'!FV6+"`FU!$Ga"</f>
        <v>#VALUE!</v>
      </c>
      <c r="HK56" t="e">
        <f>'Technical Skills Weighting'!FW6+"`FU!$Gb"</f>
        <v>#VALUE!</v>
      </c>
      <c r="HL56" t="e">
        <f>'Technical Skills Weighting'!FX6+"`FU!$Gc"</f>
        <v>#VALUE!</v>
      </c>
      <c r="HM56" t="e">
        <f>'Technical Skills Weighting'!FY6+"`FU!$Gd"</f>
        <v>#VALUE!</v>
      </c>
      <c r="HN56" t="e">
        <f>'Technical Skills Weighting'!FZ6+"`FU!$Ge"</f>
        <v>#VALUE!</v>
      </c>
      <c r="HO56" t="e">
        <f>'Technical Skills Weighting'!GA6+"`FU!$Gf"</f>
        <v>#VALUE!</v>
      </c>
      <c r="HP56" t="e">
        <f>'Technical Skills Weighting'!GB6+"`FU!$Gg"</f>
        <v>#VALUE!</v>
      </c>
      <c r="HQ56" t="e">
        <f>'Technical Skills Weighting'!GC6+"`FU!$Gh"</f>
        <v>#VALUE!</v>
      </c>
      <c r="HR56" t="e">
        <f>'Technical Skills Weighting'!GD6+"`FU!$Gi"</f>
        <v>#VALUE!</v>
      </c>
      <c r="HS56" t="e">
        <f>'Technical Skills Weighting'!GE6+"`FU!$Gj"</f>
        <v>#VALUE!</v>
      </c>
      <c r="HT56" t="e">
        <f>'Technical Skills Weighting'!GF6+"`FU!$Gk"</f>
        <v>#VALUE!</v>
      </c>
      <c r="HU56" t="e">
        <f>'Technical Skills Weighting'!GG6+"`FU!$Gl"</f>
        <v>#VALUE!</v>
      </c>
      <c r="HV56" t="e">
        <f>'Technical Skills Weighting'!GH6+"`FU!$Gm"</f>
        <v>#VALUE!</v>
      </c>
      <c r="HW56" t="e">
        <f>'Technical Skills Weighting'!GI6+"`FU!$Gn"</f>
        <v>#VALUE!</v>
      </c>
      <c r="HX56" t="e">
        <f>'Technical Skills Weighting'!A7+"`FU!$Go"</f>
        <v>#VALUE!</v>
      </c>
      <c r="HY56" t="e">
        <f>'Technical Skills Weighting'!F7+"`FU!$Gp"</f>
        <v>#VALUE!</v>
      </c>
      <c r="HZ56" t="e">
        <f>'Technical Skills Weighting'!G7+"`FU!$Gq"</f>
        <v>#VALUE!</v>
      </c>
      <c r="IA56" t="e">
        <f>'Technical Skills Weighting'!H7+"`FU!$Gr"</f>
        <v>#VALUE!</v>
      </c>
      <c r="IB56" t="e">
        <f>'Technical Skills Weighting'!I7+"`FU!$Gs"</f>
        <v>#VALUE!</v>
      </c>
      <c r="IC56" t="e">
        <f>'Technical Skills Weighting'!J7+"`FU!$Gt"</f>
        <v>#VALUE!</v>
      </c>
      <c r="ID56" t="e">
        <f>'Technical Skills Weighting'!K7+"`FU!$Gu"</f>
        <v>#VALUE!</v>
      </c>
      <c r="IE56" t="e">
        <f>'Technical Skills Weighting'!L7+"`FU!$Gv"</f>
        <v>#VALUE!</v>
      </c>
      <c r="IF56" t="e">
        <f>'Technical Skills Weighting'!M7+"`FU!$Gw"</f>
        <v>#VALUE!</v>
      </c>
      <c r="IG56" t="e">
        <f>'Technical Skills Weighting'!N7+"`FU!$Gx"</f>
        <v>#VALUE!</v>
      </c>
      <c r="IH56" t="e">
        <f>'Technical Skills Weighting'!O7+"`FU!$Gy"</f>
        <v>#VALUE!</v>
      </c>
      <c r="II56" t="e">
        <f>'Technical Skills Weighting'!P7+"`FU!$Gz"</f>
        <v>#VALUE!</v>
      </c>
      <c r="IJ56" t="e">
        <f>'Technical Skills Weighting'!Q7+"`FU!$G{"</f>
        <v>#VALUE!</v>
      </c>
      <c r="IK56" t="e">
        <f>'Technical Skills Weighting'!R7+"`FU!$G|"</f>
        <v>#VALUE!</v>
      </c>
      <c r="IL56" t="e">
        <f>'Technical Skills Weighting'!S7+"`FU!$G}"</f>
        <v>#VALUE!</v>
      </c>
      <c r="IM56" t="e">
        <f>'Technical Skills Weighting'!T7+"`FU!$G~"</f>
        <v>#VALUE!</v>
      </c>
      <c r="IN56" t="e">
        <f>'Technical Skills Weighting'!U7+"`FU!$H#"</f>
        <v>#VALUE!</v>
      </c>
      <c r="IO56" t="e">
        <f>'Technical Skills Weighting'!V7+"`FU!$H$"</f>
        <v>#VALUE!</v>
      </c>
      <c r="IP56" t="e">
        <f>'Technical Skills Weighting'!W7+"`FU!$H%"</f>
        <v>#VALUE!</v>
      </c>
      <c r="IQ56" t="e">
        <f>'Technical Skills Weighting'!X7+"`FU!$H&amp;"</f>
        <v>#VALUE!</v>
      </c>
      <c r="IR56" t="e">
        <f>'Technical Skills Weighting'!Y7+"`FU!$H'"</f>
        <v>#VALUE!</v>
      </c>
      <c r="IS56" t="e">
        <f>'Technical Skills Weighting'!Z7+"`FU!$H("</f>
        <v>#VALUE!</v>
      </c>
      <c r="IT56" t="e">
        <f>'Technical Skills Weighting'!AA7+"`FU!$H)"</f>
        <v>#VALUE!</v>
      </c>
      <c r="IU56" t="e">
        <f>'Technical Skills Weighting'!AB7+"`FU!$H."</f>
        <v>#VALUE!</v>
      </c>
      <c r="IV56" t="e">
        <f>'Technical Skills Weighting'!AC7+"`FU!$H/"</f>
        <v>#VALUE!</v>
      </c>
    </row>
    <row r="57" spans="6:256" x14ac:dyDescent="0.25">
      <c r="F57" t="e">
        <f>'Technical Skills Weighting'!AD7+"`FU!$H0"</f>
        <v>#VALUE!</v>
      </c>
      <c r="G57" t="e">
        <f>'Technical Skills Weighting'!AE7+"`FU!$H1"</f>
        <v>#VALUE!</v>
      </c>
      <c r="H57" t="e">
        <f>'Technical Skills Weighting'!AF7+"`FU!$H2"</f>
        <v>#VALUE!</v>
      </c>
      <c r="I57" t="e">
        <f>'Technical Skills Weighting'!AG7+"`FU!$H3"</f>
        <v>#VALUE!</v>
      </c>
      <c r="J57" t="e">
        <f>'Technical Skills Weighting'!AH7+"`FU!$H4"</f>
        <v>#VALUE!</v>
      </c>
      <c r="K57" t="e">
        <f>'Technical Skills Weighting'!AI7+"`FU!$H5"</f>
        <v>#VALUE!</v>
      </c>
      <c r="L57" t="e">
        <f>'Technical Skills Weighting'!AJ7+"`FU!$H6"</f>
        <v>#VALUE!</v>
      </c>
      <c r="M57" t="e">
        <f>'Technical Skills Weighting'!AK7+"`FU!$H7"</f>
        <v>#VALUE!</v>
      </c>
      <c r="N57" t="e">
        <f>'Technical Skills Weighting'!AL7+"`FU!$H8"</f>
        <v>#VALUE!</v>
      </c>
      <c r="O57" t="e">
        <f>'Technical Skills Weighting'!AM7+"`FU!$H9"</f>
        <v>#VALUE!</v>
      </c>
      <c r="P57" t="e">
        <f>'Technical Skills Weighting'!AN7+"`FU!$H:"</f>
        <v>#VALUE!</v>
      </c>
      <c r="Q57" t="e">
        <f>'Technical Skills Weighting'!AO7+"`FU!$H;"</f>
        <v>#VALUE!</v>
      </c>
      <c r="R57" t="e">
        <f>'Technical Skills Weighting'!AP7+"`FU!$H&lt;"</f>
        <v>#VALUE!</v>
      </c>
      <c r="S57" t="e">
        <f>'Technical Skills Weighting'!AQ7+"`FU!$H="</f>
        <v>#VALUE!</v>
      </c>
      <c r="T57" t="e">
        <f>'Technical Skills Weighting'!AR7+"`FU!$H&gt;"</f>
        <v>#VALUE!</v>
      </c>
      <c r="U57" t="e">
        <f>'Technical Skills Weighting'!AS7+"`FU!$H?"</f>
        <v>#VALUE!</v>
      </c>
      <c r="V57" t="e">
        <f>'Technical Skills Weighting'!AT7+"`FU!$H@"</f>
        <v>#VALUE!</v>
      </c>
      <c r="W57" t="e">
        <f>'Technical Skills Weighting'!AU7+"`FU!$HA"</f>
        <v>#VALUE!</v>
      </c>
      <c r="X57" t="e">
        <f>'Technical Skills Weighting'!AV7+"`FU!$HB"</f>
        <v>#VALUE!</v>
      </c>
      <c r="Y57" t="e">
        <f>'Technical Skills Weighting'!AW7+"`FU!$HC"</f>
        <v>#VALUE!</v>
      </c>
      <c r="Z57" t="e">
        <f>'Technical Skills Weighting'!AX7+"`FU!$HD"</f>
        <v>#VALUE!</v>
      </c>
      <c r="AA57" t="e">
        <f>'Technical Skills Weighting'!AY7+"`FU!$HE"</f>
        <v>#VALUE!</v>
      </c>
      <c r="AB57" t="e">
        <f>'Technical Skills Weighting'!AZ7+"`FU!$HF"</f>
        <v>#VALUE!</v>
      </c>
      <c r="AC57" t="e">
        <f>'Technical Skills Weighting'!BA7+"`FU!$HG"</f>
        <v>#VALUE!</v>
      </c>
      <c r="AD57" t="e">
        <f>'Technical Skills Weighting'!BB7+"`FU!$HH"</f>
        <v>#VALUE!</v>
      </c>
      <c r="AE57" t="e">
        <f>'Technical Skills Weighting'!BC7+"`FU!$HI"</f>
        <v>#VALUE!</v>
      </c>
      <c r="AF57" t="e">
        <f>'Technical Skills Weighting'!BD7+"`FU!$HJ"</f>
        <v>#VALUE!</v>
      </c>
      <c r="AG57" t="e">
        <f>'Technical Skills Weighting'!BE7+"`FU!$HK"</f>
        <v>#VALUE!</v>
      </c>
      <c r="AH57" t="e">
        <f>'Technical Skills Weighting'!BF7+"`FU!$HL"</f>
        <v>#VALUE!</v>
      </c>
      <c r="AI57" t="e">
        <f>'Technical Skills Weighting'!BG7+"`FU!$HM"</f>
        <v>#VALUE!</v>
      </c>
      <c r="AJ57" t="e">
        <f>'Technical Skills Weighting'!BH7+"`FU!$HN"</f>
        <v>#VALUE!</v>
      </c>
      <c r="AK57" t="e">
        <f>'Technical Skills Weighting'!BI7+"`FU!$HO"</f>
        <v>#VALUE!</v>
      </c>
      <c r="AL57" t="e">
        <f>'Technical Skills Weighting'!BJ7+"`FU!$HP"</f>
        <v>#VALUE!</v>
      </c>
      <c r="AM57" t="e">
        <f>'Technical Skills Weighting'!BK7+"`FU!$HQ"</f>
        <v>#VALUE!</v>
      </c>
      <c r="AN57" t="e">
        <f>'Technical Skills Weighting'!BL7+"`FU!$HR"</f>
        <v>#VALUE!</v>
      </c>
      <c r="AO57" t="e">
        <f>'Technical Skills Weighting'!BM7+"`FU!$HS"</f>
        <v>#VALUE!</v>
      </c>
      <c r="AP57" t="e">
        <f>'Technical Skills Weighting'!BN7+"`FU!$HT"</f>
        <v>#VALUE!</v>
      </c>
      <c r="AQ57" t="e">
        <f>'Technical Skills Weighting'!BO7+"`FU!$HU"</f>
        <v>#VALUE!</v>
      </c>
      <c r="AR57" t="e">
        <f>'Technical Skills Weighting'!BP7+"`FU!$HV"</f>
        <v>#VALUE!</v>
      </c>
      <c r="AS57" t="e">
        <f>'Technical Skills Weighting'!BQ7+"`FU!$HW"</f>
        <v>#VALUE!</v>
      </c>
      <c r="AT57" t="e">
        <f>'Technical Skills Weighting'!BR7+"`FU!$HX"</f>
        <v>#VALUE!</v>
      </c>
      <c r="AU57" t="e">
        <f>'Technical Skills Weighting'!BS7+"`FU!$HY"</f>
        <v>#VALUE!</v>
      </c>
      <c r="AV57" t="e">
        <f>'Technical Skills Weighting'!BT7+"`FU!$HZ"</f>
        <v>#VALUE!</v>
      </c>
      <c r="AW57" t="e">
        <f>'Technical Skills Weighting'!BU7+"`FU!$H["</f>
        <v>#VALUE!</v>
      </c>
      <c r="AX57" t="e">
        <f>'Technical Skills Weighting'!BV7+"`FU!$H\"</f>
        <v>#VALUE!</v>
      </c>
      <c r="AY57" t="e">
        <f>'Technical Skills Weighting'!BW7+"`FU!$H]"</f>
        <v>#VALUE!</v>
      </c>
      <c r="AZ57" t="e">
        <f>'Technical Skills Weighting'!BX7+"`FU!$H^"</f>
        <v>#VALUE!</v>
      </c>
      <c r="BA57" t="e">
        <f>'Technical Skills Weighting'!BY7+"`FU!$H_"</f>
        <v>#VALUE!</v>
      </c>
      <c r="BB57" t="e">
        <f>'Technical Skills Weighting'!BZ7+"`FU!$H`"</f>
        <v>#VALUE!</v>
      </c>
      <c r="BC57" t="e">
        <f>'Technical Skills Weighting'!CA7+"`FU!$Ha"</f>
        <v>#VALUE!</v>
      </c>
      <c r="BD57" t="e">
        <f>'Technical Skills Weighting'!CB7+"`FU!$Hb"</f>
        <v>#VALUE!</v>
      </c>
      <c r="BE57" t="e">
        <f>'Technical Skills Weighting'!CC7+"`FU!$Hc"</f>
        <v>#VALUE!</v>
      </c>
      <c r="BF57" t="e">
        <f>'Technical Skills Weighting'!CD7+"`FU!$Hd"</f>
        <v>#VALUE!</v>
      </c>
      <c r="BG57" t="e">
        <f>'Technical Skills Weighting'!CE7+"`FU!$He"</f>
        <v>#VALUE!</v>
      </c>
      <c r="BH57" t="e">
        <f>'Technical Skills Weighting'!CF7+"`FU!$Hf"</f>
        <v>#VALUE!</v>
      </c>
      <c r="BI57" t="e">
        <f>'Technical Skills Weighting'!CG7+"`FU!$Hg"</f>
        <v>#VALUE!</v>
      </c>
      <c r="BJ57" t="e">
        <f>'Technical Skills Weighting'!CH7+"`FU!$Hh"</f>
        <v>#VALUE!</v>
      </c>
      <c r="BK57" t="e">
        <f>'Technical Skills Weighting'!CI7+"`FU!$Hi"</f>
        <v>#VALUE!</v>
      </c>
      <c r="BL57" t="e">
        <f>'Technical Skills Weighting'!CJ7+"`FU!$Hj"</f>
        <v>#VALUE!</v>
      </c>
      <c r="BM57" t="e">
        <f>'Technical Skills Weighting'!CK7+"`FU!$Hk"</f>
        <v>#VALUE!</v>
      </c>
      <c r="BN57" t="e">
        <f>'Technical Skills Weighting'!CL7+"`FU!$Hl"</f>
        <v>#VALUE!</v>
      </c>
      <c r="BO57" t="e">
        <f>'Technical Skills Weighting'!CM7+"`FU!$Hm"</f>
        <v>#VALUE!</v>
      </c>
      <c r="BP57" t="e">
        <f>'Technical Skills Weighting'!CN7+"`FU!$Hn"</f>
        <v>#VALUE!</v>
      </c>
      <c r="BQ57" t="e">
        <f>'Technical Skills Weighting'!CO7+"`FU!$Ho"</f>
        <v>#VALUE!</v>
      </c>
      <c r="BR57" t="e">
        <f>'Technical Skills Weighting'!CP7+"`FU!$Hp"</f>
        <v>#VALUE!</v>
      </c>
      <c r="BS57" t="e">
        <f>'Technical Skills Weighting'!CQ7+"`FU!$Hq"</f>
        <v>#VALUE!</v>
      </c>
      <c r="BT57" t="e">
        <f>'Technical Skills Weighting'!CR7+"`FU!$Hr"</f>
        <v>#VALUE!</v>
      </c>
      <c r="BU57" t="e">
        <f>'Technical Skills Weighting'!CS7+"`FU!$Hs"</f>
        <v>#VALUE!</v>
      </c>
      <c r="BV57" t="e">
        <f>'Technical Skills Weighting'!CT7+"`FU!$Ht"</f>
        <v>#VALUE!</v>
      </c>
      <c r="BW57" t="e">
        <f>'Technical Skills Weighting'!CU7+"`FU!$Hu"</f>
        <v>#VALUE!</v>
      </c>
      <c r="BX57" t="e">
        <f>'Technical Skills Weighting'!CV7+"`FU!$Hv"</f>
        <v>#VALUE!</v>
      </c>
      <c r="BY57" t="e">
        <f>'Technical Skills Weighting'!CW7+"`FU!$Hw"</f>
        <v>#VALUE!</v>
      </c>
      <c r="BZ57" t="e">
        <f>'Technical Skills Weighting'!CX7+"`FU!$Hx"</f>
        <v>#VALUE!</v>
      </c>
      <c r="CA57" t="e">
        <f>'Technical Skills Weighting'!CY7+"`FU!$Hy"</f>
        <v>#VALUE!</v>
      </c>
      <c r="CB57" t="e">
        <f>'Technical Skills Weighting'!CZ7+"`FU!$Hz"</f>
        <v>#VALUE!</v>
      </c>
      <c r="CC57" t="e">
        <f>'Technical Skills Weighting'!DA7+"`FU!$H{"</f>
        <v>#VALUE!</v>
      </c>
      <c r="CD57" t="e">
        <f>'Technical Skills Weighting'!DB7+"`FU!$H|"</f>
        <v>#VALUE!</v>
      </c>
      <c r="CE57" t="e">
        <f>'Technical Skills Weighting'!DC7+"`FU!$H}"</f>
        <v>#VALUE!</v>
      </c>
      <c r="CF57" t="e">
        <f>'Technical Skills Weighting'!DD7+"`FU!$H~"</f>
        <v>#VALUE!</v>
      </c>
      <c r="CG57" t="e">
        <f>'Technical Skills Weighting'!DE7+"`FU!$I#"</f>
        <v>#VALUE!</v>
      </c>
      <c r="CH57" t="e">
        <f>'Technical Skills Weighting'!DF7+"`FU!$I$"</f>
        <v>#VALUE!</v>
      </c>
      <c r="CI57" t="e">
        <f>'Technical Skills Weighting'!DG7+"`FU!$I%"</f>
        <v>#VALUE!</v>
      </c>
      <c r="CJ57" t="e">
        <f>'Technical Skills Weighting'!DH7+"`FU!$I&amp;"</f>
        <v>#VALUE!</v>
      </c>
      <c r="CK57" t="e">
        <f>'Technical Skills Weighting'!DI7+"`FU!$I'"</f>
        <v>#VALUE!</v>
      </c>
      <c r="CL57" t="e">
        <f>'Technical Skills Weighting'!DJ7+"`FU!$I("</f>
        <v>#VALUE!</v>
      </c>
      <c r="CM57" t="e">
        <f>'Technical Skills Weighting'!DK7+"`FU!$I)"</f>
        <v>#VALUE!</v>
      </c>
      <c r="CN57" t="e">
        <f>'Technical Skills Weighting'!DL7+"`FU!$I."</f>
        <v>#VALUE!</v>
      </c>
      <c r="CO57" t="e">
        <f>'Technical Skills Weighting'!DM7+"`FU!$I/"</f>
        <v>#VALUE!</v>
      </c>
      <c r="CP57" t="e">
        <f>'Technical Skills Weighting'!DN7+"`FU!$I0"</f>
        <v>#VALUE!</v>
      </c>
      <c r="CQ57" t="e">
        <f>'Technical Skills Weighting'!DO7+"`FU!$I1"</f>
        <v>#VALUE!</v>
      </c>
      <c r="CR57" t="e">
        <f>'Technical Skills Weighting'!DP7+"`FU!$I2"</f>
        <v>#VALUE!</v>
      </c>
      <c r="CS57" t="e">
        <f>'Technical Skills Weighting'!DQ7+"`FU!$I3"</f>
        <v>#VALUE!</v>
      </c>
      <c r="CT57" t="e">
        <f>'Technical Skills Weighting'!DR7+"`FU!$I4"</f>
        <v>#VALUE!</v>
      </c>
      <c r="CU57" t="e">
        <f>'Technical Skills Weighting'!DS7+"`FU!$I5"</f>
        <v>#VALUE!</v>
      </c>
      <c r="CV57" t="e">
        <f>'Technical Skills Weighting'!DT7+"`FU!$I6"</f>
        <v>#VALUE!</v>
      </c>
      <c r="CW57" t="e">
        <f>'Technical Skills Weighting'!DU7+"`FU!$I7"</f>
        <v>#VALUE!</v>
      </c>
      <c r="CX57" t="e">
        <f>'Technical Skills Weighting'!DV7+"`FU!$I8"</f>
        <v>#VALUE!</v>
      </c>
      <c r="CY57" t="e">
        <f>'Technical Skills Weighting'!DW7+"`FU!$I9"</f>
        <v>#VALUE!</v>
      </c>
      <c r="CZ57" t="e">
        <f>'Technical Skills Weighting'!DX7+"`FU!$I:"</f>
        <v>#VALUE!</v>
      </c>
      <c r="DA57" t="e">
        <f>'Technical Skills Weighting'!DY7+"`FU!$I;"</f>
        <v>#VALUE!</v>
      </c>
      <c r="DB57" t="e">
        <f>'Technical Skills Weighting'!DZ7+"`FU!$I&lt;"</f>
        <v>#VALUE!</v>
      </c>
      <c r="DC57" t="e">
        <f>'Technical Skills Weighting'!EA7+"`FU!$I="</f>
        <v>#VALUE!</v>
      </c>
      <c r="DD57" t="e">
        <f>'Technical Skills Weighting'!EB7+"`FU!$I&gt;"</f>
        <v>#VALUE!</v>
      </c>
      <c r="DE57" t="e">
        <f>'Technical Skills Weighting'!EC7+"`FU!$I?"</f>
        <v>#VALUE!</v>
      </c>
      <c r="DF57" t="e">
        <f>'Technical Skills Weighting'!ED7+"`FU!$I@"</f>
        <v>#VALUE!</v>
      </c>
      <c r="DG57" t="e">
        <f>'Technical Skills Weighting'!EE7+"`FU!$IA"</f>
        <v>#VALUE!</v>
      </c>
      <c r="DH57" t="e">
        <f>'Technical Skills Weighting'!EF7+"`FU!$IB"</f>
        <v>#VALUE!</v>
      </c>
      <c r="DI57" t="e">
        <f>'Technical Skills Weighting'!EG7+"`FU!$IC"</f>
        <v>#VALUE!</v>
      </c>
      <c r="DJ57" t="e">
        <f>'Technical Skills Weighting'!EH7+"`FU!$ID"</f>
        <v>#VALUE!</v>
      </c>
      <c r="DK57" t="e">
        <f>'Technical Skills Weighting'!EI7+"`FU!$IE"</f>
        <v>#VALUE!</v>
      </c>
      <c r="DL57" t="e">
        <f>'Technical Skills Weighting'!EJ7+"`FU!$IF"</f>
        <v>#VALUE!</v>
      </c>
      <c r="DM57" t="e">
        <f>'Technical Skills Weighting'!EK7+"`FU!$IG"</f>
        <v>#VALUE!</v>
      </c>
      <c r="DN57" t="e">
        <f>'Technical Skills Weighting'!EL7+"`FU!$IH"</f>
        <v>#VALUE!</v>
      </c>
      <c r="DO57" t="e">
        <f>'Technical Skills Weighting'!EM7+"`FU!$II"</f>
        <v>#VALUE!</v>
      </c>
      <c r="DP57" t="e">
        <f>'Technical Skills Weighting'!EN7+"`FU!$IJ"</f>
        <v>#VALUE!</v>
      </c>
      <c r="DQ57" t="e">
        <f>'Technical Skills Weighting'!EO7+"`FU!$IK"</f>
        <v>#VALUE!</v>
      </c>
      <c r="DR57" t="e">
        <f>'Technical Skills Weighting'!EP7+"`FU!$IL"</f>
        <v>#VALUE!</v>
      </c>
      <c r="DS57" t="e">
        <f>'Technical Skills Weighting'!EQ7+"`FU!$IM"</f>
        <v>#VALUE!</v>
      </c>
      <c r="DT57" t="e">
        <f>'Technical Skills Weighting'!ER7+"`FU!$IN"</f>
        <v>#VALUE!</v>
      </c>
      <c r="DU57" t="e">
        <f>'Technical Skills Weighting'!ES7+"`FU!$IO"</f>
        <v>#VALUE!</v>
      </c>
      <c r="DV57" t="e">
        <f>'Technical Skills Weighting'!ET7+"`FU!$IP"</f>
        <v>#VALUE!</v>
      </c>
      <c r="DW57" t="e">
        <f>'Technical Skills Weighting'!EU7+"`FU!$IQ"</f>
        <v>#VALUE!</v>
      </c>
      <c r="DX57" t="e">
        <f>'Technical Skills Weighting'!EV7+"`FU!$IR"</f>
        <v>#VALUE!</v>
      </c>
      <c r="DY57" t="e">
        <f>'Technical Skills Weighting'!EW7+"`FU!$IS"</f>
        <v>#VALUE!</v>
      </c>
      <c r="DZ57" t="e">
        <f>'Technical Skills Weighting'!EX7+"`FU!$IT"</f>
        <v>#VALUE!</v>
      </c>
      <c r="EA57" t="e">
        <f>'Technical Skills Weighting'!EY7+"`FU!$IU"</f>
        <v>#VALUE!</v>
      </c>
      <c r="EB57" t="e">
        <f>'Technical Skills Weighting'!EZ7+"`FU!$IV"</f>
        <v>#VALUE!</v>
      </c>
      <c r="EC57" t="e">
        <f>'Technical Skills Weighting'!FA7+"`FU!$IW"</f>
        <v>#VALUE!</v>
      </c>
      <c r="ED57" t="e">
        <f>'Technical Skills Weighting'!FB7+"`FU!$IX"</f>
        <v>#VALUE!</v>
      </c>
      <c r="EE57" t="e">
        <f>'Technical Skills Weighting'!FC7+"`FU!$IY"</f>
        <v>#VALUE!</v>
      </c>
      <c r="EF57" t="e">
        <f>'Technical Skills Weighting'!FD7+"`FU!$IZ"</f>
        <v>#VALUE!</v>
      </c>
      <c r="EG57" t="e">
        <f>'Technical Skills Weighting'!FE7+"`FU!$I["</f>
        <v>#VALUE!</v>
      </c>
      <c r="EH57" t="e">
        <f>'Technical Skills Weighting'!FF7+"`FU!$I\"</f>
        <v>#VALUE!</v>
      </c>
      <c r="EI57" t="e">
        <f>'Technical Skills Weighting'!FG7+"`FU!$I]"</f>
        <v>#VALUE!</v>
      </c>
      <c r="EJ57" t="e">
        <f>'Technical Skills Weighting'!FH7+"`FU!$I^"</f>
        <v>#VALUE!</v>
      </c>
      <c r="EK57" t="e">
        <f>'Technical Skills Weighting'!FI7+"`FU!$I_"</f>
        <v>#VALUE!</v>
      </c>
      <c r="EL57" t="e">
        <f>'Technical Skills Weighting'!FJ7+"`FU!$I`"</f>
        <v>#VALUE!</v>
      </c>
      <c r="EM57" t="e">
        <f>'Technical Skills Weighting'!FK7+"`FU!$Ia"</f>
        <v>#VALUE!</v>
      </c>
      <c r="EN57" t="e">
        <f>'Technical Skills Weighting'!FL7+"`FU!$Ib"</f>
        <v>#VALUE!</v>
      </c>
      <c r="EO57" t="e">
        <f>'Technical Skills Weighting'!FM7+"`FU!$Ic"</f>
        <v>#VALUE!</v>
      </c>
      <c r="EP57" t="e">
        <f>'Technical Skills Weighting'!FN7+"`FU!$Id"</f>
        <v>#VALUE!</v>
      </c>
      <c r="EQ57" t="e">
        <f>'Technical Skills Weighting'!FO7+"`FU!$Ie"</f>
        <v>#VALUE!</v>
      </c>
      <c r="ER57" t="e">
        <f>'Technical Skills Weighting'!FP7+"`FU!$If"</f>
        <v>#VALUE!</v>
      </c>
      <c r="ES57" t="e">
        <f>'Technical Skills Weighting'!FQ7+"`FU!$Ig"</f>
        <v>#VALUE!</v>
      </c>
      <c r="ET57" t="e">
        <f>'Technical Skills Weighting'!FR7+"`FU!$Ih"</f>
        <v>#VALUE!</v>
      </c>
      <c r="EU57" t="e">
        <f>'Technical Skills Weighting'!FS7+"`FU!$Ii"</f>
        <v>#VALUE!</v>
      </c>
      <c r="EV57" t="e">
        <f>'Technical Skills Weighting'!FT7+"`FU!$Ij"</f>
        <v>#VALUE!</v>
      </c>
      <c r="EW57" t="e">
        <f>'Technical Skills Weighting'!FU7+"`FU!$Ik"</f>
        <v>#VALUE!</v>
      </c>
      <c r="EX57" t="e">
        <f>'Technical Skills Weighting'!FV7+"`FU!$Il"</f>
        <v>#VALUE!</v>
      </c>
      <c r="EY57" t="e">
        <f>'Technical Skills Weighting'!FW7+"`FU!$Im"</f>
        <v>#VALUE!</v>
      </c>
      <c r="EZ57" t="e">
        <f>'Technical Skills Weighting'!FX7+"`FU!$In"</f>
        <v>#VALUE!</v>
      </c>
      <c r="FA57" t="e">
        <f>'Technical Skills Weighting'!FY7+"`FU!$Io"</f>
        <v>#VALUE!</v>
      </c>
      <c r="FB57" t="e">
        <f>'Technical Skills Weighting'!FZ7+"`FU!$Ip"</f>
        <v>#VALUE!</v>
      </c>
      <c r="FC57" t="e">
        <f>'Technical Skills Weighting'!GA7+"`FU!$Iq"</f>
        <v>#VALUE!</v>
      </c>
      <c r="FD57" t="e">
        <f>'Technical Skills Weighting'!GB7+"`FU!$Ir"</f>
        <v>#VALUE!</v>
      </c>
      <c r="FE57" t="e">
        <f>'Technical Skills Weighting'!GC7+"`FU!$Is"</f>
        <v>#VALUE!</v>
      </c>
      <c r="FF57" t="e">
        <f>'Technical Skills Weighting'!GD7+"`FU!$It"</f>
        <v>#VALUE!</v>
      </c>
      <c r="FG57" t="e">
        <f>'Technical Skills Weighting'!GE7+"`FU!$Iu"</f>
        <v>#VALUE!</v>
      </c>
      <c r="FH57" t="e">
        <f>'Technical Skills Weighting'!GF7+"`FU!$Iv"</f>
        <v>#VALUE!</v>
      </c>
      <c r="FI57" t="e">
        <f>'Technical Skills Weighting'!GG7+"`FU!$Iw"</f>
        <v>#VALUE!</v>
      </c>
      <c r="FJ57" t="e">
        <f>'Technical Skills Weighting'!GH7+"`FU!$Ix"</f>
        <v>#VALUE!</v>
      </c>
      <c r="FK57" t="e">
        <f>'Technical Skills Weighting'!GI7+"`FU!$Iy"</f>
        <v>#VALUE!</v>
      </c>
      <c r="FL57" t="e">
        <f>'Technical Skills Weighting'!A8+"`FU!$Iz"</f>
        <v>#VALUE!</v>
      </c>
      <c r="FM57" t="e">
        <f>'Technical Skills Weighting'!F8+"`FU!$I{"</f>
        <v>#VALUE!</v>
      </c>
      <c r="FN57" t="e">
        <f>'Technical Skills Weighting'!G8+"`FU!$I|"</f>
        <v>#VALUE!</v>
      </c>
      <c r="FO57" t="e">
        <f>'Technical Skills Weighting'!H8+"`FU!$I}"</f>
        <v>#VALUE!</v>
      </c>
      <c r="FP57" t="e">
        <f>'Technical Skills Weighting'!I8+"`FU!$I~"</f>
        <v>#VALUE!</v>
      </c>
      <c r="FQ57" t="e">
        <f>'Technical Skills Weighting'!J8+"`FU!$J#"</f>
        <v>#VALUE!</v>
      </c>
      <c r="FR57" t="e">
        <f>'Technical Skills Weighting'!K8+"`FU!$J$"</f>
        <v>#VALUE!</v>
      </c>
      <c r="FS57" t="e">
        <f>'Technical Skills Weighting'!L8+"`FU!$J%"</f>
        <v>#VALUE!</v>
      </c>
      <c r="FT57" t="e">
        <f>'Technical Skills Weighting'!M8+"`FU!$J&amp;"</f>
        <v>#VALUE!</v>
      </c>
      <c r="FU57" t="e">
        <f>'Technical Skills Weighting'!N8+"`FU!$J'"</f>
        <v>#VALUE!</v>
      </c>
      <c r="FV57" t="e">
        <f>'Technical Skills Weighting'!O8+"`FU!$J("</f>
        <v>#VALUE!</v>
      </c>
      <c r="FW57" t="e">
        <f>'Technical Skills Weighting'!P8+"`FU!$J)"</f>
        <v>#VALUE!</v>
      </c>
      <c r="FX57" t="e">
        <f>'Technical Skills Weighting'!Q8+"`FU!$J."</f>
        <v>#VALUE!</v>
      </c>
      <c r="FY57" t="e">
        <f>'Technical Skills Weighting'!R8+"`FU!$J/"</f>
        <v>#VALUE!</v>
      </c>
      <c r="FZ57" t="e">
        <f>'Technical Skills Weighting'!S8+"`FU!$J0"</f>
        <v>#VALUE!</v>
      </c>
      <c r="GA57" t="e">
        <f>'Technical Skills Weighting'!T8+"`FU!$J1"</f>
        <v>#VALUE!</v>
      </c>
      <c r="GB57" t="e">
        <f>'Technical Skills Weighting'!U8+"`FU!$J2"</f>
        <v>#VALUE!</v>
      </c>
      <c r="GC57" t="e">
        <f>'Technical Skills Weighting'!V8+"`FU!$J3"</f>
        <v>#VALUE!</v>
      </c>
      <c r="GD57" t="e">
        <f>'Technical Skills Weighting'!W8+"`FU!$J4"</f>
        <v>#VALUE!</v>
      </c>
      <c r="GE57" t="e">
        <f>'Technical Skills Weighting'!X8+"`FU!$J5"</f>
        <v>#VALUE!</v>
      </c>
      <c r="GF57" t="e">
        <f>'Technical Skills Weighting'!Y8+"`FU!$J6"</f>
        <v>#VALUE!</v>
      </c>
      <c r="GG57" t="e">
        <f>'Technical Skills Weighting'!Z8+"`FU!$J7"</f>
        <v>#VALUE!</v>
      </c>
      <c r="GH57" t="e">
        <f>'Technical Skills Weighting'!AA8+"`FU!$J8"</f>
        <v>#VALUE!</v>
      </c>
      <c r="GI57" t="e">
        <f>'Technical Skills Weighting'!AB8+"`FU!$J9"</f>
        <v>#VALUE!</v>
      </c>
      <c r="GJ57" t="e">
        <f>'Technical Skills Weighting'!AC8+"`FU!$J:"</f>
        <v>#VALUE!</v>
      </c>
      <c r="GK57" t="e">
        <f>'Technical Skills Weighting'!AD8+"`FU!$J;"</f>
        <v>#VALUE!</v>
      </c>
      <c r="GL57" t="e">
        <f>'Technical Skills Weighting'!AE8+"`FU!$J&lt;"</f>
        <v>#VALUE!</v>
      </c>
      <c r="GM57" t="e">
        <f>'Technical Skills Weighting'!AF8+"`FU!$J="</f>
        <v>#VALUE!</v>
      </c>
      <c r="GN57" t="e">
        <f>'Technical Skills Weighting'!AG8+"`FU!$J&gt;"</f>
        <v>#VALUE!</v>
      </c>
      <c r="GO57" t="e">
        <f>'Technical Skills Weighting'!AH8+"`FU!$J?"</f>
        <v>#VALUE!</v>
      </c>
      <c r="GP57" t="e">
        <f>'Technical Skills Weighting'!AI8+"`FU!$J@"</f>
        <v>#VALUE!</v>
      </c>
      <c r="GQ57" t="e">
        <f>'Technical Skills Weighting'!AJ8+"`FU!$JA"</f>
        <v>#VALUE!</v>
      </c>
      <c r="GR57" t="e">
        <f>'Technical Skills Weighting'!AK8+"`FU!$JB"</f>
        <v>#VALUE!</v>
      </c>
      <c r="GS57" t="e">
        <f>'Technical Skills Weighting'!AL8+"`FU!$JC"</f>
        <v>#VALUE!</v>
      </c>
      <c r="GT57" t="e">
        <f>'Technical Skills Weighting'!AM8+"`FU!$JD"</f>
        <v>#VALUE!</v>
      </c>
      <c r="GU57" t="e">
        <f>'Technical Skills Weighting'!AN8+"`FU!$JE"</f>
        <v>#VALUE!</v>
      </c>
      <c r="GV57" t="e">
        <f>'Technical Skills Weighting'!AO8+"`FU!$JF"</f>
        <v>#VALUE!</v>
      </c>
      <c r="GW57" t="e">
        <f>'Technical Skills Weighting'!AP8+"`FU!$JG"</f>
        <v>#VALUE!</v>
      </c>
      <c r="GX57" t="e">
        <f>'Technical Skills Weighting'!AQ8+"`FU!$JH"</f>
        <v>#VALUE!</v>
      </c>
      <c r="GY57" t="e">
        <f>'Technical Skills Weighting'!AR8+"`FU!$JI"</f>
        <v>#VALUE!</v>
      </c>
      <c r="GZ57" t="e">
        <f>'Technical Skills Weighting'!AS8+"`FU!$JJ"</f>
        <v>#VALUE!</v>
      </c>
      <c r="HA57" t="e">
        <f>'Technical Skills Weighting'!AT8+"`FU!$JK"</f>
        <v>#VALUE!</v>
      </c>
      <c r="HB57" t="e">
        <f>'Technical Skills Weighting'!AU8+"`FU!$JL"</f>
        <v>#VALUE!</v>
      </c>
      <c r="HC57" t="e">
        <f>'Technical Skills Weighting'!AV8+"`FU!$JM"</f>
        <v>#VALUE!</v>
      </c>
      <c r="HD57" t="e">
        <f>'Technical Skills Weighting'!AW8+"`FU!$JN"</f>
        <v>#VALUE!</v>
      </c>
      <c r="HE57" t="e">
        <f>'Technical Skills Weighting'!AX8+"`FU!$JO"</f>
        <v>#VALUE!</v>
      </c>
      <c r="HF57" t="e">
        <f>'Technical Skills Weighting'!AY8+"`FU!$JP"</f>
        <v>#VALUE!</v>
      </c>
      <c r="HG57" t="e">
        <f>'Technical Skills Weighting'!AZ8+"`FU!$JQ"</f>
        <v>#VALUE!</v>
      </c>
      <c r="HH57" t="e">
        <f>'Technical Skills Weighting'!BA8+"`FU!$JR"</f>
        <v>#VALUE!</v>
      </c>
      <c r="HI57" t="e">
        <f>'Technical Skills Weighting'!BB8+"`FU!$JS"</f>
        <v>#VALUE!</v>
      </c>
      <c r="HJ57" t="e">
        <f>'Technical Skills Weighting'!BC8+"`FU!$JT"</f>
        <v>#VALUE!</v>
      </c>
      <c r="HK57" t="e">
        <f>'Technical Skills Weighting'!BD8+"`FU!$JU"</f>
        <v>#VALUE!</v>
      </c>
      <c r="HL57" t="e">
        <f>'Technical Skills Weighting'!BE8+"`FU!$JV"</f>
        <v>#VALUE!</v>
      </c>
      <c r="HM57" t="e">
        <f>'Technical Skills Weighting'!BF8+"`FU!$JW"</f>
        <v>#VALUE!</v>
      </c>
      <c r="HN57" t="e">
        <f>'Technical Skills Weighting'!BG8+"`FU!$JX"</f>
        <v>#VALUE!</v>
      </c>
      <c r="HO57" t="e">
        <f>'Technical Skills Weighting'!BH8+"`FU!$JY"</f>
        <v>#VALUE!</v>
      </c>
      <c r="HP57" t="e">
        <f>'Technical Skills Weighting'!BI8+"`FU!$JZ"</f>
        <v>#VALUE!</v>
      </c>
      <c r="HQ57" t="e">
        <f>'Technical Skills Weighting'!BJ8+"`FU!$J["</f>
        <v>#VALUE!</v>
      </c>
      <c r="HR57" t="e">
        <f>'Technical Skills Weighting'!BK8+"`FU!$J\"</f>
        <v>#VALUE!</v>
      </c>
      <c r="HS57" t="e">
        <f>'Technical Skills Weighting'!BL8+"`FU!$J]"</f>
        <v>#VALUE!</v>
      </c>
      <c r="HT57" t="e">
        <f>'Technical Skills Weighting'!BM8+"`FU!$J^"</f>
        <v>#VALUE!</v>
      </c>
      <c r="HU57" t="e">
        <f>'Technical Skills Weighting'!BN8+"`FU!$J_"</f>
        <v>#VALUE!</v>
      </c>
      <c r="HV57" t="e">
        <f>'Technical Skills Weighting'!BO8+"`FU!$J`"</f>
        <v>#VALUE!</v>
      </c>
      <c r="HW57" t="e">
        <f>'Technical Skills Weighting'!BP8+"`FU!$Ja"</f>
        <v>#VALUE!</v>
      </c>
      <c r="HX57" t="e">
        <f>'Technical Skills Weighting'!BQ8+"`FU!$Jb"</f>
        <v>#VALUE!</v>
      </c>
      <c r="HY57" t="e">
        <f>'Technical Skills Weighting'!BR8+"`FU!$Jc"</f>
        <v>#VALUE!</v>
      </c>
      <c r="HZ57" t="e">
        <f>'Technical Skills Weighting'!BS8+"`FU!$Jd"</f>
        <v>#VALUE!</v>
      </c>
      <c r="IA57" t="e">
        <f>'Technical Skills Weighting'!BT8+"`FU!$Je"</f>
        <v>#VALUE!</v>
      </c>
      <c r="IB57" t="e">
        <f>'Technical Skills Weighting'!BU8+"`FU!$Jf"</f>
        <v>#VALUE!</v>
      </c>
      <c r="IC57" t="e">
        <f>'Technical Skills Weighting'!BV8+"`FU!$Jg"</f>
        <v>#VALUE!</v>
      </c>
      <c r="ID57" t="e">
        <f>'Technical Skills Weighting'!BW8+"`FU!$Jh"</f>
        <v>#VALUE!</v>
      </c>
      <c r="IE57" t="e">
        <f>'Technical Skills Weighting'!BX8+"`FU!$Ji"</f>
        <v>#VALUE!</v>
      </c>
      <c r="IF57" t="e">
        <f>'Technical Skills Weighting'!BY8+"`FU!$Jj"</f>
        <v>#VALUE!</v>
      </c>
      <c r="IG57" t="e">
        <f>'Technical Skills Weighting'!BZ8+"`FU!$Jk"</f>
        <v>#VALUE!</v>
      </c>
      <c r="IH57" t="e">
        <f>'Technical Skills Weighting'!CA8+"`FU!$Jl"</f>
        <v>#VALUE!</v>
      </c>
      <c r="II57" t="e">
        <f>'Technical Skills Weighting'!CB8+"`FU!$Jm"</f>
        <v>#VALUE!</v>
      </c>
      <c r="IJ57" t="e">
        <f>'Technical Skills Weighting'!CC8+"`FU!$Jn"</f>
        <v>#VALUE!</v>
      </c>
      <c r="IK57" t="e">
        <f>'Technical Skills Weighting'!CD8+"`FU!$Jo"</f>
        <v>#VALUE!</v>
      </c>
      <c r="IL57" t="e">
        <f>'Technical Skills Weighting'!CE8+"`FU!$Jp"</f>
        <v>#VALUE!</v>
      </c>
      <c r="IM57" t="e">
        <f>'Technical Skills Weighting'!CF8+"`FU!$Jq"</f>
        <v>#VALUE!</v>
      </c>
      <c r="IN57" t="e">
        <f>'Technical Skills Weighting'!CG8+"`FU!$Jr"</f>
        <v>#VALUE!</v>
      </c>
      <c r="IO57" t="e">
        <f>'Technical Skills Weighting'!CH8+"`FU!$Js"</f>
        <v>#VALUE!</v>
      </c>
      <c r="IP57" t="e">
        <f>'Technical Skills Weighting'!CI8+"`FU!$Jt"</f>
        <v>#VALUE!</v>
      </c>
      <c r="IQ57" t="e">
        <f>'Technical Skills Weighting'!CJ8+"`FU!$Ju"</f>
        <v>#VALUE!</v>
      </c>
      <c r="IR57" t="e">
        <f>'Technical Skills Weighting'!CK8+"`FU!$Jv"</f>
        <v>#VALUE!</v>
      </c>
      <c r="IS57" t="e">
        <f>'Technical Skills Weighting'!CL8+"`FU!$Jw"</f>
        <v>#VALUE!</v>
      </c>
      <c r="IT57" t="e">
        <f>'Technical Skills Weighting'!CM8+"`FU!$Jx"</f>
        <v>#VALUE!</v>
      </c>
      <c r="IU57" t="e">
        <f>'Technical Skills Weighting'!CN8+"`FU!$Jy"</f>
        <v>#VALUE!</v>
      </c>
      <c r="IV57" t="e">
        <f>'Technical Skills Weighting'!CO8+"`FU!$Jz"</f>
        <v>#VALUE!</v>
      </c>
    </row>
    <row r="58" spans="6:256" x14ac:dyDescent="0.25">
      <c r="F58" t="e">
        <f>'Technical Skills Weighting'!CP8+"`FU!$J{"</f>
        <v>#VALUE!</v>
      </c>
      <c r="G58" t="e">
        <f>'Technical Skills Weighting'!CQ8+"`FU!$J|"</f>
        <v>#VALUE!</v>
      </c>
      <c r="H58" t="e">
        <f>'Technical Skills Weighting'!CR8+"`FU!$J}"</f>
        <v>#VALUE!</v>
      </c>
      <c r="I58" t="e">
        <f>'Technical Skills Weighting'!CS8+"`FU!$J~"</f>
        <v>#VALUE!</v>
      </c>
      <c r="J58" t="e">
        <f>'Technical Skills Weighting'!CT8+"`FU!$K#"</f>
        <v>#VALUE!</v>
      </c>
      <c r="K58" t="e">
        <f>'Technical Skills Weighting'!CU8+"`FU!$K$"</f>
        <v>#VALUE!</v>
      </c>
      <c r="L58" t="e">
        <f>'Technical Skills Weighting'!CV8+"`FU!$K%"</f>
        <v>#VALUE!</v>
      </c>
      <c r="M58" t="e">
        <f>'Technical Skills Weighting'!CW8+"`FU!$K&amp;"</f>
        <v>#VALUE!</v>
      </c>
      <c r="N58" t="e">
        <f>'Technical Skills Weighting'!CX8+"`FU!$K'"</f>
        <v>#VALUE!</v>
      </c>
      <c r="O58" t="e">
        <f>'Technical Skills Weighting'!CY8+"`FU!$K("</f>
        <v>#VALUE!</v>
      </c>
      <c r="P58" t="e">
        <f>'Technical Skills Weighting'!CZ8+"`FU!$K)"</f>
        <v>#VALUE!</v>
      </c>
      <c r="Q58" t="e">
        <f>'Technical Skills Weighting'!DA8+"`FU!$K."</f>
        <v>#VALUE!</v>
      </c>
      <c r="R58" t="e">
        <f>'Technical Skills Weighting'!DB8+"`FU!$K/"</f>
        <v>#VALUE!</v>
      </c>
      <c r="S58" t="e">
        <f>'Technical Skills Weighting'!DC8+"`FU!$K0"</f>
        <v>#VALUE!</v>
      </c>
      <c r="T58" t="e">
        <f>'Technical Skills Weighting'!DD8+"`FU!$K1"</f>
        <v>#VALUE!</v>
      </c>
      <c r="U58" t="e">
        <f>'Technical Skills Weighting'!DE8+"`FU!$K2"</f>
        <v>#VALUE!</v>
      </c>
      <c r="V58" t="e">
        <f>'Technical Skills Weighting'!DF8+"`FU!$K3"</f>
        <v>#VALUE!</v>
      </c>
      <c r="W58" t="e">
        <f>'Technical Skills Weighting'!DG8+"`FU!$K4"</f>
        <v>#VALUE!</v>
      </c>
      <c r="X58" t="e">
        <f>'Technical Skills Weighting'!DH8+"`FU!$K5"</f>
        <v>#VALUE!</v>
      </c>
      <c r="Y58" t="e">
        <f>'Technical Skills Weighting'!DI8+"`FU!$K6"</f>
        <v>#VALUE!</v>
      </c>
      <c r="Z58" t="e">
        <f>'Technical Skills Weighting'!DJ8+"`FU!$K7"</f>
        <v>#VALUE!</v>
      </c>
      <c r="AA58" t="e">
        <f>'Technical Skills Weighting'!DK8+"`FU!$K8"</f>
        <v>#VALUE!</v>
      </c>
      <c r="AB58" t="e">
        <f>'Technical Skills Weighting'!DL8+"`FU!$K9"</f>
        <v>#VALUE!</v>
      </c>
      <c r="AC58" t="e">
        <f>'Technical Skills Weighting'!DM8+"`FU!$K:"</f>
        <v>#VALUE!</v>
      </c>
      <c r="AD58" t="e">
        <f>'Technical Skills Weighting'!DN8+"`FU!$K;"</f>
        <v>#VALUE!</v>
      </c>
      <c r="AE58" t="e">
        <f>'Technical Skills Weighting'!DO8+"`FU!$K&lt;"</f>
        <v>#VALUE!</v>
      </c>
      <c r="AF58" t="e">
        <f>'Technical Skills Weighting'!DP8+"`FU!$K="</f>
        <v>#VALUE!</v>
      </c>
      <c r="AG58" t="e">
        <f>'Technical Skills Weighting'!DQ8+"`FU!$K&gt;"</f>
        <v>#VALUE!</v>
      </c>
      <c r="AH58" t="e">
        <f>'Technical Skills Weighting'!DR8+"`FU!$K?"</f>
        <v>#VALUE!</v>
      </c>
      <c r="AI58" t="e">
        <f>'Technical Skills Weighting'!DS8+"`FU!$K@"</f>
        <v>#VALUE!</v>
      </c>
      <c r="AJ58" t="e">
        <f>'Technical Skills Weighting'!DT8+"`FU!$KA"</f>
        <v>#VALUE!</v>
      </c>
      <c r="AK58" t="e">
        <f>'Technical Skills Weighting'!DU8+"`FU!$KB"</f>
        <v>#VALUE!</v>
      </c>
      <c r="AL58" t="e">
        <f>'Technical Skills Weighting'!DV8+"`FU!$KC"</f>
        <v>#VALUE!</v>
      </c>
      <c r="AM58" t="e">
        <f>'Technical Skills Weighting'!DW8+"`FU!$KD"</f>
        <v>#VALUE!</v>
      </c>
      <c r="AN58" t="e">
        <f>'Technical Skills Weighting'!DX8+"`FU!$KE"</f>
        <v>#VALUE!</v>
      </c>
      <c r="AO58" t="e">
        <f>'Technical Skills Weighting'!DY8+"`FU!$KF"</f>
        <v>#VALUE!</v>
      </c>
      <c r="AP58" t="e">
        <f>'Technical Skills Weighting'!DZ8+"`FU!$KG"</f>
        <v>#VALUE!</v>
      </c>
      <c r="AQ58" t="e">
        <f>'Technical Skills Weighting'!EA8+"`FU!$KH"</f>
        <v>#VALUE!</v>
      </c>
      <c r="AR58" t="e">
        <f>'Technical Skills Weighting'!EB8+"`FU!$KI"</f>
        <v>#VALUE!</v>
      </c>
      <c r="AS58" t="e">
        <f>'Technical Skills Weighting'!EC8+"`FU!$KJ"</f>
        <v>#VALUE!</v>
      </c>
      <c r="AT58" t="e">
        <f>'Technical Skills Weighting'!ED8+"`FU!$KK"</f>
        <v>#VALUE!</v>
      </c>
      <c r="AU58" t="e">
        <f>'Technical Skills Weighting'!EE8+"`FU!$KL"</f>
        <v>#VALUE!</v>
      </c>
      <c r="AV58" t="e">
        <f>'Technical Skills Weighting'!EF8+"`FU!$KM"</f>
        <v>#VALUE!</v>
      </c>
      <c r="AW58" t="e">
        <f>'Technical Skills Weighting'!EG8+"`FU!$KN"</f>
        <v>#VALUE!</v>
      </c>
      <c r="AX58" t="e">
        <f>'Technical Skills Weighting'!EH8+"`FU!$KO"</f>
        <v>#VALUE!</v>
      </c>
      <c r="AY58" t="e">
        <f>'Technical Skills Weighting'!EI8+"`FU!$KP"</f>
        <v>#VALUE!</v>
      </c>
      <c r="AZ58" t="e">
        <f>'Technical Skills Weighting'!EJ8+"`FU!$KQ"</f>
        <v>#VALUE!</v>
      </c>
      <c r="BA58" t="e">
        <f>'Technical Skills Weighting'!EK8+"`FU!$KR"</f>
        <v>#VALUE!</v>
      </c>
      <c r="BB58" t="e">
        <f>'Technical Skills Weighting'!EL8+"`FU!$KS"</f>
        <v>#VALUE!</v>
      </c>
      <c r="BC58" t="e">
        <f>'Technical Skills Weighting'!EM8+"`FU!$KT"</f>
        <v>#VALUE!</v>
      </c>
      <c r="BD58" t="e">
        <f>'Technical Skills Weighting'!EN8+"`FU!$KU"</f>
        <v>#VALUE!</v>
      </c>
      <c r="BE58" t="e">
        <f>'Technical Skills Weighting'!EO8+"`FU!$KV"</f>
        <v>#VALUE!</v>
      </c>
      <c r="BF58" t="e">
        <f>'Technical Skills Weighting'!EP8+"`FU!$KW"</f>
        <v>#VALUE!</v>
      </c>
      <c r="BG58" t="e">
        <f>'Technical Skills Weighting'!EQ8+"`FU!$KX"</f>
        <v>#VALUE!</v>
      </c>
      <c r="BH58" t="e">
        <f>'Technical Skills Weighting'!ER8+"`FU!$KY"</f>
        <v>#VALUE!</v>
      </c>
      <c r="BI58" t="e">
        <f>'Technical Skills Weighting'!ES8+"`FU!$KZ"</f>
        <v>#VALUE!</v>
      </c>
      <c r="BJ58" t="e">
        <f>'Technical Skills Weighting'!ET8+"`FU!$K["</f>
        <v>#VALUE!</v>
      </c>
      <c r="BK58" t="e">
        <f>'Technical Skills Weighting'!EU8+"`FU!$K\"</f>
        <v>#VALUE!</v>
      </c>
      <c r="BL58" t="e">
        <f>'Technical Skills Weighting'!EV8+"`FU!$K]"</f>
        <v>#VALUE!</v>
      </c>
      <c r="BM58" t="e">
        <f>'Technical Skills Weighting'!EW8+"`FU!$K^"</f>
        <v>#VALUE!</v>
      </c>
      <c r="BN58" t="e">
        <f>'Technical Skills Weighting'!EX8+"`FU!$K_"</f>
        <v>#VALUE!</v>
      </c>
      <c r="BO58" t="e">
        <f>'Technical Skills Weighting'!EY8+"`FU!$K`"</f>
        <v>#VALUE!</v>
      </c>
      <c r="BP58" t="e">
        <f>'Technical Skills Weighting'!EZ8+"`FU!$Ka"</f>
        <v>#VALUE!</v>
      </c>
      <c r="BQ58" t="e">
        <f>'Technical Skills Weighting'!FA8+"`FU!$Kb"</f>
        <v>#VALUE!</v>
      </c>
      <c r="BR58" t="e">
        <f>'Technical Skills Weighting'!FB8+"`FU!$Kc"</f>
        <v>#VALUE!</v>
      </c>
      <c r="BS58" t="e">
        <f>'Technical Skills Weighting'!FC8+"`FU!$Kd"</f>
        <v>#VALUE!</v>
      </c>
      <c r="BT58" t="e">
        <f>'Technical Skills Weighting'!FD8+"`FU!$Ke"</f>
        <v>#VALUE!</v>
      </c>
      <c r="BU58" t="e">
        <f>'Technical Skills Weighting'!FE8+"`FU!$Kf"</f>
        <v>#VALUE!</v>
      </c>
      <c r="BV58" t="e">
        <f>'Technical Skills Weighting'!FF8+"`FU!$Kg"</f>
        <v>#VALUE!</v>
      </c>
      <c r="BW58" t="e">
        <f>'Technical Skills Weighting'!FG8+"`FU!$Kh"</f>
        <v>#VALUE!</v>
      </c>
      <c r="BX58" t="e">
        <f>'Technical Skills Weighting'!FH8+"`FU!$Ki"</f>
        <v>#VALUE!</v>
      </c>
      <c r="BY58" t="e">
        <f>'Technical Skills Weighting'!FI8+"`FU!$Kj"</f>
        <v>#VALUE!</v>
      </c>
      <c r="BZ58" t="e">
        <f>'Technical Skills Weighting'!FJ8+"`FU!$Kk"</f>
        <v>#VALUE!</v>
      </c>
      <c r="CA58" t="e">
        <f>'Technical Skills Weighting'!FK8+"`FU!$Kl"</f>
        <v>#VALUE!</v>
      </c>
      <c r="CB58" t="e">
        <f>'Technical Skills Weighting'!FL8+"`FU!$Km"</f>
        <v>#VALUE!</v>
      </c>
      <c r="CC58" t="e">
        <f>'Technical Skills Weighting'!FM8+"`FU!$Kn"</f>
        <v>#VALUE!</v>
      </c>
      <c r="CD58" t="e">
        <f>'Technical Skills Weighting'!FN8+"`FU!$Ko"</f>
        <v>#VALUE!</v>
      </c>
      <c r="CE58" t="e">
        <f>'Technical Skills Weighting'!FO8+"`FU!$Kp"</f>
        <v>#VALUE!</v>
      </c>
      <c r="CF58" t="e">
        <f>'Technical Skills Weighting'!FP8+"`FU!$Kq"</f>
        <v>#VALUE!</v>
      </c>
      <c r="CG58" t="e">
        <f>'Technical Skills Weighting'!FQ8+"`FU!$Kr"</f>
        <v>#VALUE!</v>
      </c>
      <c r="CH58" t="e">
        <f>'Technical Skills Weighting'!FR8+"`FU!$Ks"</f>
        <v>#VALUE!</v>
      </c>
      <c r="CI58" t="e">
        <f>'Technical Skills Weighting'!FS8+"`FU!$Kt"</f>
        <v>#VALUE!</v>
      </c>
      <c r="CJ58" t="e">
        <f>'Technical Skills Weighting'!FT8+"`FU!$Ku"</f>
        <v>#VALUE!</v>
      </c>
      <c r="CK58" t="e">
        <f>'Technical Skills Weighting'!FU8+"`FU!$Kv"</f>
        <v>#VALUE!</v>
      </c>
      <c r="CL58" t="e">
        <f>'Technical Skills Weighting'!FV8+"`FU!$Kw"</f>
        <v>#VALUE!</v>
      </c>
      <c r="CM58" t="e">
        <f>'Technical Skills Weighting'!FW8+"`FU!$Kx"</f>
        <v>#VALUE!</v>
      </c>
      <c r="CN58" t="e">
        <f>'Technical Skills Weighting'!FX8+"`FU!$Ky"</f>
        <v>#VALUE!</v>
      </c>
      <c r="CO58" t="e">
        <f>'Technical Skills Weighting'!FY8+"`FU!$Kz"</f>
        <v>#VALUE!</v>
      </c>
      <c r="CP58" t="e">
        <f>'Technical Skills Weighting'!FZ8+"`FU!$K{"</f>
        <v>#VALUE!</v>
      </c>
      <c r="CQ58" t="e">
        <f>'Technical Skills Weighting'!GA8+"`FU!$K|"</f>
        <v>#VALUE!</v>
      </c>
      <c r="CR58" t="e">
        <f>'Technical Skills Weighting'!GB8+"`FU!$K}"</f>
        <v>#VALUE!</v>
      </c>
      <c r="CS58" t="e">
        <f>'Technical Skills Weighting'!GC8+"`FU!$K~"</f>
        <v>#VALUE!</v>
      </c>
      <c r="CT58" t="e">
        <f>'Technical Skills Weighting'!GD8+"`FU!$L#"</f>
        <v>#VALUE!</v>
      </c>
      <c r="CU58" t="e">
        <f>'Technical Skills Weighting'!GE8+"`FU!$L$"</f>
        <v>#VALUE!</v>
      </c>
      <c r="CV58" t="e">
        <f>'Technical Skills Weighting'!GF8+"`FU!$L%"</f>
        <v>#VALUE!</v>
      </c>
      <c r="CW58" t="e">
        <f>'Technical Skills Weighting'!GG8+"`FU!$L&amp;"</f>
        <v>#VALUE!</v>
      </c>
      <c r="CX58" t="e">
        <f>'Technical Skills Weighting'!GH8+"`FU!$L'"</f>
        <v>#VALUE!</v>
      </c>
      <c r="CY58" t="e">
        <f>'Technical Skills Weighting'!GI8+"`FU!$L("</f>
        <v>#VALUE!</v>
      </c>
      <c r="CZ58" t="e">
        <f>'Technical Skills Weighting'!A9+"`FU!$L)"</f>
        <v>#VALUE!</v>
      </c>
      <c r="DA58" t="e">
        <f>'Technical Skills Weighting'!F9+"`FU!$L."</f>
        <v>#VALUE!</v>
      </c>
      <c r="DB58" t="e">
        <f>'Technical Skills Weighting'!G9+"`FU!$L/"</f>
        <v>#VALUE!</v>
      </c>
      <c r="DC58" t="e">
        <f>'Technical Skills Weighting'!H9+"`FU!$L0"</f>
        <v>#VALUE!</v>
      </c>
      <c r="DD58" t="e">
        <f>'Technical Skills Weighting'!I9+"`FU!$L1"</f>
        <v>#VALUE!</v>
      </c>
      <c r="DE58" t="e">
        <f>'Technical Skills Weighting'!J9+"`FU!$L2"</f>
        <v>#VALUE!</v>
      </c>
      <c r="DF58" t="e">
        <f>'Technical Skills Weighting'!K9+"`FU!$L3"</f>
        <v>#VALUE!</v>
      </c>
      <c r="DG58" t="e">
        <f>'Technical Skills Weighting'!L9+"`FU!$L4"</f>
        <v>#VALUE!</v>
      </c>
      <c r="DH58" t="e">
        <f>'Technical Skills Weighting'!M9+"`FU!$L5"</f>
        <v>#VALUE!</v>
      </c>
      <c r="DI58" t="e">
        <f>'Technical Skills Weighting'!N9+"`FU!$L6"</f>
        <v>#VALUE!</v>
      </c>
      <c r="DJ58" t="e">
        <f>'Technical Skills Weighting'!O9+"`FU!$L7"</f>
        <v>#VALUE!</v>
      </c>
      <c r="DK58" t="e">
        <f>'Technical Skills Weighting'!P9+"`FU!$L8"</f>
        <v>#VALUE!</v>
      </c>
      <c r="DL58" t="e">
        <f>'Technical Skills Weighting'!Q9+"`FU!$L9"</f>
        <v>#VALUE!</v>
      </c>
      <c r="DM58" t="e">
        <f>'Technical Skills Weighting'!R9+"`FU!$L:"</f>
        <v>#VALUE!</v>
      </c>
      <c r="DN58" t="e">
        <f>'Technical Skills Weighting'!S9+"`FU!$L;"</f>
        <v>#VALUE!</v>
      </c>
      <c r="DO58" t="e">
        <f>'Technical Skills Weighting'!T9+"`FU!$L&lt;"</f>
        <v>#VALUE!</v>
      </c>
      <c r="DP58" t="e">
        <f>'Technical Skills Weighting'!U9+"`FU!$L="</f>
        <v>#VALUE!</v>
      </c>
      <c r="DQ58" t="e">
        <f>'Technical Skills Weighting'!V9+"`FU!$L&gt;"</f>
        <v>#VALUE!</v>
      </c>
      <c r="DR58" t="e">
        <f>'Technical Skills Weighting'!W9+"`FU!$L?"</f>
        <v>#VALUE!</v>
      </c>
      <c r="DS58" t="e">
        <f>'Technical Skills Weighting'!X9+"`FU!$L@"</f>
        <v>#VALUE!</v>
      </c>
      <c r="DT58" t="e">
        <f>'Technical Skills Weighting'!Y9+"`FU!$LA"</f>
        <v>#VALUE!</v>
      </c>
      <c r="DU58" t="e">
        <f>'Technical Skills Weighting'!Z9+"`FU!$LB"</f>
        <v>#VALUE!</v>
      </c>
      <c r="DV58" t="e">
        <f>'Technical Skills Weighting'!AA9+"`FU!$LC"</f>
        <v>#VALUE!</v>
      </c>
      <c r="DW58" t="e">
        <f>'Technical Skills Weighting'!AB9+"`FU!$LD"</f>
        <v>#VALUE!</v>
      </c>
      <c r="DX58" t="e">
        <f>'Technical Skills Weighting'!AC9+"`FU!$LE"</f>
        <v>#VALUE!</v>
      </c>
      <c r="DY58" t="e">
        <f>'Technical Skills Weighting'!AD9+"`FU!$LF"</f>
        <v>#VALUE!</v>
      </c>
      <c r="DZ58" t="e">
        <f>'Technical Skills Weighting'!AE9+"`FU!$LG"</f>
        <v>#VALUE!</v>
      </c>
      <c r="EA58" t="e">
        <f>'Technical Skills Weighting'!AF9+"`FU!$LH"</f>
        <v>#VALUE!</v>
      </c>
      <c r="EB58" t="e">
        <f>'Technical Skills Weighting'!AG9+"`FU!$LI"</f>
        <v>#VALUE!</v>
      </c>
      <c r="EC58" t="e">
        <f>'Technical Skills Weighting'!AH9+"`FU!$LJ"</f>
        <v>#VALUE!</v>
      </c>
      <c r="ED58" t="e">
        <f>'Technical Skills Weighting'!AI9+"`FU!$LK"</f>
        <v>#VALUE!</v>
      </c>
      <c r="EE58" t="e">
        <f>'Technical Skills Weighting'!AJ9+"`FU!$LL"</f>
        <v>#VALUE!</v>
      </c>
      <c r="EF58" t="e">
        <f>'Technical Skills Weighting'!AK9+"`FU!$LM"</f>
        <v>#VALUE!</v>
      </c>
      <c r="EG58" t="e">
        <f>'Technical Skills Weighting'!AL9+"`FU!$LN"</f>
        <v>#VALUE!</v>
      </c>
      <c r="EH58" t="e">
        <f>'Technical Skills Weighting'!AM9+"`FU!$LO"</f>
        <v>#VALUE!</v>
      </c>
      <c r="EI58" t="e">
        <f>'Technical Skills Weighting'!AN9+"`FU!$LP"</f>
        <v>#VALUE!</v>
      </c>
      <c r="EJ58" t="e">
        <f>'Technical Skills Weighting'!AO9+"`FU!$LQ"</f>
        <v>#VALUE!</v>
      </c>
      <c r="EK58" t="e">
        <f>'Technical Skills Weighting'!AP9+"`FU!$LR"</f>
        <v>#VALUE!</v>
      </c>
      <c r="EL58" t="e">
        <f>'Technical Skills Weighting'!AQ9+"`FU!$LS"</f>
        <v>#VALUE!</v>
      </c>
      <c r="EM58" t="e">
        <f>'Technical Skills Weighting'!AR9+"`FU!$LT"</f>
        <v>#VALUE!</v>
      </c>
      <c r="EN58" t="e">
        <f>'Technical Skills Weighting'!AS9+"`FU!$LU"</f>
        <v>#VALUE!</v>
      </c>
      <c r="EO58" t="e">
        <f>'Technical Skills Weighting'!AT9+"`FU!$LV"</f>
        <v>#VALUE!</v>
      </c>
      <c r="EP58" t="e">
        <f>'Technical Skills Weighting'!AU9+"`FU!$LW"</f>
        <v>#VALUE!</v>
      </c>
      <c r="EQ58" t="e">
        <f>'Technical Skills Weighting'!AV9+"`FU!$LX"</f>
        <v>#VALUE!</v>
      </c>
      <c r="ER58" t="e">
        <f>'Technical Skills Weighting'!AW9+"`FU!$LY"</f>
        <v>#VALUE!</v>
      </c>
      <c r="ES58" t="e">
        <f>'Technical Skills Weighting'!AX9+"`FU!$LZ"</f>
        <v>#VALUE!</v>
      </c>
      <c r="ET58" t="e">
        <f>'Technical Skills Weighting'!AY9+"`FU!$L["</f>
        <v>#VALUE!</v>
      </c>
      <c r="EU58" t="e">
        <f>'Technical Skills Weighting'!AZ9+"`FU!$L\"</f>
        <v>#VALUE!</v>
      </c>
      <c r="EV58" t="e">
        <f>'Technical Skills Weighting'!BA9+"`FU!$L]"</f>
        <v>#VALUE!</v>
      </c>
      <c r="EW58" t="e">
        <f>'Technical Skills Weighting'!BB9+"`FU!$L^"</f>
        <v>#VALUE!</v>
      </c>
      <c r="EX58" t="e">
        <f>'Technical Skills Weighting'!BC9+"`FU!$L_"</f>
        <v>#VALUE!</v>
      </c>
      <c r="EY58" t="e">
        <f>'Technical Skills Weighting'!BD9+"`FU!$L`"</f>
        <v>#VALUE!</v>
      </c>
      <c r="EZ58" t="e">
        <f>'Technical Skills Weighting'!BE9+"`FU!$La"</f>
        <v>#VALUE!</v>
      </c>
      <c r="FA58" t="e">
        <f>'Technical Skills Weighting'!BF9+"`FU!$Lb"</f>
        <v>#VALUE!</v>
      </c>
      <c r="FB58" t="e">
        <f>'Technical Skills Weighting'!BG9+"`FU!$Lc"</f>
        <v>#VALUE!</v>
      </c>
      <c r="FC58" t="e">
        <f>'Technical Skills Weighting'!BH9+"`FU!$Ld"</f>
        <v>#VALUE!</v>
      </c>
      <c r="FD58" t="e">
        <f>'Technical Skills Weighting'!BI9+"`FU!$Le"</f>
        <v>#VALUE!</v>
      </c>
      <c r="FE58" t="e">
        <f>'Technical Skills Weighting'!BJ9+"`FU!$Lf"</f>
        <v>#VALUE!</v>
      </c>
      <c r="FF58" t="e">
        <f>'Technical Skills Weighting'!BK9+"`FU!$Lg"</f>
        <v>#VALUE!</v>
      </c>
      <c r="FG58" t="e">
        <f>'Technical Skills Weighting'!BL9+"`FU!$Lh"</f>
        <v>#VALUE!</v>
      </c>
      <c r="FH58" t="e">
        <f>'Technical Skills Weighting'!BM9+"`FU!$Li"</f>
        <v>#VALUE!</v>
      </c>
      <c r="FI58" t="e">
        <f>'Technical Skills Weighting'!BN9+"`FU!$Lj"</f>
        <v>#VALUE!</v>
      </c>
      <c r="FJ58" t="e">
        <f>'Technical Skills Weighting'!BO9+"`FU!$Lk"</f>
        <v>#VALUE!</v>
      </c>
      <c r="FK58" t="e">
        <f>'Technical Skills Weighting'!BP9+"`FU!$Ll"</f>
        <v>#VALUE!</v>
      </c>
      <c r="FL58" t="e">
        <f>'Technical Skills Weighting'!BQ9+"`FU!$Lm"</f>
        <v>#VALUE!</v>
      </c>
      <c r="FM58" t="e">
        <f>'Technical Skills Weighting'!BR9+"`FU!$Ln"</f>
        <v>#VALUE!</v>
      </c>
      <c r="FN58" t="e">
        <f>'Technical Skills Weighting'!BS9+"`FU!$Lo"</f>
        <v>#VALUE!</v>
      </c>
      <c r="FO58" t="e">
        <f>'Technical Skills Weighting'!BT9+"`FU!$Lp"</f>
        <v>#VALUE!</v>
      </c>
      <c r="FP58" t="e">
        <f>'Technical Skills Weighting'!BU9+"`FU!$Lq"</f>
        <v>#VALUE!</v>
      </c>
      <c r="FQ58" t="e">
        <f>'Technical Skills Weighting'!BV9+"`FU!$Lr"</f>
        <v>#VALUE!</v>
      </c>
      <c r="FR58" t="e">
        <f>'Technical Skills Weighting'!BW9+"`FU!$Ls"</f>
        <v>#VALUE!</v>
      </c>
      <c r="FS58" t="e">
        <f>'Technical Skills Weighting'!BX9+"`FU!$Lt"</f>
        <v>#VALUE!</v>
      </c>
      <c r="FT58" t="e">
        <f>'Technical Skills Weighting'!BY9+"`FU!$Lu"</f>
        <v>#VALUE!</v>
      </c>
      <c r="FU58" t="e">
        <f>'Technical Skills Weighting'!BZ9+"`FU!$Lv"</f>
        <v>#VALUE!</v>
      </c>
      <c r="FV58" t="e">
        <f>'Technical Skills Weighting'!CA9+"`FU!$Lw"</f>
        <v>#VALUE!</v>
      </c>
      <c r="FW58" t="e">
        <f>'Technical Skills Weighting'!CB9+"`FU!$Lx"</f>
        <v>#VALUE!</v>
      </c>
      <c r="FX58" t="e">
        <f>'Technical Skills Weighting'!CC9+"`FU!$Ly"</f>
        <v>#VALUE!</v>
      </c>
      <c r="FY58" t="e">
        <f>'Technical Skills Weighting'!CD9+"`FU!$Lz"</f>
        <v>#VALUE!</v>
      </c>
      <c r="FZ58" t="e">
        <f>'Technical Skills Weighting'!CE9+"`FU!$L{"</f>
        <v>#VALUE!</v>
      </c>
      <c r="GA58" t="e">
        <f>'Technical Skills Weighting'!CF9+"`FU!$L|"</f>
        <v>#VALUE!</v>
      </c>
      <c r="GB58" t="e">
        <f>'Technical Skills Weighting'!CG9+"`FU!$L}"</f>
        <v>#VALUE!</v>
      </c>
      <c r="GC58" t="e">
        <f>'Technical Skills Weighting'!CH9+"`FU!$L~"</f>
        <v>#VALUE!</v>
      </c>
      <c r="GD58" t="e">
        <f>'Technical Skills Weighting'!CI9+"`FU!$M#"</f>
        <v>#VALUE!</v>
      </c>
      <c r="GE58" t="e">
        <f>'Technical Skills Weighting'!CJ9+"`FU!$M$"</f>
        <v>#VALUE!</v>
      </c>
      <c r="GF58" t="e">
        <f>'Technical Skills Weighting'!CK9+"`FU!$M%"</f>
        <v>#VALUE!</v>
      </c>
      <c r="GG58" t="e">
        <f>'Technical Skills Weighting'!CL9+"`FU!$M&amp;"</f>
        <v>#VALUE!</v>
      </c>
      <c r="GH58" t="e">
        <f>'Technical Skills Weighting'!CM9+"`FU!$M'"</f>
        <v>#VALUE!</v>
      </c>
      <c r="GI58" t="e">
        <f>'Technical Skills Weighting'!CN9+"`FU!$M("</f>
        <v>#VALUE!</v>
      </c>
      <c r="GJ58" t="e">
        <f>'Technical Skills Weighting'!CO9+"`FU!$M)"</f>
        <v>#VALUE!</v>
      </c>
      <c r="GK58" t="e">
        <f>'Technical Skills Weighting'!CP9+"`FU!$M."</f>
        <v>#VALUE!</v>
      </c>
      <c r="GL58" t="e">
        <f>'Technical Skills Weighting'!CQ9+"`FU!$M/"</f>
        <v>#VALUE!</v>
      </c>
      <c r="GM58" t="e">
        <f>'Technical Skills Weighting'!CR9+"`FU!$M0"</f>
        <v>#VALUE!</v>
      </c>
      <c r="GN58" t="e">
        <f>'Technical Skills Weighting'!CS9+"`FU!$M1"</f>
        <v>#VALUE!</v>
      </c>
      <c r="GO58" t="e">
        <f>'Technical Skills Weighting'!CT9+"`FU!$M2"</f>
        <v>#VALUE!</v>
      </c>
      <c r="GP58" t="e">
        <f>'Technical Skills Weighting'!CU9+"`FU!$M3"</f>
        <v>#VALUE!</v>
      </c>
      <c r="GQ58" t="e">
        <f>'Technical Skills Weighting'!CV9+"`FU!$M4"</f>
        <v>#VALUE!</v>
      </c>
      <c r="GR58" t="e">
        <f>'Technical Skills Weighting'!CW9+"`FU!$M5"</f>
        <v>#VALUE!</v>
      </c>
      <c r="GS58" t="e">
        <f>'Technical Skills Weighting'!CX9+"`FU!$M6"</f>
        <v>#VALUE!</v>
      </c>
      <c r="GT58" t="e">
        <f>'Technical Skills Weighting'!CY9+"`FU!$M7"</f>
        <v>#VALUE!</v>
      </c>
      <c r="GU58" t="e">
        <f>'Technical Skills Weighting'!CZ9+"`FU!$M8"</f>
        <v>#VALUE!</v>
      </c>
      <c r="GV58" t="e">
        <f>'Technical Skills Weighting'!DA9+"`FU!$M9"</f>
        <v>#VALUE!</v>
      </c>
      <c r="GW58" t="e">
        <f>'Technical Skills Weighting'!DB9+"`FU!$M:"</f>
        <v>#VALUE!</v>
      </c>
      <c r="GX58" t="e">
        <f>'Technical Skills Weighting'!DC9+"`FU!$M;"</f>
        <v>#VALUE!</v>
      </c>
      <c r="GY58" t="e">
        <f>'Technical Skills Weighting'!DD9+"`FU!$M&lt;"</f>
        <v>#VALUE!</v>
      </c>
      <c r="GZ58" t="e">
        <f>'Technical Skills Weighting'!DE9+"`FU!$M="</f>
        <v>#VALUE!</v>
      </c>
      <c r="HA58" t="e">
        <f>'Technical Skills Weighting'!DF9+"`FU!$M&gt;"</f>
        <v>#VALUE!</v>
      </c>
      <c r="HB58" t="e">
        <f>'Technical Skills Weighting'!DG9+"`FU!$M?"</f>
        <v>#VALUE!</v>
      </c>
      <c r="HC58" t="e">
        <f>'Technical Skills Weighting'!DH9+"`FU!$M@"</f>
        <v>#VALUE!</v>
      </c>
      <c r="HD58" t="e">
        <f>'Technical Skills Weighting'!DI9+"`FU!$MA"</f>
        <v>#VALUE!</v>
      </c>
      <c r="HE58" t="e">
        <f>'Technical Skills Weighting'!DJ9+"`FU!$MB"</f>
        <v>#VALUE!</v>
      </c>
      <c r="HF58" t="e">
        <f>'Technical Skills Weighting'!DK9+"`FU!$MC"</f>
        <v>#VALUE!</v>
      </c>
      <c r="HG58" t="e">
        <f>'Technical Skills Weighting'!DL9+"`FU!$MD"</f>
        <v>#VALUE!</v>
      </c>
      <c r="HH58" t="e">
        <f>'Technical Skills Weighting'!DM9+"`FU!$ME"</f>
        <v>#VALUE!</v>
      </c>
      <c r="HI58" t="e">
        <f>'Technical Skills Weighting'!DN9+"`FU!$MF"</f>
        <v>#VALUE!</v>
      </c>
      <c r="HJ58" t="e">
        <f>'Technical Skills Weighting'!DO9+"`FU!$MG"</f>
        <v>#VALUE!</v>
      </c>
      <c r="HK58" t="e">
        <f>'Technical Skills Weighting'!DP9+"`FU!$MH"</f>
        <v>#VALUE!</v>
      </c>
      <c r="HL58" t="e">
        <f>'Technical Skills Weighting'!DQ9+"`FU!$MI"</f>
        <v>#VALUE!</v>
      </c>
      <c r="HM58" t="e">
        <f>'Technical Skills Weighting'!DR9+"`FU!$MJ"</f>
        <v>#VALUE!</v>
      </c>
      <c r="HN58" t="e">
        <f>'Technical Skills Weighting'!DS9+"`FU!$MK"</f>
        <v>#VALUE!</v>
      </c>
      <c r="HO58" t="e">
        <f>'Technical Skills Weighting'!DT9+"`FU!$ML"</f>
        <v>#VALUE!</v>
      </c>
      <c r="HP58" t="e">
        <f>'Technical Skills Weighting'!DU9+"`FU!$MM"</f>
        <v>#VALUE!</v>
      </c>
      <c r="HQ58" t="e">
        <f>'Technical Skills Weighting'!DV9+"`FU!$MN"</f>
        <v>#VALUE!</v>
      </c>
      <c r="HR58" t="e">
        <f>'Technical Skills Weighting'!DW9+"`FU!$MO"</f>
        <v>#VALUE!</v>
      </c>
      <c r="HS58" t="e">
        <f>'Technical Skills Weighting'!DX9+"`FU!$MP"</f>
        <v>#VALUE!</v>
      </c>
      <c r="HT58" t="e">
        <f>'Technical Skills Weighting'!DY9+"`FU!$MQ"</f>
        <v>#VALUE!</v>
      </c>
      <c r="HU58" t="e">
        <f>'Technical Skills Weighting'!DZ9+"`FU!$MR"</f>
        <v>#VALUE!</v>
      </c>
      <c r="HV58" t="e">
        <f>'Technical Skills Weighting'!EA9+"`FU!$MS"</f>
        <v>#VALUE!</v>
      </c>
      <c r="HW58" t="e">
        <f>'Technical Skills Weighting'!EB9+"`FU!$MT"</f>
        <v>#VALUE!</v>
      </c>
      <c r="HX58" t="e">
        <f>'Technical Skills Weighting'!EC9+"`FU!$MU"</f>
        <v>#VALUE!</v>
      </c>
      <c r="HY58" t="e">
        <f>'Technical Skills Weighting'!ED9+"`FU!$MV"</f>
        <v>#VALUE!</v>
      </c>
      <c r="HZ58" t="e">
        <f>'Technical Skills Weighting'!EE9+"`FU!$MW"</f>
        <v>#VALUE!</v>
      </c>
      <c r="IA58" t="e">
        <f>'Technical Skills Weighting'!EF9+"`FU!$MX"</f>
        <v>#VALUE!</v>
      </c>
      <c r="IB58" t="e">
        <f>'Technical Skills Weighting'!EG9+"`FU!$MY"</f>
        <v>#VALUE!</v>
      </c>
      <c r="IC58" t="e">
        <f>'Technical Skills Weighting'!EH9+"`FU!$MZ"</f>
        <v>#VALUE!</v>
      </c>
      <c r="ID58" t="e">
        <f>'Technical Skills Weighting'!EI9+"`FU!$M["</f>
        <v>#VALUE!</v>
      </c>
      <c r="IE58" t="e">
        <f>'Technical Skills Weighting'!EJ9+"`FU!$M\"</f>
        <v>#VALUE!</v>
      </c>
      <c r="IF58" t="e">
        <f>'Technical Skills Weighting'!EK9+"`FU!$M]"</f>
        <v>#VALUE!</v>
      </c>
      <c r="IG58" t="e">
        <f>'Technical Skills Weighting'!EL9+"`FU!$M^"</f>
        <v>#VALUE!</v>
      </c>
      <c r="IH58" t="e">
        <f>'Technical Skills Weighting'!EM9+"`FU!$M_"</f>
        <v>#VALUE!</v>
      </c>
      <c r="II58" t="e">
        <f>'Technical Skills Weighting'!EN9+"`FU!$M`"</f>
        <v>#VALUE!</v>
      </c>
      <c r="IJ58" t="e">
        <f>'Technical Skills Weighting'!EO9+"`FU!$Ma"</f>
        <v>#VALUE!</v>
      </c>
      <c r="IK58" t="e">
        <f>'Technical Skills Weighting'!EP9+"`FU!$Mb"</f>
        <v>#VALUE!</v>
      </c>
      <c r="IL58" t="e">
        <f>'Technical Skills Weighting'!EQ9+"`FU!$Mc"</f>
        <v>#VALUE!</v>
      </c>
      <c r="IM58" t="e">
        <f>'Technical Skills Weighting'!ER9+"`FU!$Md"</f>
        <v>#VALUE!</v>
      </c>
      <c r="IN58" t="e">
        <f>'Technical Skills Weighting'!ES9+"`FU!$Me"</f>
        <v>#VALUE!</v>
      </c>
      <c r="IO58" t="e">
        <f>'Technical Skills Weighting'!ET9+"`FU!$Mf"</f>
        <v>#VALUE!</v>
      </c>
      <c r="IP58" t="e">
        <f>'Technical Skills Weighting'!EU9+"`FU!$Mg"</f>
        <v>#VALUE!</v>
      </c>
      <c r="IQ58" t="e">
        <f>'Technical Skills Weighting'!EV9+"`FU!$Mh"</f>
        <v>#VALUE!</v>
      </c>
      <c r="IR58" t="e">
        <f>'Technical Skills Weighting'!EW9+"`FU!$Mi"</f>
        <v>#VALUE!</v>
      </c>
      <c r="IS58" t="e">
        <f>'Technical Skills Weighting'!EX9+"`FU!$Mj"</f>
        <v>#VALUE!</v>
      </c>
      <c r="IT58" t="e">
        <f>'Technical Skills Weighting'!EY9+"`FU!$Mk"</f>
        <v>#VALUE!</v>
      </c>
      <c r="IU58" t="e">
        <f>'Technical Skills Weighting'!EZ9+"`FU!$Ml"</f>
        <v>#VALUE!</v>
      </c>
      <c r="IV58" t="e">
        <f>'Technical Skills Weighting'!FA9+"`FU!$Mm"</f>
        <v>#VALUE!</v>
      </c>
    </row>
    <row r="59" spans="6:256" x14ac:dyDescent="0.25">
      <c r="F59" t="e">
        <f>'Technical Skills Weighting'!FB9+"`FU!$Mn"</f>
        <v>#VALUE!</v>
      </c>
      <c r="G59" t="e">
        <f>'Technical Skills Weighting'!FC9+"`FU!$Mo"</f>
        <v>#VALUE!</v>
      </c>
      <c r="H59" t="e">
        <f>'Technical Skills Weighting'!FD9+"`FU!$Mp"</f>
        <v>#VALUE!</v>
      </c>
      <c r="I59" t="e">
        <f>'Technical Skills Weighting'!FE9+"`FU!$Mq"</f>
        <v>#VALUE!</v>
      </c>
      <c r="J59" t="e">
        <f>'Technical Skills Weighting'!FF9+"`FU!$Mr"</f>
        <v>#VALUE!</v>
      </c>
      <c r="K59" t="e">
        <f>'Technical Skills Weighting'!FG9+"`FU!$Ms"</f>
        <v>#VALUE!</v>
      </c>
      <c r="L59" t="e">
        <f>'Technical Skills Weighting'!FH9+"`FU!$Mt"</f>
        <v>#VALUE!</v>
      </c>
      <c r="M59" t="e">
        <f>'Technical Skills Weighting'!FI9+"`FU!$Mu"</f>
        <v>#VALUE!</v>
      </c>
      <c r="N59" t="e">
        <f>'Technical Skills Weighting'!FJ9+"`FU!$Mv"</f>
        <v>#VALUE!</v>
      </c>
      <c r="O59" t="e">
        <f>'Technical Skills Weighting'!FK9+"`FU!$Mw"</f>
        <v>#VALUE!</v>
      </c>
      <c r="P59" t="e">
        <f>'Technical Skills Weighting'!FL9+"`FU!$Mx"</f>
        <v>#VALUE!</v>
      </c>
      <c r="Q59" t="e">
        <f>'Technical Skills Weighting'!FM9+"`FU!$My"</f>
        <v>#VALUE!</v>
      </c>
      <c r="R59" t="e">
        <f>'Technical Skills Weighting'!FN9+"`FU!$Mz"</f>
        <v>#VALUE!</v>
      </c>
      <c r="S59" t="e">
        <f>'Technical Skills Weighting'!FO9+"`FU!$M{"</f>
        <v>#VALUE!</v>
      </c>
      <c r="T59" t="e">
        <f>'Technical Skills Weighting'!FP9+"`FU!$M|"</f>
        <v>#VALUE!</v>
      </c>
      <c r="U59" t="e">
        <f>'Technical Skills Weighting'!FQ9+"`FU!$M}"</f>
        <v>#VALUE!</v>
      </c>
      <c r="V59" t="e">
        <f>'Technical Skills Weighting'!FR9+"`FU!$M~"</f>
        <v>#VALUE!</v>
      </c>
      <c r="W59" t="e">
        <f>'Technical Skills Weighting'!FS9+"`FU!$N#"</f>
        <v>#VALUE!</v>
      </c>
      <c r="X59" t="e">
        <f>'Technical Skills Weighting'!FT9+"`FU!$N$"</f>
        <v>#VALUE!</v>
      </c>
      <c r="Y59" t="e">
        <f>'Technical Skills Weighting'!FU9+"`FU!$N%"</f>
        <v>#VALUE!</v>
      </c>
      <c r="Z59" t="e">
        <f>'Technical Skills Weighting'!FV9+"`FU!$N&amp;"</f>
        <v>#VALUE!</v>
      </c>
      <c r="AA59" t="e">
        <f>'Technical Skills Weighting'!FW9+"`FU!$N'"</f>
        <v>#VALUE!</v>
      </c>
      <c r="AB59" t="e">
        <f>'Technical Skills Weighting'!FX9+"`FU!$N("</f>
        <v>#VALUE!</v>
      </c>
      <c r="AC59" t="e">
        <f>'Technical Skills Weighting'!FY9+"`FU!$N)"</f>
        <v>#VALUE!</v>
      </c>
      <c r="AD59" t="e">
        <f>'Technical Skills Weighting'!FZ9+"`FU!$N."</f>
        <v>#VALUE!</v>
      </c>
      <c r="AE59" t="e">
        <f>'Technical Skills Weighting'!GA9+"`FU!$N/"</f>
        <v>#VALUE!</v>
      </c>
      <c r="AF59" t="e">
        <f>'Technical Skills Weighting'!GB9+"`FU!$N0"</f>
        <v>#VALUE!</v>
      </c>
      <c r="AG59" t="e">
        <f>'Technical Skills Weighting'!GC9+"`FU!$N1"</f>
        <v>#VALUE!</v>
      </c>
      <c r="AH59" t="e">
        <f>'Technical Skills Weighting'!GD9+"`FU!$N2"</f>
        <v>#VALUE!</v>
      </c>
      <c r="AI59" t="e">
        <f>'Technical Skills Weighting'!GE9+"`FU!$N3"</f>
        <v>#VALUE!</v>
      </c>
      <c r="AJ59" t="e">
        <f>'Technical Skills Weighting'!GF9+"`FU!$N4"</f>
        <v>#VALUE!</v>
      </c>
      <c r="AK59" t="e">
        <f>'Technical Skills Weighting'!GG9+"`FU!$N5"</f>
        <v>#VALUE!</v>
      </c>
      <c r="AL59" t="e">
        <f>'Technical Skills Weighting'!GH9+"`FU!$N6"</f>
        <v>#VALUE!</v>
      </c>
      <c r="AM59" t="e">
        <f>'Technical Skills Weighting'!GI9+"`FU!$N7"</f>
        <v>#VALUE!</v>
      </c>
      <c r="AN59" t="e">
        <f>'Technical Skills Weighting'!#REF!+"`FU!$N8"</f>
        <v>#REF!</v>
      </c>
      <c r="AO59" t="e">
        <f>'Technical Skills Weighting'!#REF!+"`FU!$N9"</f>
        <v>#REF!</v>
      </c>
      <c r="AP59" t="e">
        <f>'Technical Skills Weighting'!B10+"`FU!$N:"</f>
        <v>#VALUE!</v>
      </c>
      <c r="AQ59" t="e">
        <f>'Technical Skills Weighting'!D10+"`FU!$N;"</f>
        <v>#VALUE!</v>
      </c>
      <c r="AR59" t="e">
        <f>'Technical Skills Weighting'!E10+"`FU!$N&lt;"</f>
        <v>#VALUE!</v>
      </c>
      <c r="AS59" t="e">
        <f>'Technical Skills Weighting'!D11+"`FU!$N="</f>
        <v>#VALUE!</v>
      </c>
      <c r="AT59" t="e">
        <f>'Technical Skills Weighting'!E11+"`FU!$N&gt;"</f>
        <v>#VALUE!</v>
      </c>
      <c r="AU59" t="e">
        <f>'Technical Skills Weighting'!F11+"`FU!$N?"</f>
        <v>#VALUE!</v>
      </c>
      <c r="AV59" t="e">
        <f>'Technical Skills Weighting'!G11+"`FU!$N@"</f>
        <v>#VALUE!</v>
      </c>
      <c r="AW59" t="e">
        <f>'Technical Skills Weighting'!D12+"`FU!$NA"</f>
        <v>#VALUE!</v>
      </c>
      <c r="AX59" t="e">
        <f>'Technical Skills Weighting'!E12+"`FU!$NB"</f>
        <v>#VALUE!</v>
      </c>
      <c r="AY59" t="e">
        <f>'Technical Skills Weighting'!F12+"`FU!$NC"</f>
        <v>#VALUE!</v>
      </c>
      <c r="AZ59" t="e">
        <f>'Technical Skills Weighting'!G12+"`FU!$ND"</f>
        <v>#VALUE!</v>
      </c>
      <c r="BA59" t="e">
        <f>'Technical Skills Weighting'!D13+"`FU!$NE"</f>
        <v>#VALUE!</v>
      </c>
      <c r="BB59" t="e">
        <f>'Technical Skills Weighting'!E13+"`FU!$NF"</f>
        <v>#VALUE!</v>
      </c>
      <c r="BC59" t="e">
        <f>'Technical Skills Weighting'!F13+"`FU!$NG"</f>
        <v>#VALUE!</v>
      </c>
      <c r="BD59" t="e">
        <f>'Technical Skills Weighting'!G13+"`FU!$NH"</f>
        <v>#VALUE!</v>
      </c>
      <c r="BE59" t="e">
        <f>'Technical Skills Weighting'!D14+"`FU!$NI"</f>
        <v>#VALUE!</v>
      </c>
      <c r="BF59" t="e">
        <f>'Technical Skills Weighting'!E14+"`FU!$NJ"</f>
        <v>#VALUE!</v>
      </c>
      <c r="BG59" t="e">
        <f>'Technical Skills Weighting'!F14+"`FU!$NK"</f>
        <v>#VALUE!</v>
      </c>
      <c r="BH59" t="e">
        <f>'Technical Skills Weighting'!G14+"`FU!$NL"</f>
        <v>#VALUE!</v>
      </c>
      <c r="BI59" t="e">
        <f>'Technical Skills Weighting'!D15+"`FU!$NM"</f>
        <v>#VALUE!</v>
      </c>
      <c r="BJ59" t="e">
        <f>'Technical Skills Weighting'!E15+"`FU!$NN"</f>
        <v>#VALUE!</v>
      </c>
      <c r="BK59" t="e">
        <f>'Technical Skills Weighting'!F15+"`FU!$NO"</f>
        <v>#VALUE!</v>
      </c>
      <c r="BL59" t="e">
        <f>'Technical Skills Weighting'!G15+"`FU!$NP"</f>
        <v>#VALUE!</v>
      </c>
      <c r="BM59" t="e">
        <f>'Technical Skills Weighting'!A16+"`FU!$NQ"</f>
        <v>#VALUE!</v>
      </c>
      <c r="BN59" t="e">
        <f>'Technical Skills Weighting'!D16+"`FU!$NR"</f>
        <v>#VALUE!</v>
      </c>
      <c r="BO59" t="e">
        <f>'Technical Skills Weighting'!E16+"`FU!$NS"</f>
        <v>#VALUE!</v>
      </c>
      <c r="BP59" t="e">
        <f>'Technical Skills Weighting'!F16+"`FU!$NT"</f>
        <v>#VALUE!</v>
      </c>
      <c r="BQ59" t="e">
        <f>'Technical Skills Weighting'!G16+"`FU!$NU"</f>
        <v>#VALUE!</v>
      </c>
      <c r="BR59" t="e">
        <f>'Technical Skills Weighting'!H16+"`FU!$NV"</f>
        <v>#VALUE!</v>
      </c>
      <c r="BS59" t="e">
        <f>'Technical Skills Weighting'!I16+"`FU!$NW"</f>
        <v>#VALUE!</v>
      </c>
      <c r="BT59" t="e">
        <f>'Technical Skills Weighting'!J16+"`FU!$NX"</f>
        <v>#VALUE!</v>
      </c>
      <c r="BU59" t="e">
        <f>'Technical Skills Weighting'!K16+"`FU!$NY"</f>
        <v>#VALUE!</v>
      </c>
      <c r="BV59" t="e">
        <f>'Technical Skills Weighting'!L16+"`FU!$NZ"</f>
        <v>#VALUE!</v>
      </c>
      <c r="BW59" t="e">
        <f>'Technical Skills Weighting'!M16+"`FU!$N["</f>
        <v>#VALUE!</v>
      </c>
      <c r="BX59" t="e">
        <f>'Technical Skills Weighting'!N16+"`FU!$N\"</f>
        <v>#VALUE!</v>
      </c>
      <c r="BY59" t="e">
        <f>'Technical Skills Weighting'!O16+"`FU!$N]"</f>
        <v>#VALUE!</v>
      </c>
      <c r="BZ59" t="e">
        <f>'Technical Skills Weighting'!P16+"`FU!$N^"</f>
        <v>#VALUE!</v>
      </c>
      <c r="CA59" t="e">
        <f>'Technical Skills Weighting'!Q16+"`FU!$N_"</f>
        <v>#VALUE!</v>
      </c>
      <c r="CB59" t="e">
        <f>'Technical Skills Weighting'!R16+"`FU!$N`"</f>
        <v>#VALUE!</v>
      </c>
      <c r="CC59" t="e">
        <f>'Technical Skills Weighting'!S16+"`FU!$Na"</f>
        <v>#VALUE!</v>
      </c>
      <c r="CD59" t="e">
        <f>'Technical Skills Weighting'!T16+"`FU!$Nb"</f>
        <v>#VALUE!</v>
      </c>
      <c r="CE59" t="e">
        <f>'Technical Skills Weighting'!U16+"`FU!$Nc"</f>
        <v>#VALUE!</v>
      </c>
      <c r="CF59" t="e">
        <f>'Technical Skills Weighting'!V16+"`FU!$Nd"</f>
        <v>#VALUE!</v>
      </c>
      <c r="CG59" t="e">
        <f>'Technical Skills Weighting'!W16+"`FU!$Ne"</f>
        <v>#VALUE!</v>
      </c>
      <c r="CH59" t="e">
        <f>'Technical Skills Weighting'!X16+"`FU!$Nf"</f>
        <v>#VALUE!</v>
      </c>
      <c r="CI59" t="e">
        <f>'Technical Skills Weighting'!Y16+"`FU!$Ng"</f>
        <v>#VALUE!</v>
      </c>
      <c r="CJ59" t="e">
        <f>'Technical Skills Weighting'!Z16+"`FU!$Nh"</f>
        <v>#VALUE!</v>
      </c>
      <c r="CK59" t="e">
        <f>'Technical Skills Weighting'!AA16+"`FU!$Ni"</f>
        <v>#VALUE!</v>
      </c>
      <c r="CL59" t="e">
        <f>'Technical Skills Weighting'!AB16+"`FU!$Nj"</f>
        <v>#VALUE!</v>
      </c>
      <c r="CM59" t="e">
        <f>'Technical Skills Weighting'!AC16+"`FU!$Nk"</f>
        <v>#VALUE!</v>
      </c>
      <c r="CN59" t="e">
        <f>'Technical Skills Weighting'!AD16+"`FU!$Nl"</f>
        <v>#VALUE!</v>
      </c>
      <c r="CO59" t="e">
        <f>'Technical Skills Weighting'!AE16+"`FU!$Nm"</f>
        <v>#VALUE!</v>
      </c>
      <c r="CP59" t="e">
        <f>'Technical Skills Weighting'!AF16+"`FU!$Nn"</f>
        <v>#VALUE!</v>
      </c>
      <c r="CQ59" t="e">
        <f>'Technical Skills Weighting'!AG16+"`FU!$No"</f>
        <v>#VALUE!</v>
      </c>
      <c r="CR59" t="e">
        <f>'Technical Skills Weighting'!AH16+"`FU!$Np"</f>
        <v>#VALUE!</v>
      </c>
      <c r="CS59" t="e">
        <f>'Technical Skills Weighting'!AI16+"`FU!$Nq"</f>
        <v>#VALUE!</v>
      </c>
      <c r="CT59" t="e">
        <f>'Technical Skills Weighting'!AJ16+"`FU!$Nr"</f>
        <v>#VALUE!</v>
      </c>
      <c r="CU59" t="e">
        <f>'Technical Skills Weighting'!AK16+"`FU!$Ns"</f>
        <v>#VALUE!</v>
      </c>
      <c r="CV59" t="e">
        <f>'Technical Skills Weighting'!AL16+"`FU!$Nt"</f>
        <v>#VALUE!</v>
      </c>
      <c r="CW59" t="e">
        <f>'Technical Skills Weighting'!AM16+"`FU!$Nu"</f>
        <v>#VALUE!</v>
      </c>
      <c r="CX59" t="e">
        <f>'Technical Skills Weighting'!AN16+"`FU!$Nv"</f>
        <v>#VALUE!</v>
      </c>
      <c r="CY59" t="e">
        <f>'Technical Skills Weighting'!AO16+"`FU!$Nw"</f>
        <v>#VALUE!</v>
      </c>
      <c r="CZ59" t="e">
        <f>'Technical Skills Weighting'!AP16+"`FU!$Nx"</f>
        <v>#VALUE!</v>
      </c>
      <c r="DA59" t="e">
        <f>'Technical Skills Weighting'!AQ16+"`FU!$Ny"</f>
        <v>#VALUE!</v>
      </c>
      <c r="DB59" t="e">
        <f>'Technical Skills Weighting'!AR16+"`FU!$Nz"</f>
        <v>#VALUE!</v>
      </c>
      <c r="DC59" t="e">
        <f>'Technical Skills Weighting'!AS16+"`FU!$N{"</f>
        <v>#VALUE!</v>
      </c>
      <c r="DD59" t="e">
        <f>'Technical Skills Weighting'!AT16+"`FU!$N|"</f>
        <v>#VALUE!</v>
      </c>
      <c r="DE59" t="e">
        <f>'Technical Skills Weighting'!AU16+"`FU!$N}"</f>
        <v>#VALUE!</v>
      </c>
      <c r="DF59" t="e">
        <f>'Technical Skills Weighting'!AV16+"`FU!$N~"</f>
        <v>#VALUE!</v>
      </c>
      <c r="DG59" t="e">
        <f>'Technical Skills Weighting'!AW16+"`FU!$O#"</f>
        <v>#VALUE!</v>
      </c>
      <c r="DH59" t="e">
        <f>'Technical Skills Weighting'!AX16+"`FU!$O$"</f>
        <v>#VALUE!</v>
      </c>
      <c r="DI59" t="e">
        <f>'Technical Skills Weighting'!AY16+"`FU!$O%"</f>
        <v>#VALUE!</v>
      </c>
      <c r="DJ59" t="e">
        <f>'Technical Skills Weighting'!AZ16+"`FU!$O&amp;"</f>
        <v>#VALUE!</v>
      </c>
      <c r="DK59" t="e">
        <f>'Technical Skills Weighting'!BA16+"`FU!$O'"</f>
        <v>#VALUE!</v>
      </c>
      <c r="DL59" t="e">
        <f>'Technical Skills Weighting'!BB16+"`FU!$O("</f>
        <v>#VALUE!</v>
      </c>
      <c r="DM59" t="e">
        <f>'Technical Skills Weighting'!BC16+"`FU!$O)"</f>
        <v>#VALUE!</v>
      </c>
      <c r="DN59" t="e">
        <f>'Technical Skills Weighting'!BD16+"`FU!$O."</f>
        <v>#VALUE!</v>
      </c>
      <c r="DO59" t="e">
        <f>'Technical Skills Weighting'!BE16+"`FU!$O/"</f>
        <v>#VALUE!</v>
      </c>
      <c r="DP59" t="e">
        <f>'Technical Skills Weighting'!BF16+"`FU!$O0"</f>
        <v>#VALUE!</v>
      </c>
      <c r="DQ59" t="e">
        <f>'Technical Skills Weighting'!BG16+"`FU!$O1"</f>
        <v>#VALUE!</v>
      </c>
      <c r="DR59" t="e">
        <f>'Technical Skills Weighting'!BH16+"`FU!$O2"</f>
        <v>#VALUE!</v>
      </c>
      <c r="DS59" t="e">
        <f>'Technical Skills Weighting'!BI16+"`FU!$O3"</f>
        <v>#VALUE!</v>
      </c>
      <c r="DT59" t="e">
        <f>'Technical Skills Weighting'!BJ16+"`FU!$O4"</f>
        <v>#VALUE!</v>
      </c>
      <c r="DU59" t="e">
        <f>'Technical Skills Weighting'!BK16+"`FU!$O5"</f>
        <v>#VALUE!</v>
      </c>
      <c r="DV59" t="e">
        <f>'Technical Skills Weighting'!BL16+"`FU!$O6"</f>
        <v>#VALUE!</v>
      </c>
      <c r="DW59" t="e">
        <f>'Technical Skills Weighting'!BM16+"`FU!$O7"</f>
        <v>#VALUE!</v>
      </c>
      <c r="DX59" t="e">
        <f>'Technical Skills Weighting'!BN16+"`FU!$O8"</f>
        <v>#VALUE!</v>
      </c>
      <c r="DY59" t="e">
        <f>'Technical Skills Weighting'!BO16+"`FU!$O9"</f>
        <v>#VALUE!</v>
      </c>
      <c r="DZ59" t="e">
        <f>'Technical Skills Weighting'!BP16+"`FU!$O:"</f>
        <v>#VALUE!</v>
      </c>
      <c r="EA59" t="e">
        <f>'Technical Skills Weighting'!BQ16+"`FU!$O;"</f>
        <v>#VALUE!</v>
      </c>
      <c r="EB59" t="e">
        <f>'Technical Skills Weighting'!BR16+"`FU!$O&lt;"</f>
        <v>#VALUE!</v>
      </c>
      <c r="EC59" t="e">
        <f>'Technical Skills Weighting'!BS16+"`FU!$O="</f>
        <v>#VALUE!</v>
      </c>
      <c r="ED59" t="e">
        <f>'Technical Skills Weighting'!BT16+"`FU!$O&gt;"</f>
        <v>#VALUE!</v>
      </c>
      <c r="EE59" t="e">
        <f>'Technical Skills Weighting'!BU16+"`FU!$O?"</f>
        <v>#VALUE!</v>
      </c>
      <c r="EF59" t="e">
        <f>'Technical Skills Weighting'!BV16+"`FU!$O@"</f>
        <v>#VALUE!</v>
      </c>
      <c r="EG59" t="e">
        <f>'Technical Skills Weighting'!BW16+"`FU!$OA"</f>
        <v>#VALUE!</v>
      </c>
      <c r="EH59" t="e">
        <f>'Technical Skills Weighting'!BX16+"`FU!$OB"</f>
        <v>#VALUE!</v>
      </c>
      <c r="EI59" t="e">
        <f>'Technical Skills Weighting'!BY16+"`FU!$OC"</f>
        <v>#VALUE!</v>
      </c>
      <c r="EJ59" t="e">
        <f>'Technical Skills Weighting'!BZ16+"`FU!$OD"</f>
        <v>#VALUE!</v>
      </c>
      <c r="EK59" t="e">
        <f>'Technical Skills Weighting'!CA16+"`FU!$OE"</f>
        <v>#VALUE!</v>
      </c>
      <c r="EL59" t="e">
        <f>'Technical Skills Weighting'!CB16+"`FU!$OF"</f>
        <v>#VALUE!</v>
      </c>
      <c r="EM59" t="e">
        <f>'Technical Skills Weighting'!CC16+"`FU!$OG"</f>
        <v>#VALUE!</v>
      </c>
      <c r="EN59" t="e">
        <f>'Technical Skills Weighting'!CD16+"`FU!$OH"</f>
        <v>#VALUE!</v>
      </c>
      <c r="EO59" t="e">
        <f>'Technical Skills Weighting'!CE16+"`FU!$OI"</f>
        <v>#VALUE!</v>
      </c>
      <c r="EP59" t="e">
        <f>'Technical Skills Weighting'!CF16+"`FU!$OJ"</f>
        <v>#VALUE!</v>
      </c>
      <c r="EQ59" t="e">
        <f>'Technical Skills Weighting'!CG16+"`FU!$OK"</f>
        <v>#VALUE!</v>
      </c>
      <c r="ER59" t="e">
        <f>'Technical Skills Weighting'!CH16+"`FU!$OL"</f>
        <v>#VALUE!</v>
      </c>
      <c r="ES59" t="e">
        <f>'Technical Skills Weighting'!CI16+"`FU!$OM"</f>
        <v>#VALUE!</v>
      </c>
      <c r="ET59" t="e">
        <f>'Technical Skills Weighting'!CJ16+"`FU!$ON"</f>
        <v>#VALUE!</v>
      </c>
      <c r="EU59" t="e">
        <f>'Technical Skills Weighting'!CK16+"`FU!$OO"</f>
        <v>#VALUE!</v>
      </c>
      <c r="EV59" t="e">
        <f>'Technical Skills Weighting'!CL16+"`FU!$OP"</f>
        <v>#VALUE!</v>
      </c>
      <c r="EW59" t="e">
        <f>'Technical Skills Weighting'!CM16+"`FU!$OQ"</f>
        <v>#VALUE!</v>
      </c>
      <c r="EX59" t="e">
        <f>'Technical Skills Weighting'!CN16+"`FU!$OR"</f>
        <v>#VALUE!</v>
      </c>
      <c r="EY59" t="e">
        <f>'Technical Skills Weighting'!CO16+"`FU!$OS"</f>
        <v>#VALUE!</v>
      </c>
      <c r="EZ59" t="e">
        <f>'Technical Skills Weighting'!CP16+"`FU!$OT"</f>
        <v>#VALUE!</v>
      </c>
      <c r="FA59" t="e">
        <f>'Technical Skills Weighting'!CQ16+"`FU!$OU"</f>
        <v>#VALUE!</v>
      </c>
      <c r="FB59" t="e">
        <f>'Technical Skills Weighting'!CR16+"`FU!$OV"</f>
        <v>#VALUE!</v>
      </c>
      <c r="FC59" t="e">
        <f>'Technical Skills Weighting'!CS16+"`FU!$OW"</f>
        <v>#VALUE!</v>
      </c>
      <c r="FD59" t="e">
        <f>'Technical Skills Weighting'!CT16+"`FU!$OX"</f>
        <v>#VALUE!</v>
      </c>
      <c r="FE59" t="e">
        <f>'Technical Skills Weighting'!CU16+"`FU!$OY"</f>
        <v>#VALUE!</v>
      </c>
      <c r="FF59" t="e">
        <f>'Technical Skills Weighting'!CV16+"`FU!$OZ"</f>
        <v>#VALUE!</v>
      </c>
      <c r="FG59" t="e">
        <f>'Technical Skills Weighting'!CW16+"`FU!$O["</f>
        <v>#VALUE!</v>
      </c>
      <c r="FH59" t="e">
        <f>'Technical Skills Weighting'!CX16+"`FU!$O\"</f>
        <v>#VALUE!</v>
      </c>
      <c r="FI59" t="e">
        <f>'Technical Skills Weighting'!CY16+"`FU!$O]"</f>
        <v>#VALUE!</v>
      </c>
      <c r="FJ59" t="e">
        <f>'Technical Skills Weighting'!CZ16+"`FU!$O^"</f>
        <v>#VALUE!</v>
      </c>
      <c r="FK59" t="e">
        <f>'Technical Skills Weighting'!DA16+"`FU!$O_"</f>
        <v>#VALUE!</v>
      </c>
      <c r="FL59" t="e">
        <f>'Technical Skills Weighting'!DB16+"`FU!$O`"</f>
        <v>#VALUE!</v>
      </c>
      <c r="FM59" t="e">
        <f>'Technical Skills Weighting'!DC16+"`FU!$Oa"</f>
        <v>#VALUE!</v>
      </c>
      <c r="FN59" t="e">
        <f>'Technical Skills Weighting'!DD16+"`FU!$Ob"</f>
        <v>#VALUE!</v>
      </c>
      <c r="FO59" t="e">
        <f>'Technical Skills Weighting'!DE16+"`FU!$Oc"</f>
        <v>#VALUE!</v>
      </c>
      <c r="FP59" t="e">
        <f>'Technical Skills Weighting'!DF16+"`FU!$Od"</f>
        <v>#VALUE!</v>
      </c>
      <c r="FQ59" t="e">
        <f>'Technical Skills Weighting'!DG16+"`FU!$Oe"</f>
        <v>#VALUE!</v>
      </c>
      <c r="FR59" t="e">
        <f>'Technical Skills Weighting'!DH16+"`FU!$Of"</f>
        <v>#VALUE!</v>
      </c>
      <c r="FS59" t="e">
        <f>'Technical Skills Weighting'!DI16+"`FU!$Og"</f>
        <v>#VALUE!</v>
      </c>
      <c r="FT59" t="e">
        <f>'Technical Skills Weighting'!DJ16+"`FU!$Oh"</f>
        <v>#VALUE!</v>
      </c>
      <c r="FU59" t="e">
        <f>'Technical Skills Weighting'!DK16+"`FU!$Oi"</f>
        <v>#VALUE!</v>
      </c>
      <c r="FV59" t="e">
        <f>'Technical Skills Weighting'!DL16+"`FU!$Oj"</f>
        <v>#VALUE!</v>
      </c>
      <c r="FW59" t="e">
        <f>'Technical Skills Weighting'!DM16+"`FU!$Ok"</f>
        <v>#VALUE!</v>
      </c>
      <c r="FX59" t="e">
        <f>'Technical Skills Weighting'!DN16+"`FU!$Ol"</f>
        <v>#VALUE!</v>
      </c>
      <c r="FY59" t="e">
        <f>'Technical Skills Weighting'!DO16+"`FU!$Om"</f>
        <v>#VALUE!</v>
      </c>
      <c r="FZ59" t="e">
        <f>'Technical Skills Weighting'!DP16+"`FU!$On"</f>
        <v>#VALUE!</v>
      </c>
      <c r="GA59" t="e">
        <f>'Technical Skills Weighting'!DQ16+"`FU!$Oo"</f>
        <v>#VALUE!</v>
      </c>
      <c r="GB59" t="e">
        <f>'Technical Skills Weighting'!DR16+"`FU!$Op"</f>
        <v>#VALUE!</v>
      </c>
      <c r="GC59" t="e">
        <f>'Technical Skills Weighting'!DS16+"`FU!$Oq"</f>
        <v>#VALUE!</v>
      </c>
      <c r="GD59" t="e">
        <f>'Technical Skills Weighting'!DT16+"`FU!$Or"</f>
        <v>#VALUE!</v>
      </c>
      <c r="GE59" t="e">
        <f>'Technical Skills Weighting'!DU16+"`FU!$Os"</f>
        <v>#VALUE!</v>
      </c>
      <c r="GF59" t="e">
        <f>'Technical Skills Weighting'!DV16+"`FU!$Ot"</f>
        <v>#VALUE!</v>
      </c>
      <c r="GG59" t="e">
        <f>'Technical Skills Weighting'!DW16+"`FU!$Ou"</f>
        <v>#VALUE!</v>
      </c>
      <c r="GH59" t="e">
        <f>'Technical Skills Weighting'!DX16+"`FU!$Ov"</f>
        <v>#VALUE!</v>
      </c>
      <c r="GI59" t="e">
        <f>'Technical Skills Weighting'!DY16+"`FU!$Ow"</f>
        <v>#VALUE!</v>
      </c>
      <c r="GJ59" t="e">
        <f>'Technical Skills Weighting'!DZ16+"`FU!$Ox"</f>
        <v>#VALUE!</v>
      </c>
      <c r="GK59" t="e">
        <f>'Technical Skills Weighting'!EA16+"`FU!$Oy"</f>
        <v>#VALUE!</v>
      </c>
      <c r="GL59" t="e">
        <f>'Technical Skills Weighting'!EB16+"`FU!$Oz"</f>
        <v>#VALUE!</v>
      </c>
      <c r="GM59" t="e">
        <f>'Technical Skills Weighting'!EC16+"`FU!$O{"</f>
        <v>#VALUE!</v>
      </c>
      <c r="GN59" t="e">
        <f>'Technical Skills Weighting'!ED16+"`FU!$O|"</f>
        <v>#VALUE!</v>
      </c>
      <c r="GO59" t="e">
        <f>'Technical Skills Weighting'!EE16+"`FU!$O}"</f>
        <v>#VALUE!</v>
      </c>
      <c r="GP59" t="e">
        <f>'Technical Skills Weighting'!EF16+"`FU!$O~"</f>
        <v>#VALUE!</v>
      </c>
      <c r="GQ59" t="e">
        <f>'Technical Skills Weighting'!EG16+"`FU!$P#"</f>
        <v>#VALUE!</v>
      </c>
      <c r="GR59" t="e">
        <f>'Technical Skills Weighting'!EH16+"`FU!$P$"</f>
        <v>#VALUE!</v>
      </c>
      <c r="GS59" t="e">
        <f>'Technical Skills Weighting'!EI16+"`FU!$P%"</f>
        <v>#VALUE!</v>
      </c>
      <c r="GT59" t="e">
        <f>'Technical Skills Weighting'!EJ16+"`FU!$P&amp;"</f>
        <v>#VALUE!</v>
      </c>
      <c r="GU59" t="e">
        <f>'Technical Skills Weighting'!EK16+"`FU!$P'"</f>
        <v>#VALUE!</v>
      </c>
      <c r="GV59" t="e">
        <f>'Technical Skills Weighting'!EL16+"`FU!$P("</f>
        <v>#VALUE!</v>
      </c>
      <c r="GW59" t="e">
        <f>'Technical Skills Weighting'!EM16+"`FU!$P)"</f>
        <v>#VALUE!</v>
      </c>
      <c r="GX59" t="e">
        <f>'Technical Skills Weighting'!EN16+"`FU!$P."</f>
        <v>#VALUE!</v>
      </c>
      <c r="GY59" t="e">
        <f>'Technical Skills Weighting'!EO16+"`FU!$P/"</f>
        <v>#VALUE!</v>
      </c>
      <c r="GZ59" t="e">
        <f>'Technical Skills Weighting'!EP16+"`FU!$P0"</f>
        <v>#VALUE!</v>
      </c>
      <c r="HA59" t="e">
        <f>'Technical Skills Weighting'!EQ16+"`FU!$P1"</f>
        <v>#VALUE!</v>
      </c>
      <c r="HB59" t="e">
        <f>'Technical Skills Weighting'!ER16+"`FU!$P2"</f>
        <v>#VALUE!</v>
      </c>
      <c r="HC59" t="e">
        <f>'Technical Skills Weighting'!ES16+"`FU!$P3"</f>
        <v>#VALUE!</v>
      </c>
      <c r="HD59" t="e">
        <f>'Technical Skills Weighting'!ET16+"`FU!$P4"</f>
        <v>#VALUE!</v>
      </c>
      <c r="HE59" t="e">
        <f>'Technical Skills Weighting'!EU16+"`FU!$P5"</f>
        <v>#VALUE!</v>
      </c>
      <c r="HF59" t="e">
        <f>'Technical Skills Weighting'!EV16+"`FU!$P6"</f>
        <v>#VALUE!</v>
      </c>
      <c r="HG59" t="e">
        <f>'Technical Skills Weighting'!EW16+"`FU!$P7"</f>
        <v>#VALUE!</v>
      </c>
      <c r="HH59" t="e">
        <f>'Technical Skills Weighting'!EX16+"`FU!$P8"</f>
        <v>#VALUE!</v>
      </c>
      <c r="HI59" t="e">
        <f>'Technical Skills Weighting'!EY16+"`FU!$P9"</f>
        <v>#VALUE!</v>
      </c>
      <c r="HJ59" t="e">
        <f>'Technical Skills Weighting'!EZ16+"`FU!$P:"</f>
        <v>#VALUE!</v>
      </c>
      <c r="HK59" t="e">
        <f>'Technical Skills Weighting'!FA16+"`FU!$P;"</f>
        <v>#VALUE!</v>
      </c>
      <c r="HL59" t="e">
        <f>'Technical Skills Weighting'!FB16+"`FU!$P&lt;"</f>
        <v>#VALUE!</v>
      </c>
      <c r="HM59" t="e">
        <f>'Technical Skills Weighting'!FC16+"`FU!$P="</f>
        <v>#VALUE!</v>
      </c>
      <c r="HN59" t="e">
        <f>'Technical Skills Weighting'!FD16+"`FU!$P&gt;"</f>
        <v>#VALUE!</v>
      </c>
      <c r="HO59" t="e">
        <f>'Technical Skills Weighting'!FE16+"`FU!$P?"</f>
        <v>#VALUE!</v>
      </c>
      <c r="HP59" t="e">
        <f>'Technical Skills Weighting'!FF16+"`FU!$P@"</f>
        <v>#VALUE!</v>
      </c>
      <c r="HQ59" t="e">
        <f>'Technical Skills Weighting'!FG16+"`FU!$PA"</f>
        <v>#VALUE!</v>
      </c>
      <c r="HR59" t="e">
        <f>'Technical Skills Weighting'!FH16+"`FU!$PB"</f>
        <v>#VALUE!</v>
      </c>
      <c r="HS59" t="e">
        <f>'Technical Skills Weighting'!FI16+"`FU!$PC"</f>
        <v>#VALUE!</v>
      </c>
      <c r="HT59" t="e">
        <f>'Technical Skills Weighting'!FJ16+"`FU!$PD"</f>
        <v>#VALUE!</v>
      </c>
      <c r="HU59" t="e">
        <f>'Technical Skills Weighting'!FK16+"`FU!$PE"</f>
        <v>#VALUE!</v>
      </c>
      <c r="HV59" t="e">
        <f>'Technical Skills Weighting'!FL16+"`FU!$PF"</f>
        <v>#VALUE!</v>
      </c>
      <c r="HW59" t="e">
        <f>'Technical Skills Weighting'!FM16+"`FU!$PG"</f>
        <v>#VALUE!</v>
      </c>
      <c r="HX59" t="e">
        <f>'Technical Skills Weighting'!FN16+"`FU!$PH"</f>
        <v>#VALUE!</v>
      </c>
      <c r="HY59" t="e">
        <f>'Technical Skills Weighting'!FO16+"`FU!$PI"</f>
        <v>#VALUE!</v>
      </c>
      <c r="HZ59" t="e">
        <f>'Technical Skills Weighting'!FP16+"`FU!$PJ"</f>
        <v>#VALUE!</v>
      </c>
      <c r="IA59" t="e">
        <f>'Technical Skills Weighting'!FQ16+"`FU!$PK"</f>
        <v>#VALUE!</v>
      </c>
      <c r="IB59" t="e">
        <f>'Technical Skills Weighting'!FR16+"`FU!$PL"</f>
        <v>#VALUE!</v>
      </c>
      <c r="IC59" t="e">
        <f>'Technical Skills Weighting'!FS16+"`FU!$PM"</f>
        <v>#VALUE!</v>
      </c>
      <c r="ID59" t="e">
        <f>'Technical Skills Weighting'!FT16+"`FU!$PN"</f>
        <v>#VALUE!</v>
      </c>
      <c r="IE59" t="e">
        <f>'Technical Skills Weighting'!FU16+"`FU!$PO"</f>
        <v>#VALUE!</v>
      </c>
      <c r="IF59" t="e">
        <f>'Technical Skills Weighting'!FV16+"`FU!$PP"</f>
        <v>#VALUE!</v>
      </c>
      <c r="IG59" t="e">
        <f>'Technical Skills Weighting'!FW16+"`FU!$PQ"</f>
        <v>#VALUE!</v>
      </c>
      <c r="IH59" t="e">
        <f>'Technical Skills Weighting'!FX16+"`FU!$PR"</f>
        <v>#VALUE!</v>
      </c>
      <c r="II59" t="e">
        <f>'Technical Skills Weighting'!FY16+"`FU!$PS"</f>
        <v>#VALUE!</v>
      </c>
      <c r="IJ59" t="e">
        <f>'Technical Skills Weighting'!FZ16+"`FU!$PT"</f>
        <v>#VALUE!</v>
      </c>
      <c r="IK59" t="e">
        <f>'Technical Skills Weighting'!GA16+"`FU!$PU"</f>
        <v>#VALUE!</v>
      </c>
      <c r="IL59" t="e">
        <f>'Technical Skills Weighting'!GB16+"`FU!$PV"</f>
        <v>#VALUE!</v>
      </c>
      <c r="IM59" t="e">
        <f>'Technical Skills Weighting'!GC16+"`FU!$PW"</f>
        <v>#VALUE!</v>
      </c>
      <c r="IN59" t="e">
        <f>'Technical Skills Weighting'!GD16+"`FU!$PX"</f>
        <v>#VALUE!</v>
      </c>
      <c r="IO59" t="e">
        <f>'Technical Skills Weighting'!GE16+"`FU!$PY"</f>
        <v>#VALUE!</v>
      </c>
      <c r="IP59" t="e">
        <f>'Technical Skills Weighting'!GF16+"`FU!$PZ"</f>
        <v>#VALUE!</v>
      </c>
      <c r="IQ59" t="e">
        <f>'Technical Skills Weighting'!GG16+"`FU!$P["</f>
        <v>#VALUE!</v>
      </c>
      <c r="IR59" t="e">
        <f>'Technical Skills Weighting'!D17+"`FU!$P\"</f>
        <v>#VALUE!</v>
      </c>
      <c r="IS59" t="e">
        <f>'Technical Skills Weighting'!E17+"`FU!$P]"</f>
        <v>#VALUE!</v>
      </c>
      <c r="IT59" t="e">
        <f>'Technical Skills Weighting'!F17+"`FU!$P^"</f>
        <v>#VALUE!</v>
      </c>
      <c r="IU59" t="e">
        <f>'Technical Skills Weighting'!G17+"`FU!$P_"</f>
        <v>#VALUE!</v>
      </c>
      <c r="IV59" t="e">
        <f>'Technical Skills Weighting'!A18+"`FU!$P`"</f>
        <v>#VALUE!</v>
      </c>
    </row>
    <row r="60" spans="6:256" x14ac:dyDescent="0.25">
      <c r="F60" t="e">
        <f>'Technical Skills Weighting'!D18+"`FU!$Pa"</f>
        <v>#VALUE!</v>
      </c>
      <c r="G60" t="e">
        <f>'Technical Skills Weighting'!E18+"`FU!$Pb"</f>
        <v>#VALUE!</v>
      </c>
      <c r="H60" t="e">
        <f>'Technical Skills Weighting'!F18+"`FU!$Pc"</f>
        <v>#VALUE!</v>
      </c>
      <c r="I60" t="e">
        <f>'Technical Skills Weighting'!G18+"`FU!$Pd"</f>
        <v>#VALUE!</v>
      </c>
      <c r="J60" t="e">
        <f>'Technical Skills Weighting'!H18+"`FU!$Pe"</f>
        <v>#VALUE!</v>
      </c>
      <c r="K60" t="e">
        <f>'Technical Skills Weighting'!I18+"`FU!$Pf"</f>
        <v>#VALUE!</v>
      </c>
      <c r="L60" t="e">
        <f>'Technical Skills Weighting'!J18+"`FU!$Pg"</f>
        <v>#VALUE!</v>
      </c>
      <c r="M60" t="e">
        <f>'Technical Skills Weighting'!K18+"`FU!$Ph"</f>
        <v>#VALUE!</v>
      </c>
      <c r="N60" t="e">
        <f>'Technical Skills Weighting'!L18+"`FU!$Pi"</f>
        <v>#VALUE!</v>
      </c>
      <c r="O60" t="e">
        <f>'Technical Skills Weighting'!M18+"`FU!$Pj"</f>
        <v>#VALUE!</v>
      </c>
      <c r="P60" t="e">
        <f>'Technical Skills Weighting'!N18+"`FU!$Pk"</f>
        <v>#VALUE!</v>
      </c>
      <c r="Q60" t="e">
        <f>'Technical Skills Weighting'!O18+"`FU!$Pl"</f>
        <v>#VALUE!</v>
      </c>
      <c r="R60" t="e">
        <f>'Technical Skills Weighting'!P18+"`FU!$Pm"</f>
        <v>#VALUE!</v>
      </c>
      <c r="S60" t="e">
        <f>'Technical Skills Weighting'!Q18+"`FU!$Pn"</f>
        <v>#VALUE!</v>
      </c>
      <c r="T60" t="e">
        <f>'Technical Skills Weighting'!R18+"`FU!$Po"</f>
        <v>#VALUE!</v>
      </c>
      <c r="U60" t="e">
        <f>'Technical Skills Weighting'!S18+"`FU!$Pp"</f>
        <v>#VALUE!</v>
      </c>
      <c r="V60" t="e">
        <f>'Technical Skills Weighting'!T18+"`FU!$Pq"</f>
        <v>#VALUE!</v>
      </c>
      <c r="W60" t="e">
        <f>'Technical Skills Weighting'!U18+"`FU!$Pr"</f>
        <v>#VALUE!</v>
      </c>
      <c r="X60" t="e">
        <f>'Technical Skills Weighting'!V18+"`FU!$Ps"</f>
        <v>#VALUE!</v>
      </c>
      <c r="Y60" t="e">
        <f>'Technical Skills Weighting'!W18+"`FU!$Pt"</f>
        <v>#VALUE!</v>
      </c>
      <c r="Z60" t="e">
        <f>'Technical Skills Weighting'!X18+"`FU!$Pu"</f>
        <v>#VALUE!</v>
      </c>
      <c r="AA60" t="e">
        <f>'Technical Skills Weighting'!Y18+"`FU!$Pv"</f>
        <v>#VALUE!</v>
      </c>
      <c r="AB60" t="e">
        <f>'Technical Skills Weighting'!Z18+"`FU!$Pw"</f>
        <v>#VALUE!</v>
      </c>
      <c r="AC60" t="e">
        <f>'Technical Skills Weighting'!AA18+"`FU!$Px"</f>
        <v>#VALUE!</v>
      </c>
      <c r="AD60" t="e">
        <f>'Technical Skills Weighting'!AB18+"`FU!$Py"</f>
        <v>#VALUE!</v>
      </c>
      <c r="AE60" t="e">
        <f>'Technical Skills Weighting'!AC18+"`FU!$Pz"</f>
        <v>#VALUE!</v>
      </c>
      <c r="AF60" t="e">
        <f>'Technical Skills Weighting'!AD18+"`FU!$P{"</f>
        <v>#VALUE!</v>
      </c>
      <c r="AG60" t="e">
        <f>'Technical Skills Weighting'!AE18+"`FU!$P|"</f>
        <v>#VALUE!</v>
      </c>
      <c r="AH60" t="e">
        <f>'Technical Skills Weighting'!AF18+"`FU!$P}"</f>
        <v>#VALUE!</v>
      </c>
      <c r="AI60" t="e">
        <f>'Technical Skills Weighting'!AG18+"`FU!$P~"</f>
        <v>#VALUE!</v>
      </c>
      <c r="AJ60" t="e">
        <f>'Technical Skills Weighting'!AH18+"`FU!$Q#"</f>
        <v>#VALUE!</v>
      </c>
      <c r="AK60" t="e">
        <f>'Technical Skills Weighting'!AI18+"`FU!$Q$"</f>
        <v>#VALUE!</v>
      </c>
      <c r="AL60" t="e">
        <f>'Technical Skills Weighting'!AJ18+"`FU!$Q%"</f>
        <v>#VALUE!</v>
      </c>
      <c r="AM60" t="e">
        <f>'Technical Skills Weighting'!AK18+"`FU!$Q&amp;"</f>
        <v>#VALUE!</v>
      </c>
      <c r="AN60" t="e">
        <f>'Technical Skills Weighting'!AL18+"`FU!$Q'"</f>
        <v>#VALUE!</v>
      </c>
      <c r="AO60" t="e">
        <f>'Technical Skills Weighting'!AM18+"`FU!$Q("</f>
        <v>#VALUE!</v>
      </c>
      <c r="AP60" t="e">
        <f>'Technical Skills Weighting'!AN18+"`FU!$Q)"</f>
        <v>#VALUE!</v>
      </c>
      <c r="AQ60" t="e">
        <f>'Technical Skills Weighting'!AO18+"`FU!$Q."</f>
        <v>#VALUE!</v>
      </c>
      <c r="AR60" t="e">
        <f>'Technical Skills Weighting'!AP18+"`FU!$Q/"</f>
        <v>#VALUE!</v>
      </c>
      <c r="AS60" t="e">
        <f>'Technical Skills Weighting'!AQ18+"`FU!$Q0"</f>
        <v>#VALUE!</v>
      </c>
      <c r="AT60" t="e">
        <f>'Technical Skills Weighting'!AR18+"`FU!$Q1"</f>
        <v>#VALUE!</v>
      </c>
      <c r="AU60" t="e">
        <f>'Technical Skills Weighting'!AS18+"`FU!$Q2"</f>
        <v>#VALUE!</v>
      </c>
      <c r="AV60" t="e">
        <f>'Technical Skills Weighting'!AT18+"`FU!$Q3"</f>
        <v>#VALUE!</v>
      </c>
      <c r="AW60" t="e">
        <f>'Technical Skills Weighting'!AU18+"`FU!$Q4"</f>
        <v>#VALUE!</v>
      </c>
      <c r="AX60" t="e">
        <f>'Technical Skills Weighting'!AV18+"`FU!$Q5"</f>
        <v>#VALUE!</v>
      </c>
      <c r="AY60" t="e">
        <f>'Technical Skills Weighting'!AW18+"`FU!$Q6"</f>
        <v>#VALUE!</v>
      </c>
      <c r="AZ60" t="e">
        <f>'Technical Skills Weighting'!AX18+"`FU!$Q7"</f>
        <v>#VALUE!</v>
      </c>
      <c r="BA60" t="e">
        <f>'Technical Skills Weighting'!AY18+"`FU!$Q8"</f>
        <v>#VALUE!</v>
      </c>
      <c r="BB60" t="e">
        <f>'Technical Skills Weighting'!AZ18+"`FU!$Q9"</f>
        <v>#VALUE!</v>
      </c>
      <c r="BC60" t="e">
        <f>'Technical Skills Weighting'!BA18+"`FU!$Q:"</f>
        <v>#VALUE!</v>
      </c>
      <c r="BD60" t="e">
        <f>'Technical Skills Weighting'!BB18+"`FU!$Q;"</f>
        <v>#VALUE!</v>
      </c>
      <c r="BE60" t="e">
        <f>'Technical Skills Weighting'!BC18+"`FU!$Q&lt;"</f>
        <v>#VALUE!</v>
      </c>
      <c r="BF60" t="e">
        <f>'Technical Skills Weighting'!BD18+"`FU!$Q="</f>
        <v>#VALUE!</v>
      </c>
      <c r="BG60" t="e">
        <f>'Technical Skills Weighting'!BE18+"`FU!$Q&gt;"</f>
        <v>#VALUE!</v>
      </c>
      <c r="BH60" t="e">
        <f>'Technical Skills Weighting'!BF18+"`FU!$Q?"</f>
        <v>#VALUE!</v>
      </c>
      <c r="BI60" t="e">
        <f>'Technical Skills Weighting'!BG18+"`FU!$Q@"</f>
        <v>#VALUE!</v>
      </c>
      <c r="BJ60" t="e">
        <f>'Technical Skills Weighting'!BH18+"`FU!$QA"</f>
        <v>#VALUE!</v>
      </c>
      <c r="BK60" t="e">
        <f>'Technical Skills Weighting'!BI18+"`FU!$QB"</f>
        <v>#VALUE!</v>
      </c>
      <c r="BL60" t="e">
        <f>'Technical Skills Weighting'!BJ18+"`FU!$QC"</f>
        <v>#VALUE!</v>
      </c>
      <c r="BM60" t="e">
        <f>'Technical Skills Weighting'!BK18+"`FU!$QD"</f>
        <v>#VALUE!</v>
      </c>
      <c r="BN60" t="e">
        <f>'Technical Skills Weighting'!BL18+"`FU!$QE"</f>
        <v>#VALUE!</v>
      </c>
      <c r="BO60" t="e">
        <f>'Technical Skills Weighting'!BM18+"`FU!$QF"</f>
        <v>#VALUE!</v>
      </c>
      <c r="BP60" t="e">
        <f>'Technical Skills Weighting'!BN18+"`FU!$QG"</f>
        <v>#VALUE!</v>
      </c>
      <c r="BQ60" t="e">
        <f>'Technical Skills Weighting'!BO18+"`FU!$QH"</f>
        <v>#VALUE!</v>
      </c>
      <c r="BR60" t="e">
        <f>'Technical Skills Weighting'!BP18+"`FU!$QI"</f>
        <v>#VALUE!</v>
      </c>
      <c r="BS60" t="e">
        <f>'Technical Skills Weighting'!BQ18+"`FU!$QJ"</f>
        <v>#VALUE!</v>
      </c>
      <c r="BT60" t="e">
        <f>'Technical Skills Weighting'!BR18+"`FU!$QK"</f>
        <v>#VALUE!</v>
      </c>
      <c r="BU60" t="e">
        <f>'Technical Skills Weighting'!BS18+"`FU!$QL"</f>
        <v>#VALUE!</v>
      </c>
      <c r="BV60" t="e">
        <f>'Technical Skills Weighting'!BT18+"`FU!$QM"</f>
        <v>#VALUE!</v>
      </c>
      <c r="BW60" t="e">
        <f>'Technical Skills Weighting'!BU18+"`FU!$QN"</f>
        <v>#VALUE!</v>
      </c>
      <c r="BX60" t="e">
        <f>'Technical Skills Weighting'!BV18+"`FU!$QO"</f>
        <v>#VALUE!</v>
      </c>
      <c r="BY60" t="e">
        <f>'Technical Skills Weighting'!BW18+"`FU!$QP"</f>
        <v>#VALUE!</v>
      </c>
      <c r="BZ60" t="e">
        <f>'Technical Skills Weighting'!BX18+"`FU!$QQ"</f>
        <v>#VALUE!</v>
      </c>
      <c r="CA60" t="e">
        <f>'Technical Skills Weighting'!BY18+"`FU!$QR"</f>
        <v>#VALUE!</v>
      </c>
      <c r="CB60" t="e">
        <f>'Technical Skills Weighting'!BZ18+"`FU!$QS"</f>
        <v>#VALUE!</v>
      </c>
      <c r="CC60" t="e">
        <f>'Technical Skills Weighting'!CA18+"`FU!$QT"</f>
        <v>#VALUE!</v>
      </c>
      <c r="CD60" t="e">
        <f>'Technical Skills Weighting'!CB18+"`FU!$QU"</f>
        <v>#VALUE!</v>
      </c>
      <c r="CE60" t="e">
        <f>'Technical Skills Weighting'!CC18+"`FU!$QV"</f>
        <v>#VALUE!</v>
      </c>
      <c r="CF60" t="e">
        <f>'Technical Skills Weighting'!CD18+"`FU!$QW"</f>
        <v>#VALUE!</v>
      </c>
      <c r="CG60" t="e">
        <f>'Technical Skills Weighting'!CE18+"`FU!$QX"</f>
        <v>#VALUE!</v>
      </c>
      <c r="CH60" t="e">
        <f>'Technical Skills Weighting'!CF18+"`FU!$QY"</f>
        <v>#VALUE!</v>
      </c>
      <c r="CI60" t="e">
        <f>'Technical Skills Weighting'!CG18+"`FU!$QZ"</f>
        <v>#VALUE!</v>
      </c>
      <c r="CJ60" t="e">
        <f>'Technical Skills Weighting'!CH18+"`FU!$Q["</f>
        <v>#VALUE!</v>
      </c>
      <c r="CK60" t="e">
        <f>'Technical Skills Weighting'!CI18+"`FU!$Q\"</f>
        <v>#VALUE!</v>
      </c>
      <c r="CL60" t="e">
        <f>'Technical Skills Weighting'!CJ18+"`FU!$Q]"</f>
        <v>#VALUE!</v>
      </c>
      <c r="CM60" t="e">
        <f>'Technical Skills Weighting'!CK18+"`FU!$Q^"</f>
        <v>#VALUE!</v>
      </c>
      <c r="CN60" t="e">
        <f>'Technical Skills Weighting'!CL18+"`FU!$Q_"</f>
        <v>#VALUE!</v>
      </c>
      <c r="CO60" t="e">
        <f>'Technical Skills Weighting'!CM18+"`FU!$Q`"</f>
        <v>#VALUE!</v>
      </c>
      <c r="CP60" t="e">
        <f>'Technical Skills Weighting'!CN18+"`FU!$Qa"</f>
        <v>#VALUE!</v>
      </c>
      <c r="CQ60" t="e">
        <f>'Technical Skills Weighting'!CO18+"`FU!$Qb"</f>
        <v>#VALUE!</v>
      </c>
      <c r="CR60" t="e">
        <f>'Technical Skills Weighting'!CP18+"`FU!$Qc"</f>
        <v>#VALUE!</v>
      </c>
      <c r="CS60" t="e">
        <f>'Technical Skills Weighting'!CQ18+"`FU!$Qd"</f>
        <v>#VALUE!</v>
      </c>
      <c r="CT60" t="e">
        <f>'Technical Skills Weighting'!CR18+"`FU!$Qe"</f>
        <v>#VALUE!</v>
      </c>
      <c r="CU60" t="e">
        <f>'Technical Skills Weighting'!CS18+"`FU!$Qf"</f>
        <v>#VALUE!</v>
      </c>
      <c r="CV60" t="e">
        <f>'Technical Skills Weighting'!CT18+"`FU!$Qg"</f>
        <v>#VALUE!</v>
      </c>
      <c r="CW60" t="e">
        <f>'Technical Skills Weighting'!CU18+"`FU!$Qh"</f>
        <v>#VALUE!</v>
      </c>
      <c r="CX60" t="e">
        <f>'Technical Skills Weighting'!CV18+"`FU!$Qi"</f>
        <v>#VALUE!</v>
      </c>
      <c r="CY60" t="e">
        <f>'Technical Skills Weighting'!CW18+"`FU!$Qj"</f>
        <v>#VALUE!</v>
      </c>
      <c r="CZ60" t="e">
        <f>'Technical Skills Weighting'!CX18+"`FU!$Qk"</f>
        <v>#VALUE!</v>
      </c>
      <c r="DA60" t="e">
        <f>'Technical Skills Weighting'!CY18+"`FU!$Ql"</f>
        <v>#VALUE!</v>
      </c>
      <c r="DB60" t="e">
        <f>'Technical Skills Weighting'!CZ18+"`FU!$Qm"</f>
        <v>#VALUE!</v>
      </c>
      <c r="DC60" t="e">
        <f>'Technical Skills Weighting'!DA18+"`FU!$Qn"</f>
        <v>#VALUE!</v>
      </c>
      <c r="DD60" t="e">
        <f>'Technical Skills Weighting'!DB18+"`FU!$Qo"</f>
        <v>#VALUE!</v>
      </c>
      <c r="DE60" t="e">
        <f>'Technical Skills Weighting'!DC18+"`FU!$Qp"</f>
        <v>#VALUE!</v>
      </c>
      <c r="DF60" t="e">
        <f>'Technical Skills Weighting'!DD18+"`FU!$Qq"</f>
        <v>#VALUE!</v>
      </c>
      <c r="DG60" t="e">
        <f>'Technical Skills Weighting'!DE18+"`FU!$Qr"</f>
        <v>#VALUE!</v>
      </c>
      <c r="DH60" t="e">
        <f>'Technical Skills Weighting'!DF18+"`FU!$Qs"</f>
        <v>#VALUE!</v>
      </c>
      <c r="DI60" t="e">
        <f>'Technical Skills Weighting'!DG18+"`FU!$Qt"</f>
        <v>#VALUE!</v>
      </c>
      <c r="DJ60" t="e">
        <f>'Technical Skills Weighting'!DH18+"`FU!$Qu"</f>
        <v>#VALUE!</v>
      </c>
      <c r="DK60" t="e">
        <f>'Technical Skills Weighting'!DI18+"`FU!$Qv"</f>
        <v>#VALUE!</v>
      </c>
      <c r="DL60" t="e">
        <f>'Technical Skills Weighting'!DJ18+"`FU!$Qw"</f>
        <v>#VALUE!</v>
      </c>
      <c r="DM60" t="e">
        <f>'Technical Skills Weighting'!DK18+"`FU!$Qx"</f>
        <v>#VALUE!</v>
      </c>
      <c r="DN60" t="e">
        <f>'Technical Skills Weighting'!DL18+"`FU!$Qy"</f>
        <v>#VALUE!</v>
      </c>
      <c r="DO60" t="e">
        <f>'Technical Skills Weighting'!DM18+"`FU!$Qz"</f>
        <v>#VALUE!</v>
      </c>
      <c r="DP60" t="e">
        <f>'Technical Skills Weighting'!DN18+"`FU!$Q{"</f>
        <v>#VALUE!</v>
      </c>
      <c r="DQ60" t="e">
        <f>'Technical Skills Weighting'!DO18+"`FU!$Q|"</f>
        <v>#VALUE!</v>
      </c>
      <c r="DR60" t="e">
        <f>'Technical Skills Weighting'!DP18+"`FU!$Q}"</f>
        <v>#VALUE!</v>
      </c>
      <c r="DS60" t="e">
        <f>'Technical Skills Weighting'!DQ18+"`FU!$Q~"</f>
        <v>#VALUE!</v>
      </c>
      <c r="DT60" t="e">
        <f>'Technical Skills Weighting'!DR18+"`FU!$R#"</f>
        <v>#VALUE!</v>
      </c>
      <c r="DU60" t="e">
        <f>'Technical Skills Weighting'!DS18+"`FU!$R$"</f>
        <v>#VALUE!</v>
      </c>
      <c r="DV60" t="e">
        <f>'Technical Skills Weighting'!DT18+"`FU!$R%"</f>
        <v>#VALUE!</v>
      </c>
      <c r="DW60" t="e">
        <f>'Technical Skills Weighting'!DU18+"`FU!$R&amp;"</f>
        <v>#VALUE!</v>
      </c>
      <c r="DX60" t="e">
        <f>'Technical Skills Weighting'!DV18+"`FU!$R'"</f>
        <v>#VALUE!</v>
      </c>
      <c r="DY60" t="e">
        <f>'Technical Skills Weighting'!DW18+"`FU!$R("</f>
        <v>#VALUE!</v>
      </c>
      <c r="DZ60" t="e">
        <f>'Technical Skills Weighting'!DX18+"`FU!$R)"</f>
        <v>#VALUE!</v>
      </c>
      <c r="EA60" t="e">
        <f>'Technical Skills Weighting'!DY18+"`FU!$R."</f>
        <v>#VALUE!</v>
      </c>
      <c r="EB60" t="e">
        <f>'Technical Skills Weighting'!DZ18+"`FU!$R/"</f>
        <v>#VALUE!</v>
      </c>
      <c r="EC60" t="e">
        <f>'Technical Skills Weighting'!EA18+"`FU!$R0"</f>
        <v>#VALUE!</v>
      </c>
      <c r="ED60" t="e">
        <f>'Technical Skills Weighting'!EB18+"`FU!$R1"</f>
        <v>#VALUE!</v>
      </c>
      <c r="EE60" t="e">
        <f>'Technical Skills Weighting'!EC18+"`FU!$R2"</f>
        <v>#VALUE!</v>
      </c>
      <c r="EF60" t="e">
        <f>'Technical Skills Weighting'!ED18+"`FU!$R3"</f>
        <v>#VALUE!</v>
      </c>
      <c r="EG60" t="e">
        <f>'Technical Skills Weighting'!EE18+"`FU!$R4"</f>
        <v>#VALUE!</v>
      </c>
      <c r="EH60" t="e">
        <f>'Technical Skills Weighting'!EF18+"`FU!$R5"</f>
        <v>#VALUE!</v>
      </c>
      <c r="EI60" t="e">
        <f>'Technical Skills Weighting'!EG18+"`FU!$R6"</f>
        <v>#VALUE!</v>
      </c>
      <c r="EJ60" t="e">
        <f>'Technical Skills Weighting'!EH18+"`FU!$R7"</f>
        <v>#VALUE!</v>
      </c>
      <c r="EK60" t="e">
        <f>'Technical Skills Weighting'!EI18+"`FU!$R8"</f>
        <v>#VALUE!</v>
      </c>
      <c r="EL60" t="e">
        <f>'Technical Skills Weighting'!EJ18+"`FU!$R9"</f>
        <v>#VALUE!</v>
      </c>
      <c r="EM60" t="e">
        <f>'Technical Skills Weighting'!EK18+"`FU!$R:"</f>
        <v>#VALUE!</v>
      </c>
      <c r="EN60" t="e">
        <f>'Technical Skills Weighting'!EL18+"`FU!$R;"</f>
        <v>#VALUE!</v>
      </c>
      <c r="EO60" t="e">
        <f>'Technical Skills Weighting'!EM18+"`FU!$R&lt;"</f>
        <v>#VALUE!</v>
      </c>
      <c r="EP60" t="e">
        <f>'Technical Skills Weighting'!EN18+"`FU!$R="</f>
        <v>#VALUE!</v>
      </c>
      <c r="EQ60" t="e">
        <f>'Technical Skills Weighting'!EO18+"`FU!$R&gt;"</f>
        <v>#VALUE!</v>
      </c>
      <c r="ER60" t="e">
        <f>'Technical Skills Weighting'!EP18+"`FU!$R?"</f>
        <v>#VALUE!</v>
      </c>
      <c r="ES60" t="e">
        <f>'Technical Skills Weighting'!EQ18+"`FU!$R@"</f>
        <v>#VALUE!</v>
      </c>
      <c r="ET60" t="e">
        <f>'Technical Skills Weighting'!ER18+"`FU!$RA"</f>
        <v>#VALUE!</v>
      </c>
      <c r="EU60" t="e">
        <f>'Technical Skills Weighting'!ES18+"`FU!$RB"</f>
        <v>#VALUE!</v>
      </c>
      <c r="EV60" t="e">
        <f>'Technical Skills Weighting'!ET18+"`FU!$RC"</f>
        <v>#VALUE!</v>
      </c>
      <c r="EW60" t="e">
        <f>'Technical Skills Weighting'!EU18+"`FU!$RD"</f>
        <v>#VALUE!</v>
      </c>
      <c r="EX60" t="e">
        <f>'Technical Skills Weighting'!EV18+"`FU!$RE"</f>
        <v>#VALUE!</v>
      </c>
      <c r="EY60" t="e">
        <f>'Technical Skills Weighting'!EW18+"`FU!$RF"</f>
        <v>#VALUE!</v>
      </c>
      <c r="EZ60" t="e">
        <f>'Technical Skills Weighting'!EX18+"`FU!$RG"</f>
        <v>#VALUE!</v>
      </c>
      <c r="FA60" t="e">
        <f>'Technical Skills Weighting'!EY18+"`FU!$RH"</f>
        <v>#VALUE!</v>
      </c>
      <c r="FB60" t="e">
        <f>'Technical Skills Weighting'!EZ18+"`FU!$RI"</f>
        <v>#VALUE!</v>
      </c>
      <c r="FC60" t="e">
        <f>'Technical Skills Weighting'!FA18+"`FU!$RJ"</f>
        <v>#VALUE!</v>
      </c>
      <c r="FD60" t="e">
        <f>'Technical Skills Weighting'!FB18+"`FU!$RK"</f>
        <v>#VALUE!</v>
      </c>
      <c r="FE60" t="e">
        <f>'Technical Skills Weighting'!FC18+"`FU!$RL"</f>
        <v>#VALUE!</v>
      </c>
      <c r="FF60" t="e">
        <f>'Technical Skills Weighting'!FD18+"`FU!$RM"</f>
        <v>#VALUE!</v>
      </c>
      <c r="FG60" t="e">
        <f>'Technical Skills Weighting'!FE18+"`FU!$RN"</f>
        <v>#VALUE!</v>
      </c>
      <c r="FH60" t="e">
        <f>'Technical Skills Weighting'!FF18+"`FU!$RO"</f>
        <v>#VALUE!</v>
      </c>
      <c r="FI60" t="e">
        <f>'Technical Skills Weighting'!FG18+"`FU!$RP"</f>
        <v>#VALUE!</v>
      </c>
      <c r="FJ60" t="e">
        <f>'Technical Skills Weighting'!FH18+"`FU!$RQ"</f>
        <v>#VALUE!</v>
      </c>
      <c r="FK60" t="e">
        <f>'Technical Skills Weighting'!FI18+"`FU!$RR"</f>
        <v>#VALUE!</v>
      </c>
      <c r="FL60" t="e">
        <f>'Technical Skills Weighting'!FJ18+"`FU!$RS"</f>
        <v>#VALUE!</v>
      </c>
      <c r="FM60" t="e">
        <f>'Technical Skills Weighting'!FK18+"`FU!$RT"</f>
        <v>#VALUE!</v>
      </c>
      <c r="FN60" t="e">
        <f>'Technical Skills Weighting'!FL18+"`FU!$RU"</f>
        <v>#VALUE!</v>
      </c>
      <c r="FO60" t="e">
        <f>'Technical Skills Weighting'!FM18+"`FU!$RV"</f>
        <v>#VALUE!</v>
      </c>
      <c r="FP60" t="e">
        <f>'Technical Skills Weighting'!FN18+"`FU!$RW"</f>
        <v>#VALUE!</v>
      </c>
      <c r="FQ60" t="e">
        <f>'Technical Skills Weighting'!FO18+"`FU!$RX"</f>
        <v>#VALUE!</v>
      </c>
      <c r="FR60" t="e">
        <f>'Technical Skills Weighting'!FP18+"`FU!$RY"</f>
        <v>#VALUE!</v>
      </c>
      <c r="FS60" t="e">
        <f>'Technical Skills Weighting'!FQ18+"`FU!$RZ"</f>
        <v>#VALUE!</v>
      </c>
      <c r="FT60" t="e">
        <f>'Technical Skills Weighting'!FR18+"`FU!$R["</f>
        <v>#VALUE!</v>
      </c>
      <c r="FU60" t="e">
        <f>'Technical Skills Weighting'!FS18+"`FU!$R\"</f>
        <v>#VALUE!</v>
      </c>
      <c r="FV60" t="e">
        <f>'Technical Skills Weighting'!FT18+"`FU!$R]"</f>
        <v>#VALUE!</v>
      </c>
      <c r="FW60" t="e">
        <f>'Technical Skills Weighting'!FU18+"`FU!$R^"</f>
        <v>#VALUE!</v>
      </c>
      <c r="FX60" t="e">
        <f>'Technical Skills Weighting'!FV18+"`FU!$R_"</f>
        <v>#VALUE!</v>
      </c>
      <c r="FY60" t="e">
        <f>'Technical Skills Weighting'!FW18+"`FU!$R`"</f>
        <v>#VALUE!</v>
      </c>
      <c r="FZ60" t="e">
        <f>'Technical Skills Weighting'!FX18+"`FU!$Ra"</f>
        <v>#VALUE!</v>
      </c>
      <c r="GA60" t="e">
        <f>'Technical Skills Weighting'!FY18+"`FU!$Rb"</f>
        <v>#VALUE!</v>
      </c>
      <c r="GB60" t="e">
        <f>'Technical Skills Weighting'!FZ18+"`FU!$Rc"</f>
        <v>#VALUE!</v>
      </c>
      <c r="GC60" t="e">
        <f>'Technical Skills Weighting'!GA18+"`FU!$Rd"</f>
        <v>#VALUE!</v>
      </c>
      <c r="GD60" t="e">
        <f>'Technical Skills Weighting'!GB18+"`FU!$Re"</f>
        <v>#VALUE!</v>
      </c>
      <c r="GE60" t="e">
        <f>'Technical Skills Weighting'!GC18+"`FU!$Rf"</f>
        <v>#VALUE!</v>
      </c>
      <c r="GF60" t="e">
        <f>'Technical Skills Weighting'!GD18+"`FU!$Rg"</f>
        <v>#VALUE!</v>
      </c>
      <c r="GG60" t="e">
        <f>'Technical Skills Weighting'!GE18+"`FU!$Rh"</f>
        <v>#VALUE!</v>
      </c>
      <c r="GH60" t="e">
        <f>'Technical Skills Weighting'!GF18+"`FU!$Ri"</f>
        <v>#VALUE!</v>
      </c>
      <c r="GI60" t="e">
        <f>'Technical Skills Weighting'!GG18+"`FU!$Rj"</f>
        <v>#VALUE!</v>
      </c>
      <c r="GJ60" t="e">
        <f>'Technical Skills Weighting'!D19+"`FU!$Rk"</f>
        <v>#VALUE!</v>
      </c>
      <c r="GK60" t="e">
        <f>'Technical Skills Weighting'!E19+"`FU!$Rl"</f>
        <v>#VALUE!</v>
      </c>
      <c r="GL60" t="e">
        <f>'Technical Skills Weighting'!F19+"`FU!$Rm"</f>
        <v>#VALUE!</v>
      </c>
      <c r="GM60" t="e">
        <f>'Technical Skills Weighting'!G19+"`FU!$Rn"</f>
        <v>#VALUE!</v>
      </c>
      <c r="GN60" t="e">
        <f>'Technical Skills Weighting'!A20+"`FU!$Ro"</f>
        <v>#VALUE!</v>
      </c>
      <c r="GO60" t="e">
        <f>'Technical Skills Weighting'!D20+"`FU!$Rp"</f>
        <v>#VALUE!</v>
      </c>
      <c r="GP60" t="e">
        <f>'Technical Skills Weighting'!E20+"`FU!$Rq"</f>
        <v>#VALUE!</v>
      </c>
      <c r="GQ60" t="e">
        <f>'Technical Skills Weighting'!F20+"`FU!$Rr"</f>
        <v>#VALUE!</v>
      </c>
      <c r="GR60" t="e">
        <f>'Technical Skills Weighting'!G20+"`FU!$Rs"</f>
        <v>#VALUE!</v>
      </c>
      <c r="GS60" t="e">
        <f>'Technical Skills Weighting'!H20+"`FU!$Rt"</f>
        <v>#VALUE!</v>
      </c>
      <c r="GT60" t="e">
        <f>'Technical Skills Weighting'!I20+"`FU!$Ru"</f>
        <v>#VALUE!</v>
      </c>
      <c r="GU60" t="e">
        <f>'Technical Skills Weighting'!J20+"`FU!$Rv"</f>
        <v>#VALUE!</v>
      </c>
      <c r="GV60" t="e">
        <f>'Technical Skills Weighting'!K20+"`FU!$Rw"</f>
        <v>#VALUE!</v>
      </c>
      <c r="GW60" t="e">
        <f>'Technical Skills Weighting'!L20+"`FU!$Rx"</f>
        <v>#VALUE!</v>
      </c>
      <c r="GX60" t="e">
        <f>'Technical Skills Weighting'!M20+"`FU!$Ry"</f>
        <v>#VALUE!</v>
      </c>
      <c r="GY60" t="e">
        <f>'Technical Skills Weighting'!N20+"`FU!$Rz"</f>
        <v>#VALUE!</v>
      </c>
      <c r="GZ60" t="e">
        <f>'Technical Skills Weighting'!O20+"`FU!$R{"</f>
        <v>#VALUE!</v>
      </c>
      <c r="HA60" t="e">
        <f>'Technical Skills Weighting'!P20+"`FU!$R|"</f>
        <v>#VALUE!</v>
      </c>
      <c r="HB60" t="e">
        <f>'Technical Skills Weighting'!Q20+"`FU!$R}"</f>
        <v>#VALUE!</v>
      </c>
      <c r="HC60" t="e">
        <f>'Technical Skills Weighting'!R20+"`FU!$R~"</f>
        <v>#VALUE!</v>
      </c>
      <c r="HD60" t="e">
        <f>'Technical Skills Weighting'!S20+"`FU!$S#"</f>
        <v>#VALUE!</v>
      </c>
      <c r="HE60" t="e">
        <f>'Technical Skills Weighting'!T20+"`FU!$S$"</f>
        <v>#VALUE!</v>
      </c>
      <c r="HF60" t="e">
        <f>'Technical Skills Weighting'!U20+"`FU!$S%"</f>
        <v>#VALUE!</v>
      </c>
      <c r="HG60" t="e">
        <f>'Technical Skills Weighting'!V20+"`FU!$S&amp;"</f>
        <v>#VALUE!</v>
      </c>
      <c r="HH60" t="e">
        <f>'Technical Skills Weighting'!W20+"`FU!$S'"</f>
        <v>#VALUE!</v>
      </c>
      <c r="HI60" t="e">
        <f>'Technical Skills Weighting'!X20+"`FU!$S("</f>
        <v>#VALUE!</v>
      </c>
      <c r="HJ60" t="e">
        <f>'Technical Skills Weighting'!Y20+"`FU!$S)"</f>
        <v>#VALUE!</v>
      </c>
      <c r="HK60" t="e">
        <f>'Technical Skills Weighting'!Z20+"`FU!$S."</f>
        <v>#VALUE!</v>
      </c>
      <c r="HL60" t="e">
        <f>'Technical Skills Weighting'!AA20+"`FU!$S/"</f>
        <v>#VALUE!</v>
      </c>
      <c r="HM60" t="e">
        <f>'Technical Skills Weighting'!AB20+"`FU!$S0"</f>
        <v>#VALUE!</v>
      </c>
      <c r="HN60" t="e">
        <f>'Technical Skills Weighting'!AC20+"`FU!$S1"</f>
        <v>#VALUE!</v>
      </c>
      <c r="HO60" t="e">
        <f>'Technical Skills Weighting'!AD20+"`FU!$S2"</f>
        <v>#VALUE!</v>
      </c>
      <c r="HP60" t="e">
        <f>'Technical Skills Weighting'!AE20+"`FU!$S3"</f>
        <v>#VALUE!</v>
      </c>
      <c r="HQ60" t="e">
        <f>'Technical Skills Weighting'!AF20+"`FU!$S4"</f>
        <v>#VALUE!</v>
      </c>
      <c r="HR60" t="e">
        <f>'Technical Skills Weighting'!AG20+"`FU!$S5"</f>
        <v>#VALUE!</v>
      </c>
      <c r="HS60" t="e">
        <f>'Technical Skills Weighting'!AH20+"`FU!$S6"</f>
        <v>#VALUE!</v>
      </c>
      <c r="HT60" t="e">
        <f>'Technical Skills Weighting'!AI20+"`FU!$S7"</f>
        <v>#VALUE!</v>
      </c>
      <c r="HU60" t="e">
        <f>'Technical Skills Weighting'!AJ20+"`FU!$S8"</f>
        <v>#VALUE!</v>
      </c>
      <c r="HV60" t="e">
        <f>'Technical Skills Weighting'!AK20+"`FU!$S9"</f>
        <v>#VALUE!</v>
      </c>
      <c r="HW60" t="e">
        <f>'Technical Skills Weighting'!AL20+"`FU!$S:"</f>
        <v>#VALUE!</v>
      </c>
      <c r="HX60" t="e">
        <f>'Technical Skills Weighting'!AM20+"`FU!$S;"</f>
        <v>#VALUE!</v>
      </c>
      <c r="HY60" t="e">
        <f>'Technical Skills Weighting'!AN20+"`FU!$S&lt;"</f>
        <v>#VALUE!</v>
      </c>
      <c r="HZ60" t="e">
        <f>'Technical Skills Weighting'!AO20+"`FU!$S="</f>
        <v>#VALUE!</v>
      </c>
      <c r="IA60" t="e">
        <f>'Technical Skills Weighting'!AP20+"`FU!$S&gt;"</f>
        <v>#VALUE!</v>
      </c>
      <c r="IB60" t="e">
        <f>'Technical Skills Weighting'!AQ20+"`FU!$S?"</f>
        <v>#VALUE!</v>
      </c>
      <c r="IC60" t="e">
        <f>'Technical Skills Weighting'!AR20+"`FU!$S@"</f>
        <v>#VALUE!</v>
      </c>
      <c r="ID60" t="e">
        <f>'Technical Skills Weighting'!AS20+"`FU!$SA"</f>
        <v>#VALUE!</v>
      </c>
      <c r="IE60" t="e">
        <f>'Technical Skills Weighting'!AT20+"`FU!$SB"</f>
        <v>#VALUE!</v>
      </c>
      <c r="IF60" t="e">
        <f>'Technical Skills Weighting'!AU20+"`FU!$SC"</f>
        <v>#VALUE!</v>
      </c>
      <c r="IG60" t="e">
        <f>'Technical Skills Weighting'!AV20+"`FU!$SD"</f>
        <v>#VALUE!</v>
      </c>
      <c r="IH60" t="e">
        <f>'Technical Skills Weighting'!AW20+"`FU!$SE"</f>
        <v>#VALUE!</v>
      </c>
      <c r="II60" t="e">
        <f>'Technical Skills Weighting'!AX20+"`FU!$SF"</f>
        <v>#VALUE!</v>
      </c>
      <c r="IJ60" t="e">
        <f>'Technical Skills Weighting'!AY20+"`FU!$SG"</f>
        <v>#VALUE!</v>
      </c>
      <c r="IK60" t="e">
        <f>'Technical Skills Weighting'!AZ20+"`FU!$SH"</f>
        <v>#VALUE!</v>
      </c>
      <c r="IL60" t="e">
        <f>'Technical Skills Weighting'!BA20+"`FU!$SI"</f>
        <v>#VALUE!</v>
      </c>
      <c r="IM60" t="e">
        <f>'Technical Skills Weighting'!BB20+"`FU!$SJ"</f>
        <v>#VALUE!</v>
      </c>
      <c r="IN60" t="e">
        <f>'Technical Skills Weighting'!BC20+"`FU!$SK"</f>
        <v>#VALUE!</v>
      </c>
      <c r="IO60" t="e">
        <f>'Technical Skills Weighting'!BD20+"`FU!$SL"</f>
        <v>#VALUE!</v>
      </c>
      <c r="IP60" t="e">
        <f>'Technical Skills Weighting'!BE20+"`FU!$SM"</f>
        <v>#VALUE!</v>
      </c>
      <c r="IQ60" t="e">
        <f>'Technical Skills Weighting'!BF20+"`FU!$SN"</f>
        <v>#VALUE!</v>
      </c>
      <c r="IR60" t="e">
        <f>'Technical Skills Weighting'!BG20+"`FU!$SO"</f>
        <v>#VALUE!</v>
      </c>
      <c r="IS60" t="e">
        <f>'Technical Skills Weighting'!BH20+"`FU!$SP"</f>
        <v>#VALUE!</v>
      </c>
      <c r="IT60" t="e">
        <f>'Technical Skills Weighting'!BI20+"`FU!$SQ"</f>
        <v>#VALUE!</v>
      </c>
      <c r="IU60" t="e">
        <f>'Technical Skills Weighting'!BJ20+"`FU!$SR"</f>
        <v>#VALUE!</v>
      </c>
      <c r="IV60" t="e">
        <f>'Technical Skills Weighting'!BK20+"`FU!$SS"</f>
        <v>#VALUE!</v>
      </c>
    </row>
    <row r="61" spans="6:256" x14ac:dyDescent="0.25">
      <c r="F61" t="e">
        <f>'Technical Skills Weighting'!BL20+"`FU!$ST"</f>
        <v>#VALUE!</v>
      </c>
      <c r="G61" t="e">
        <f>'Technical Skills Weighting'!BM20+"`FU!$SU"</f>
        <v>#VALUE!</v>
      </c>
      <c r="H61" t="e">
        <f>'Technical Skills Weighting'!BN20+"`FU!$SV"</f>
        <v>#VALUE!</v>
      </c>
      <c r="I61" t="e">
        <f>'Technical Skills Weighting'!BO20+"`FU!$SW"</f>
        <v>#VALUE!</v>
      </c>
      <c r="J61" t="e">
        <f>'Technical Skills Weighting'!BP20+"`FU!$SX"</f>
        <v>#VALUE!</v>
      </c>
      <c r="K61" t="e">
        <f>'Technical Skills Weighting'!BQ20+"`FU!$SY"</f>
        <v>#VALUE!</v>
      </c>
      <c r="L61" t="e">
        <f>'Technical Skills Weighting'!BR20+"`FU!$SZ"</f>
        <v>#VALUE!</v>
      </c>
      <c r="M61" t="e">
        <f>'Technical Skills Weighting'!BS20+"`FU!$S["</f>
        <v>#VALUE!</v>
      </c>
      <c r="N61" t="e">
        <f>'Technical Skills Weighting'!BT20+"`FU!$S\"</f>
        <v>#VALUE!</v>
      </c>
      <c r="O61" t="e">
        <f>'Technical Skills Weighting'!BU20+"`FU!$S]"</f>
        <v>#VALUE!</v>
      </c>
      <c r="P61" t="e">
        <f>'Technical Skills Weighting'!BV20+"`FU!$S^"</f>
        <v>#VALUE!</v>
      </c>
      <c r="Q61" t="e">
        <f>'Technical Skills Weighting'!BW20+"`FU!$S_"</f>
        <v>#VALUE!</v>
      </c>
      <c r="R61" t="e">
        <f>'Technical Skills Weighting'!BX20+"`FU!$S`"</f>
        <v>#VALUE!</v>
      </c>
      <c r="S61" t="e">
        <f>'Technical Skills Weighting'!BY20+"`FU!$Sa"</f>
        <v>#VALUE!</v>
      </c>
      <c r="T61" t="e">
        <f>'Technical Skills Weighting'!BZ20+"`FU!$Sb"</f>
        <v>#VALUE!</v>
      </c>
      <c r="U61" t="e">
        <f>'Technical Skills Weighting'!CA20+"`FU!$Sc"</f>
        <v>#VALUE!</v>
      </c>
      <c r="V61" t="e">
        <f>'Technical Skills Weighting'!CB20+"`FU!$Sd"</f>
        <v>#VALUE!</v>
      </c>
      <c r="W61" t="e">
        <f>'Technical Skills Weighting'!CC20+"`FU!$Se"</f>
        <v>#VALUE!</v>
      </c>
      <c r="X61" t="e">
        <f>'Technical Skills Weighting'!CD20+"`FU!$Sf"</f>
        <v>#VALUE!</v>
      </c>
      <c r="Y61" t="e">
        <f>'Technical Skills Weighting'!CE20+"`FU!$Sg"</f>
        <v>#VALUE!</v>
      </c>
      <c r="Z61" t="e">
        <f>'Technical Skills Weighting'!CF20+"`FU!$Sh"</f>
        <v>#VALUE!</v>
      </c>
      <c r="AA61" t="e">
        <f>'Technical Skills Weighting'!CG20+"`FU!$Si"</f>
        <v>#VALUE!</v>
      </c>
      <c r="AB61" t="e">
        <f>'Technical Skills Weighting'!CH20+"`FU!$Sj"</f>
        <v>#VALUE!</v>
      </c>
      <c r="AC61" t="e">
        <f>'Technical Skills Weighting'!CI20+"`FU!$Sk"</f>
        <v>#VALUE!</v>
      </c>
      <c r="AD61" t="e">
        <f>'Technical Skills Weighting'!CJ20+"`FU!$Sl"</f>
        <v>#VALUE!</v>
      </c>
      <c r="AE61" t="e">
        <f>'Technical Skills Weighting'!CK20+"`FU!$Sm"</f>
        <v>#VALUE!</v>
      </c>
      <c r="AF61" t="e">
        <f>'Technical Skills Weighting'!CL20+"`FU!$Sn"</f>
        <v>#VALUE!</v>
      </c>
      <c r="AG61" t="e">
        <f>'Technical Skills Weighting'!CM20+"`FU!$So"</f>
        <v>#VALUE!</v>
      </c>
      <c r="AH61" t="e">
        <f>'Technical Skills Weighting'!CN20+"`FU!$Sp"</f>
        <v>#VALUE!</v>
      </c>
      <c r="AI61" t="e">
        <f>'Technical Skills Weighting'!CO20+"`FU!$Sq"</f>
        <v>#VALUE!</v>
      </c>
      <c r="AJ61" t="e">
        <f>'Technical Skills Weighting'!CP20+"`FU!$Sr"</f>
        <v>#VALUE!</v>
      </c>
      <c r="AK61" t="e">
        <f>'Technical Skills Weighting'!CQ20+"`FU!$Ss"</f>
        <v>#VALUE!</v>
      </c>
      <c r="AL61" t="e">
        <f>'Technical Skills Weighting'!CR20+"`FU!$St"</f>
        <v>#VALUE!</v>
      </c>
      <c r="AM61" t="e">
        <f>'Technical Skills Weighting'!CS20+"`FU!$Su"</f>
        <v>#VALUE!</v>
      </c>
      <c r="AN61" t="e">
        <f>'Technical Skills Weighting'!CT20+"`FU!$Sv"</f>
        <v>#VALUE!</v>
      </c>
      <c r="AO61" t="e">
        <f>'Technical Skills Weighting'!CU20+"`FU!$Sw"</f>
        <v>#VALUE!</v>
      </c>
      <c r="AP61" t="e">
        <f>'Technical Skills Weighting'!CV20+"`FU!$Sx"</f>
        <v>#VALUE!</v>
      </c>
      <c r="AQ61" t="e">
        <f>'Technical Skills Weighting'!CW20+"`FU!$Sy"</f>
        <v>#VALUE!</v>
      </c>
      <c r="AR61" t="e">
        <f>'Technical Skills Weighting'!CX20+"`FU!$Sz"</f>
        <v>#VALUE!</v>
      </c>
      <c r="AS61" t="e">
        <f>'Technical Skills Weighting'!CY20+"`FU!$S{"</f>
        <v>#VALUE!</v>
      </c>
      <c r="AT61" t="e">
        <f>'Technical Skills Weighting'!CZ20+"`FU!$S|"</f>
        <v>#VALUE!</v>
      </c>
      <c r="AU61" t="e">
        <f>'Technical Skills Weighting'!DA20+"`FU!$S}"</f>
        <v>#VALUE!</v>
      </c>
      <c r="AV61" t="e">
        <f>'Technical Skills Weighting'!DB20+"`FU!$S~"</f>
        <v>#VALUE!</v>
      </c>
      <c r="AW61" t="e">
        <f>'Technical Skills Weighting'!DC20+"`FU!$T#"</f>
        <v>#VALUE!</v>
      </c>
      <c r="AX61" t="e">
        <f>'Technical Skills Weighting'!DD20+"`FU!$T$"</f>
        <v>#VALUE!</v>
      </c>
      <c r="AY61" t="e">
        <f>'Technical Skills Weighting'!DE20+"`FU!$T%"</f>
        <v>#VALUE!</v>
      </c>
      <c r="AZ61" t="e">
        <f>'Technical Skills Weighting'!DF20+"`FU!$T&amp;"</f>
        <v>#VALUE!</v>
      </c>
      <c r="BA61" t="e">
        <f>'Technical Skills Weighting'!DG20+"`FU!$T'"</f>
        <v>#VALUE!</v>
      </c>
      <c r="BB61" t="e">
        <f>'Technical Skills Weighting'!DH20+"`FU!$T("</f>
        <v>#VALUE!</v>
      </c>
      <c r="BC61" t="e">
        <f>'Technical Skills Weighting'!DI20+"`FU!$T)"</f>
        <v>#VALUE!</v>
      </c>
      <c r="BD61" t="e">
        <f>'Technical Skills Weighting'!DJ20+"`FU!$T."</f>
        <v>#VALUE!</v>
      </c>
      <c r="BE61" t="e">
        <f>'Technical Skills Weighting'!DK20+"`FU!$T/"</f>
        <v>#VALUE!</v>
      </c>
      <c r="BF61" t="e">
        <f>'Technical Skills Weighting'!DL20+"`FU!$T0"</f>
        <v>#VALUE!</v>
      </c>
      <c r="BG61" t="e">
        <f>'Technical Skills Weighting'!DM20+"`FU!$T1"</f>
        <v>#VALUE!</v>
      </c>
      <c r="BH61" t="e">
        <f>'Technical Skills Weighting'!DN20+"`FU!$T2"</f>
        <v>#VALUE!</v>
      </c>
      <c r="BI61" t="e">
        <f>'Technical Skills Weighting'!DO20+"`FU!$T3"</f>
        <v>#VALUE!</v>
      </c>
      <c r="BJ61" t="e">
        <f>'Technical Skills Weighting'!DP20+"`FU!$T4"</f>
        <v>#VALUE!</v>
      </c>
      <c r="BK61" t="e">
        <f>'Technical Skills Weighting'!DQ20+"`FU!$T5"</f>
        <v>#VALUE!</v>
      </c>
      <c r="BL61" t="e">
        <f>'Technical Skills Weighting'!DR20+"`FU!$T6"</f>
        <v>#VALUE!</v>
      </c>
      <c r="BM61" t="e">
        <f>'Technical Skills Weighting'!DS20+"`FU!$T7"</f>
        <v>#VALUE!</v>
      </c>
      <c r="BN61" t="e">
        <f>'Technical Skills Weighting'!DT20+"`FU!$T8"</f>
        <v>#VALUE!</v>
      </c>
      <c r="BO61" t="e">
        <f>'Technical Skills Weighting'!DU20+"`FU!$T9"</f>
        <v>#VALUE!</v>
      </c>
      <c r="BP61" t="e">
        <f>'Technical Skills Weighting'!DV20+"`FU!$T:"</f>
        <v>#VALUE!</v>
      </c>
      <c r="BQ61" t="e">
        <f>'Technical Skills Weighting'!DW20+"`FU!$T;"</f>
        <v>#VALUE!</v>
      </c>
      <c r="BR61" t="e">
        <f>'Technical Skills Weighting'!DX20+"`FU!$T&lt;"</f>
        <v>#VALUE!</v>
      </c>
      <c r="BS61" t="e">
        <f>'Technical Skills Weighting'!DY20+"`FU!$T="</f>
        <v>#VALUE!</v>
      </c>
      <c r="BT61" t="e">
        <f>'Technical Skills Weighting'!DZ20+"`FU!$T&gt;"</f>
        <v>#VALUE!</v>
      </c>
      <c r="BU61" t="e">
        <f>'Technical Skills Weighting'!EA20+"`FU!$T?"</f>
        <v>#VALUE!</v>
      </c>
      <c r="BV61" t="e">
        <f>'Technical Skills Weighting'!EB20+"`FU!$T@"</f>
        <v>#VALUE!</v>
      </c>
      <c r="BW61" t="e">
        <f>'Technical Skills Weighting'!EC20+"`FU!$TA"</f>
        <v>#VALUE!</v>
      </c>
      <c r="BX61" t="e">
        <f>'Technical Skills Weighting'!ED20+"`FU!$TB"</f>
        <v>#VALUE!</v>
      </c>
      <c r="BY61" t="e">
        <f>'Technical Skills Weighting'!EE20+"`FU!$TC"</f>
        <v>#VALUE!</v>
      </c>
      <c r="BZ61" t="e">
        <f>'Technical Skills Weighting'!EF20+"`FU!$TD"</f>
        <v>#VALUE!</v>
      </c>
      <c r="CA61" t="e">
        <f>'Technical Skills Weighting'!EG20+"`FU!$TE"</f>
        <v>#VALUE!</v>
      </c>
      <c r="CB61" t="e">
        <f>'Technical Skills Weighting'!EH20+"`FU!$TF"</f>
        <v>#VALUE!</v>
      </c>
      <c r="CC61" t="e">
        <f>'Technical Skills Weighting'!EI20+"`FU!$TG"</f>
        <v>#VALUE!</v>
      </c>
      <c r="CD61" t="e">
        <f>'Technical Skills Weighting'!EJ20+"`FU!$TH"</f>
        <v>#VALUE!</v>
      </c>
      <c r="CE61" t="e">
        <f>'Technical Skills Weighting'!EK20+"`FU!$TI"</f>
        <v>#VALUE!</v>
      </c>
      <c r="CF61" t="e">
        <f>'Technical Skills Weighting'!EL20+"`FU!$TJ"</f>
        <v>#VALUE!</v>
      </c>
      <c r="CG61" t="e">
        <f>'Technical Skills Weighting'!EM20+"`FU!$TK"</f>
        <v>#VALUE!</v>
      </c>
      <c r="CH61" t="e">
        <f>'Technical Skills Weighting'!EN20+"`FU!$TL"</f>
        <v>#VALUE!</v>
      </c>
      <c r="CI61" t="e">
        <f>'Technical Skills Weighting'!EO20+"`FU!$TM"</f>
        <v>#VALUE!</v>
      </c>
      <c r="CJ61" t="e">
        <f>'Technical Skills Weighting'!EP20+"`FU!$TN"</f>
        <v>#VALUE!</v>
      </c>
      <c r="CK61" t="e">
        <f>'Technical Skills Weighting'!EQ20+"`FU!$TO"</f>
        <v>#VALUE!</v>
      </c>
      <c r="CL61" t="e">
        <f>'Technical Skills Weighting'!ER20+"`FU!$TP"</f>
        <v>#VALUE!</v>
      </c>
      <c r="CM61" t="e">
        <f>'Technical Skills Weighting'!ES20+"`FU!$TQ"</f>
        <v>#VALUE!</v>
      </c>
      <c r="CN61" t="e">
        <f>'Technical Skills Weighting'!ET20+"`FU!$TR"</f>
        <v>#VALUE!</v>
      </c>
      <c r="CO61" t="e">
        <f>'Technical Skills Weighting'!EU20+"`FU!$TS"</f>
        <v>#VALUE!</v>
      </c>
      <c r="CP61" t="e">
        <f>'Technical Skills Weighting'!EV20+"`FU!$TT"</f>
        <v>#VALUE!</v>
      </c>
      <c r="CQ61" t="e">
        <f>'Technical Skills Weighting'!EW20+"`FU!$TU"</f>
        <v>#VALUE!</v>
      </c>
      <c r="CR61" t="e">
        <f>'Technical Skills Weighting'!EX20+"`FU!$TV"</f>
        <v>#VALUE!</v>
      </c>
      <c r="CS61" t="e">
        <f>'Technical Skills Weighting'!EY20+"`FU!$TW"</f>
        <v>#VALUE!</v>
      </c>
      <c r="CT61" t="e">
        <f>'Technical Skills Weighting'!EZ20+"`FU!$TX"</f>
        <v>#VALUE!</v>
      </c>
      <c r="CU61" t="e">
        <f>'Technical Skills Weighting'!FA20+"`FU!$TY"</f>
        <v>#VALUE!</v>
      </c>
      <c r="CV61" t="e">
        <f>'Technical Skills Weighting'!FB20+"`FU!$TZ"</f>
        <v>#VALUE!</v>
      </c>
      <c r="CW61" t="e">
        <f>'Technical Skills Weighting'!FC20+"`FU!$T["</f>
        <v>#VALUE!</v>
      </c>
      <c r="CX61" t="e">
        <f>'Technical Skills Weighting'!FD20+"`FU!$T\"</f>
        <v>#VALUE!</v>
      </c>
      <c r="CY61" t="e">
        <f>'Technical Skills Weighting'!FE20+"`FU!$T]"</f>
        <v>#VALUE!</v>
      </c>
      <c r="CZ61" t="e">
        <f>'Technical Skills Weighting'!FF20+"`FU!$T^"</f>
        <v>#VALUE!</v>
      </c>
      <c r="DA61" t="e">
        <f>'Technical Skills Weighting'!FG20+"`FU!$T_"</f>
        <v>#VALUE!</v>
      </c>
      <c r="DB61" t="e">
        <f>'Technical Skills Weighting'!FH20+"`FU!$T`"</f>
        <v>#VALUE!</v>
      </c>
      <c r="DC61" t="e">
        <f>'Technical Skills Weighting'!FI20+"`FU!$Ta"</f>
        <v>#VALUE!</v>
      </c>
      <c r="DD61" t="e">
        <f>'Technical Skills Weighting'!FJ20+"`FU!$Tb"</f>
        <v>#VALUE!</v>
      </c>
      <c r="DE61" t="e">
        <f>'Technical Skills Weighting'!FK20+"`FU!$Tc"</f>
        <v>#VALUE!</v>
      </c>
      <c r="DF61" t="e">
        <f>'Technical Skills Weighting'!FL20+"`FU!$Td"</f>
        <v>#VALUE!</v>
      </c>
      <c r="DG61" t="e">
        <f>'Technical Skills Weighting'!FM20+"`FU!$Te"</f>
        <v>#VALUE!</v>
      </c>
      <c r="DH61" t="e">
        <f>'Technical Skills Weighting'!FN20+"`FU!$Tf"</f>
        <v>#VALUE!</v>
      </c>
      <c r="DI61" t="e">
        <f>'Technical Skills Weighting'!FO20+"`FU!$Tg"</f>
        <v>#VALUE!</v>
      </c>
      <c r="DJ61" t="e">
        <f>'Technical Skills Weighting'!FP20+"`FU!$Th"</f>
        <v>#VALUE!</v>
      </c>
      <c r="DK61" t="e">
        <f>'Technical Skills Weighting'!FQ20+"`FU!$Ti"</f>
        <v>#VALUE!</v>
      </c>
      <c r="DL61" t="e">
        <f>'Technical Skills Weighting'!FR20+"`FU!$Tj"</f>
        <v>#VALUE!</v>
      </c>
      <c r="DM61" t="e">
        <f>'Technical Skills Weighting'!FS20+"`FU!$Tk"</f>
        <v>#VALUE!</v>
      </c>
      <c r="DN61" t="e">
        <f>'Technical Skills Weighting'!FT20+"`FU!$Tl"</f>
        <v>#VALUE!</v>
      </c>
      <c r="DO61" t="e">
        <f>'Technical Skills Weighting'!FU20+"`FU!$Tm"</f>
        <v>#VALUE!</v>
      </c>
      <c r="DP61" t="e">
        <f>'Technical Skills Weighting'!FV20+"`FU!$Tn"</f>
        <v>#VALUE!</v>
      </c>
      <c r="DQ61" t="e">
        <f>'Technical Skills Weighting'!FW20+"`FU!$To"</f>
        <v>#VALUE!</v>
      </c>
      <c r="DR61" t="e">
        <f>'Technical Skills Weighting'!FX20+"`FU!$Tp"</f>
        <v>#VALUE!</v>
      </c>
      <c r="DS61" t="e">
        <f>'Technical Skills Weighting'!FY20+"`FU!$Tq"</f>
        <v>#VALUE!</v>
      </c>
      <c r="DT61" t="e">
        <f>'Technical Skills Weighting'!FZ20+"`FU!$Tr"</f>
        <v>#VALUE!</v>
      </c>
      <c r="DU61" t="e">
        <f>'Technical Skills Weighting'!GA20+"`FU!$Ts"</f>
        <v>#VALUE!</v>
      </c>
      <c r="DV61" t="e">
        <f>'Technical Skills Weighting'!GB20+"`FU!$Tt"</f>
        <v>#VALUE!</v>
      </c>
      <c r="DW61" t="e">
        <f>'Technical Skills Weighting'!GC20+"`FU!$Tu"</f>
        <v>#VALUE!</v>
      </c>
      <c r="DX61" t="e">
        <f>'Technical Skills Weighting'!GD20+"`FU!$Tv"</f>
        <v>#VALUE!</v>
      </c>
      <c r="DY61" t="e">
        <f>'Technical Skills Weighting'!GE20+"`FU!$Tw"</f>
        <v>#VALUE!</v>
      </c>
      <c r="DZ61" t="e">
        <f>'Technical Skills Weighting'!GF20+"`FU!$Tx"</f>
        <v>#VALUE!</v>
      </c>
      <c r="EA61" t="e">
        <f>'Technical Skills Weighting'!GG20+"`FU!$Ty"</f>
        <v>#VALUE!</v>
      </c>
      <c r="EB61" t="e">
        <f>'Technical Skills Weighting'!D21+"`FU!$Tz"</f>
        <v>#VALUE!</v>
      </c>
      <c r="EC61" t="e">
        <f>'Technical Skills Weighting'!E21+"`FU!$T{"</f>
        <v>#VALUE!</v>
      </c>
      <c r="ED61" t="e">
        <f>'Technical Skills Weighting'!F21+"`FU!$T|"</f>
        <v>#VALUE!</v>
      </c>
      <c r="EE61" t="e">
        <f>'Technical Skills Weighting'!G21+"`FU!$T}"</f>
        <v>#VALUE!</v>
      </c>
      <c r="EF61" t="e">
        <f>'Technical Skills Weighting'!A22+"`FU!$T~"</f>
        <v>#VALUE!</v>
      </c>
      <c r="EG61" t="e">
        <f>'Technical Skills Weighting'!D22+"`FU!$U#"</f>
        <v>#VALUE!</v>
      </c>
      <c r="EH61" t="e">
        <f>'Technical Skills Weighting'!E22+"`FU!$U$"</f>
        <v>#VALUE!</v>
      </c>
      <c r="EI61" t="e">
        <f>'Technical Skills Weighting'!F22+"`FU!$U%"</f>
        <v>#VALUE!</v>
      </c>
      <c r="EJ61" t="e">
        <f>'Technical Skills Weighting'!G22+"`FU!$U&amp;"</f>
        <v>#VALUE!</v>
      </c>
      <c r="EK61" t="e">
        <f>'Technical Skills Weighting'!H22+"`FU!$U'"</f>
        <v>#VALUE!</v>
      </c>
      <c r="EL61" t="e">
        <f>'Technical Skills Weighting'!I22+"`FU!$U("</f>
        <v>#VALUE!</v>
      </c>
      <c r="EM61" t="e">
        <f>'Technical Skills Weighting'!J22+"`FU!$U)"</f>
        <v>#VALUE!</v>
      </c>
      <c r="EN61" t="e">
        <f>'Technical Skills Weighting'!K22+"`FU!$U."</f>
        <v>#VALUE!</v>
      </c>
      <c r="EO61" t="e">
        <f>'Technical Skills Weighting'!L22+"`FU!$U/"</f>
        <v>#VALUE!</v>
      </c>
      <c r="EP61" t="e">
        <f>'Technical Skills Weighting'!M22+"`FU!$U0"</f>
        <v>#VALUE!</v>
      </c>
      <c r="EQ61" t="e">
        <f>'Technical Skills Weighting'!N22+"`FU!$U1"</f>
        <v>#VALUE!</v>
      </c>
      <c r="ER61" t="e">
        <f>'Technical Skills Weighting'!O22+"`FU!$U2"</f>
        <v>#VALUE!</v>
      </c>
      <c r="ES61" t="e">
        <f>'Technical Skills Weighting'!P22+"`FU!$U3"</f>
        <v>#VALUE!</v>
      </c>
      <c r="ET61" t="e">
        <f>'Technical Skills Weighting'!Q22+"`FU!$U4"</f>
        <v>#VALUE!</v>
      </c>
      <c r="EU61" t="e">
        <f>'Technical Skills Weighting'!R22+"`FU!$U5"</f>
        <v>#VALUE!</v>
      </c>
      <c r="EV61" t="e">
        <f>'Technical Skills Weighting'!S22+"`FU!$U6"</f>
        <v>#VALUE!</v>
      </c>
      <c r="EW61" t="e">
        <f>'Technical Skills Weighting'!T22+"`FU!$U7"</f>
        <v>#VALUE!</v>
      </c>
      <c r="EX61" t="e">
        <f>'Technical Skills Weighting'!U22+"`FU!$U8"</f>
        <v>#VALUE!</v>
      </c>
      <c r="EY61" t="e">
        <f>'Technical Skills Weighting'!V22+"`FU!$U9"</f>
        <v>#VALUE!</v>
      </c>
      <c r="EZ61" t="e">
        <f>'Technical Skills Weighting'!W22+"`FU!$U:"</f>
        <v>#VALUE!</v>
      </c>
      <c r="FA61" t="e">
        <f>'Technical Skills Weighting'!X22+"`FU!$U;"</f>
        <v>#VALUE!</v>
      </c>
      <c r="FB61" t="e">
        <f>'Technical Skills Weighting'!Y22+"`FU!$U&lt;"</f>
        <v>#VALUE!</v>
      </c>
      <c r="FC61" t="e">
        <f>'Technical Skills Weighting'!Z22+"`FU!$U="</f>
        <v>#VALUE!</v>
      </c>
      <c r="FD61" t="e">
        <f>'Technical Skills Weighting'!AA22+"`FU!$U&gt;"</f>
        <v>#VALUE!</v>
      </c>
      <c r="FE61" t="e">
        <f>'Technical Skills Weighting'!AB22+"`FU!$U?"</f>
        <v>#VALUE!</v>
      </c>
      <c r="FF61" t="e">
        <f>'Technical Skills Weighting'!AC22+"`FU!$U@"</f>
        <v>#VALUE!</v>
      </c>
      <c r="FG61" t="e">
        <f>'Technical Skills Weighting'!AD22+"`FU!$UA"</f>
        <v>#VALUE!</v>
      </c>
      <c r="FH61" t="e">
        <f>'Technical Skills Weighting'!AE22+"`FU!$UB"</f>
        <v>#VALUE!</v>
      </c>
      <c r="FI61" t="e">
        <f>'Technical Skills Weighting'!AF22+"`FU!$UC"</f>
        <v>#VALUE!</v>
      </c>
      <c r="FJ61" t="e">
        <f>'Technical Skills Weighting'!AG22+"`FU!$UD"</f>
        <v>#VALUE!</v>
      </c>
      <c r="FK61" t="e">
        <f>'Technical Skills Weighting'!AH22+"`FU!$UE"</f>
        <v>#VALUE!</v>
      </c>
      <c r="FL61" t="e">
        <f>'Technical Skills Weighting'!AI22+"`FU!$UF"</f>
        <v>#VALUE!</v>
      </c>
      <c r="FM61" t="e">
        <f>'Technical Skills Weighting'!AJ22+"`FU!$UG"</f>
        <v>#VALUE!</v>
      </c>
      <c r="FN61" t="e">
        <f>'Technical Skills Weighting'!AK22+"`FU!$UH"</f>
        <v>#VALUE!</v>
      </c>
      <c r="FO61" t="e">
        <f>'Technical Skills Weighting'!AL22+"`FU!$UI"</f>
        <v>#VALUE!</v>
      </c>
      <c r="FP61" t="e">
        <f>'Technical Skills Weighting'!AM22+"`FU!$UJ"</f>
        <v>#VALUE!</v>
      </c>
      <c r="FQ61" t="e">
        <f>'Technical Skills Weighting'!AN22+"`FU!$UK"</f>
        <v>#VALUE!</v>
      </c>
      <c r="FR61" t="e">
        <f>'Technical Skills Weighting'!AO22+"`FU!$UL"</f>
        <v>#VALUE!</v>
      </c>
      <c r="FS61" t="e">
        <f>'Technical Skills Weighting'!AP22+"`FU!$UM"</f>
        <v>#VALUE!</v>
      </c>
      <c r="FT61" t="e">
        <f>'Technical Skills Weighting'!AQ22+"`FU!$UN"</f>
        <v>#VALUE!</v>
      </c>
      <c r="FU61" t="e">
        <f>'Technical Skills Weighting'!AR22+"`FU!$UO"</f>
        <v>#VALUE!</v>
      </c>
      <c r="FV61" t="e">
        <f>'Technical Skills Weighting'!AS22+"`FU!$UP"</f>
        <v>#VALUE!</v>
      </c>
      <c r="FW61" t="e">
        <f>'Technical Skills Weighting'!AT22+"`FU!$UQ"</f>
        <v>#VALUE!</v>
      </c>
      <c r="FX61" t="e">
        <f>'Technical Skills Weighting'!AU22+"`FU!$UR"</f>
        <v>#VALUE!</v>
      </c>
      <c r="FY61" t="e">
        <f>'Technical Skills Weighting'!AV22+"`FU!$US"</f>
        <v>#VALUE!</v>
      </c>
      <c r="FZ61" t="e">
        <f>'Technical Skills Weighting'!AW22+"`FU!$UT"</f>
        <v>#VALUE!</v>
      </c>
      <c r="GA61" t="e">
        <f>'Technical Skills Weighting'!AX22+"`FU!$UU"</f>
        <v>#VALUE!</v>
      </c>
      <c r="GB61" t="e">
        <f>'Technical Skills Weighting'!AY22+"`FU!$UV"</f>
        <v>#VALUE!</v>
      </c>
      <c r="GC61" t="e">
        <f>'Technical Skills Weighting'!AZ22+"`FU!$UW"</f>
        <v>#VALUE!</v>
      </c>
      <c r="GD61" t="e">
        <f>'Technical Skills Weighting'!BA22+"`FU!$UX"</f>
        <v>#VALUE!</v>
      </c>
      <c r="GE61" t="e">
        <f>'Technical Skills Weighting'!BB22+"`FU!$UY"</f>
        <v>#VALUE!</v>
      </c>
      <c r="GF61" t="e">
        <f>'Technical Skills Weighting'!BC22+"`FU!$UZ"</f>
        <v>#VALUE!</v>
      </c>
      <c r="GG61" t="e">
        <f>'Technical Skills Weighting'!BD22+"`FU!$U["</f>
        <v>#VALUE!</v>
      </c>
      <c r="GH61" t="e">
        <f>'Technical Skills Weighting'!BE22+"`FU!$U\"</f>
        <v>#VALUE!</v>
      </c>
      <c r="GI61" t="e">
        <f>'Technical Skills Weighting'!BF22+"`FU!$U]"</f>
        <v>#VALUE!</v>
      </c>
      <c r="GJ61" t="e">
        <f>'Technical Skills Weighting'!BG22+"`FU!$U^"</f>
        <v>#VALUE!</v>
      </c>
      <c r="GK61" t="e">
        <f>'Technical Skills Weighting'!BH22+"`FU!$U_"</f>
        <v>#VALUE!</v>
      </c>
      <c r="GL61" t="e">
        <f>'Technical Skills Weighting'!BI22+"`FU!$U`"</f>
        <v>#VALUE!</v>
      </c>
      <c r="GM61" t="e">
        <f>'Technical Skills Weighting'!BJ22+"`FU!$Ua"</f>
        <v>#VALUE!</v>
      </c>
      <c r="GN61" t="e">
        <f>'Technical Skills Weighting'!BK22+"`FU!$Ub"</f>
        <v>#VALUE!</v>
      </c>
      <c r="GO61" t="e">
        <f>'Technical Skills Weighting'!BL22+"`FU!$Uc"</f>
        <v>#VALUE!</v>
      </c>
      <c r="GP61" t="e">
        <f>'Technical Skills Weighting'!BM22+"`FU!$Ud"</f>
        <v>#VALUE!</v>
      </c>
      <c r="GQ61" t="e">
        <f>'Technical Skills Weighting'!BN22+"`FU!$Ue"</f>
        <v>#VALUE!</v>
      </c>
      <c r="GR61" t="e">
        <f>'Technical Skills Weighting'!BO22+"`FU!$Uf"</f>
        <v>#VALUE!</v>
      </c>
      <c r="GS61" t="e">
        <f>'Technical Skills Weighting'!BP22+"`FU!$Ug"</f>
        <v>#VALUE!</v>
      </c>
      <c r="GT61" t="e">
        <f>'Technical Skills Weighting'!BQ22+"`FU!$Uh"</f>
        <v>#VALUE!</v>
      </c>
      <c r="GU61" t="e">
        <f>'Technical Skills Weighting'!BR22+"`FU!$Ui"</f>
        <v>#VALUE!</v>
      </c>
      <c r="GV61" t="e">
        <f>'Technical Skills Weighting'!BS22+"`FU!$Uj"</f>
        <v>#VALUE!</v>
      </c>
      <c r="GW61" t="e">
        <f>'Technical Skills Weighting'!BT22+"`FU!$Uk"</f>
        <v>#VALUE!</v>
      </c>
      <c r="GX61" t="e">
        <f>'Technical Skills Weighting'!BU22+"`FU!$Ul"</f>
        <v>#VALUE!</v>
      </c>
      <c r="GY61" t="e">
        <f>'Technical Skills Weighting'!BV22+"`FU!$Um"</f>
        <v>#VALUE!</v>
      </c>
      <c r="GZ61" t="e">
        <f>'Technical Skills Weighting'!BW22+"`FU!$Un"</f>
        <v>#VALUE!</v>
      </c>
      <c r="HA61" t="e">
        <f>'Technical Skills Weighting'!BX22+"`FU!$Uo"</f>
        <v>#VALUE!</v>
      </c>
      <c r="HB61" t="e">
        <f>'Technical Skills Weighting'!BY22+"`FU!$Up"</f>
        <v>#VALUE!</v>
      </c>
      <c r="HC61" t="e">
        <f>'Technical Skills Weighting'!BZ22+"`FU!$Uq"</f>
        <v>#VALUE!</v>
      </c>
      <c r="HD61" t="e">
        <f>'Technical Skills Weighting'!CA22+"`FU!$Ur"</f>
        <v>#VALUE!</v>
      </c>
      <c r="HE61" t="e">
        <f>'Technical Skills Weighting'!CB22+"`FU!$Us"</f>
        <v>#VALUE!</v>
      </c>
      <c r="HF61" t="e">
        <f>'Technical Skills Weighting'!CC22+"`FU!$Ut"</f>
        <v>#VALUE!</v>
      </c>
      <c r="HG61" t="e">
        <f>'Technical Skills Weighting'!CD22+"`FU!$Uu"</f>
        <v>#VALUE!</v>
      </c>
      <c r="HH61" t="e">
        <f>'Technical Skills Weighting'!CE22+"`FU!$Uv"</f>
        <v>#VALUE!</v>
      </c>
      <c r="HI61" t="e">
        <f>'Technical Skills Weighting'!CF22+"`FU!$Uw"</f>
        <v>#VALUE!</v>
      </c>
      <c r="HJ61" t="e">
        <f>'Technical Skills Weighting'!CG22+"`FU!$Ux"</f>
        <v>#VALUE!</v>
      </c>
      <c r="HK61" t="e">
        <f>'Technical Skills Weighting'!CH22+"`FU!$Uy"</f>
        <v>#VALUE!</v>
      </c>
      <c r="HL61" t="e">
        <f>'Technical Skills Weighting'!CI22+"`FU!$Uz"</f>
        <v>#VALUE!</v>
      </c>
      <c r="HM61" t="e">
        <f>'Technical Skills Weighting'!CJ22+"`FU!$U{"</f>
        <v>#VALUE!</v>
      </c>
      <c r="HN61" t="e">
        <f>'Technical Skills Weighting'!CK22+"`FU!$U|"</f>
        <v>#VALUE!</v>
      </c>
      <c r="HO61" t="e">
        <f>'Technical Skills Weighting'!CL22+"`FU!$U}"</f>
        <v>#VALUE!</v>
      </c>
      <c r="HP61" t="e">
        <f>'Technical Skills Weighting'!CM22+"`FU!$U~"</f>
        <v>#VALUE!</v>
      </c>
      <c r="HQ61" t="e">
        <f>'Technical Skills Weighting'!CN22+"`FU!$V#"</f>
        <v>#VALUE!</v>
      </c>
      <c r="HR61" t="e">
        <f>'Technical Skills Weighting'!CO22+"`FU!$V$"</f>
        <v>#VALUE!</v>
      </c>
      <c r="HS61" t="e">
        <f>'Technical Skills Weighting'!CP22+"`FU!$V%"</f>
        <v>#VALUE!</v>
      </c>
      <c r="HT61" t="e">
        <f>'Technical Skills Weighting'!CQ22+"`FU!$V&amp;"</f>
        <v>#VALUE!</v>
      </c>
      <c r="HU61" t="e">
        <f>'Technical Skills Weighting'!CR22+"`FU!$V'"</f>
        <v>#VALUE!</v>
      </c>
      <c r="HV61" t="e">
        <f>'Technical Skills Weighting'!CS22+"`FU!$V("</f>
        <v>#VALUE!</v>
      </c>
      <c r="HW61" t="e">
        <f>'Technical Skills Weighting'!CT22+"`FU!$V)"</f>
        <v>#VALUE!</v>
      </c>
      <c r="HX61" t="e">
        <f>'Technical Skills Weighting'!CU22+"`FU!$V."</f>
        <v>#VALUE!</v>
      </c>
      <c r="HY61" t="e">
        <f>'Technical Skills Weighting'!CV22+"`FU!$V/"</f>
        <v>#VALUE!</v>
      </c>
      <c r="HZ61" t="e">
        <f>'Technical Skills Weighting'!CW22+"`FU!$V0"</f>
        <v>#VALUE!</v>
      </c>
      <c r="IA61" t="e">
        <f>'Technical Skills Weighting'!CX22+"`FU!$V1"</f>
        <v>#VALUE!</v>
      </c>
      <c r="IB61" t="e">
        <f>'Technical Skills Weighting'!CY22+"`FU!$V2"</f>
        <v>#VALUE!</v>
      </c>
      <c r="IC61" t="e">
        <f>'Technical Skills Weighting'!CZ22+"`FU!$V3"</f>
        <v>#VALUE!</v>
      </c>
      <c r="ID61" t="e">
        <f>'Technical Skills Weighting'!DA22+"`FU!$V4"</f>
        <v>#VALUE!</v>
      </c>
      <c r="IE61" t="e">
        <f>'Technical Skills Weighting'!DB22+"`FU!$V5"</f>
        <v>#VALUE!</v>
      </c>
      <c r="IF61" t="e">
        <f>'Technical Skills Weighting'!DC22+"`FU!$V6"</f>
        <v>#VALUE!</v>
      </c>
      <c r="IG61" t="e">
        <f>'Technical Skills Weighting'!DD22+"`FU!$V7"</f>
        <v>#VALUE!</v>
      </c>
      <c r="IH61" t="e">
        <f>'Technical Skills Weighting'!DE22+"`FU!$V8"</f>
        <v>#VALUE!</v>
      </c>
      <c r="II61" t="e">
        <f>'Technical Skills Weighting'!DF22+"`FU!$V9"</f>
        <v>#VALUE!</v>
      </c>
      <c r="IJ61" t="e">
        <f>'Technical Skills Weighting'!DG22+"`FU!$V:"</f>
        <v>#VALUE!</v>
      </c>
      <c r="IK61" t="e">
        <f>'Technical Skills Weighting'!DH22+"`FU!$V;"</f>
        <v>#VALUE!</v>
      </c>
      <c r="IL61" t="e">
        <f>'Technical Skills Weighting'!DI22+"`FU!$V&lt;"</f>
        <v>#VALUE!</v>
      </c>
      <c r="IM61" t="e">
        <f>'Technical Skills Weighting'!DJ22+"`FU!$V="</f>
        <v>#VALUE!</v>
      </c>
      <c r="IN61" t="e">
        <f>'Technical Skills Weighting'!DK22+"`FU!$V&gt;"</f>
        <v>#VALUE!</v>
      </c>
      <c r="IO61" t="e">
        <f>'Technical Skills Weighting'!DL22+"`FU!$V?"</f>
        <v>#VALUE!</v>
      </c>
      <c r="IP61" t="e">
        <f>'Technical Skills Weighting'!DM22+"`FU!$V@"</f>
        <v>#VALUE!</v>
      </c>
      <c r="IQ61" t="e">
        <f>'Technical Skills Weighting'!DN22+"`FU!$VA"</f>
        <v>#VALUE!</v>
      </c>
      <c r="IR61" t="e">
        <f>'Technical Skills Weighting'!DO22+"`FU!$VB"</f>
        <v>#VALUE!</v>
      </c>
      <c r="IS61" t="e">
        <f>'Technical Skills Weighting'!DP22+"`FU!$VC"</f>
        <v>#VALUE!</v>
      </c>
      <c r="IT61" t="e">
        <f>'Technical Skills Weighting'!DQ22+"`FU!$VD"</f>
        <v>#VALUE!</v>
      </c>
      <c r="IU61" t="e">
        <f>'Technical Skills Weighting'!DR22+"`FU!$VE"</f>
        <v>#VALUE!</v>
      </c>
      <c r="IV61" t="e">
        <f>'Technical Skills Weighting'!DS22+"`FU!$VF"</f>
        <v>#VALUE!</v>
      </c>
    </row>
    <row r="62" spans="6:256" x14ac:dyDescent="0.25">
      <c r="F62" t="e">
        <f>'Technical Skills Weighting'!DT22+"`FU!$VG"</f>
        <v>#VALUE!</v>
      </c>
      <c r="G62" t="e">
        <f>'Technical Skills Weighting'!DU22+"`FU!$VH"</f>
        <v>#VALUE!</v>
      </c>
      <c r="H62" t="e">
        <f>'Technical Skills Weighting'!DV22+"`FU!$VI"</f>
        <v>#VALUE!</v>
      </c>
      <c r="I62" t="e">
        <f>'Technical Skills Weighting'!DW22+"`FU!$VJ"</f>
        <v>#VALUE!</v>
      </c>
      <c r="J62" t="e">
        <f>'Technical Skills Weighting'!DX22+"`FU!$VK"</f>
        <v>#VALUE!</v>
      </c>
      <c r="K62" t="e">
        <f>'Technical Skills Weighting'!DY22+"`FU!$VL"</f>
        <v>#VALUE!</v>
      </c>
      <c r="L62" t="e">
        <f>'Technical Skills Weighting'!DZ22+"`FU!$VM"</f>
        <v>#VALUE!</v>
      </c>
      <c r="M62" t="e">
        <f>'Technical Skills Weighting'!EA22+"`FU!$VN"</f>
        <v>#VALUE!</v>
      </c>
      <c r="N62" t="e">
        <f>'Technical Skills Weighting'!EB22+"`FU!$VO"</f>
        <v>#VALUE!</v>
      </c>
      <c r="O62" t="e">
        <f>'Technical Skills Weighting'!EC22+"`FU!$VP"</f>
        <v>#VALUE!</v>
      </c>
      <c r="P62" t="e">
        <f>'Technical Skills Weighting'!ED22+"`FU!$VQ"</f>
        <v>#VALUE!</v>
      </c>
      <c r="Q62" t="e">
        <f>'Technical Skills Weighting'!EE22+"`FU!$VR"</f>
        <v>#VALUE!</v>
      </c>
      <c r="R62" t="e">
        <f>'Technical Skills Weighting'!EF22+"`FU!$VS"</f>
        <v>#VALUE!</v>
      </c>
      <c r="S62" t="e">
        <f>'Technical Skills Weighting'!EG22+"`FU!$VT"</f>
        <v>#VALUE!</v>
      </c>
      <c r="T62" t="e">
        <f>'Technical Skills Weighting'!EH22+"`FU!$VU"</f>
        <v>#VALUE!</v>
      </c>
      <c r="U62" t="e">
        <f>'Technical Skills Weighting'!EI22+"`FU!$VV"</f>
        <v>#VALUE!</v>
      </c>
      <c r="V62" t="e">
        <f>'Technical Skills Weighting'!EJ22+"`FU!$VW"</f>
        <v>#VALUE!</v>
      </c>
      <c r="W62" t="e">
        <f>'Technical Skills Weighting'!EK22+"`FU!$VX"</f>
        <v>#VALUE!</v>
      </c>
      <c r="X62" t="e">
        <f>'Technical Skills Weighting'!EL22+"`FU!$VY"</f>
        <v>#VALUE!</v>
      </c>
      <c r="Y62" t="e">
        <f>'Technical Skills Weighting'!EM22+"`FU!$VZ"</f>
        <v>#VALUE!</v>
      </c>
      <c r="Z62" t="e">
        <f>'Technical Skills Weighting'!EN22+"`FU!$V["</f>
        <v>#VALUE!</v>
      </c>
      <c r="AA62" t="e">
        <f>'Technical Skills Weighting'!EO22+"`FU!$V\"</f>
        <v>#VALUE!</v>
      </c>
      <c r="AB62" t="e">
        <f>'Technical Skills Weighting'!EP22+"`FU!$V]"</f>
        <v>#VALUE!</v>
      </c>
      <c r="AC62" t="e">
        <f>'Technical Skills Weighting'!EQ22+"`FU!$V^"</f>
        <v>#VALUE!</v>
      </c>
      <c r="AD62" t="e">
        <f>'Technical Skills Weighting'!ER22+"`FU!$V_"</f>
        <v>#VALUE!</v>
      </c>
      <c r="AE62" t="e">
        <f>'Technical Skills Weighting'!ES22+"`FU!$V`"</f>
        <v>#VALUE!</v>
      </c>
      <c r="AF62" t="e">
        <f>'Technical Skills Weighting'!ET22+"`FU!$Va"</f>
        <v>#VALUE!</v>
      </c>
      <c r="AG62" t="e">
        <f>'Technical Skills Weighting'!EU22+"`FU!$Vb"</f>
        <v>#VALUE!</v>
      </c>
      <c r="AH62" t="e">
        <f>'Technical Skills Weighting'!EV22+"`FU!$Vc"</f>
        <v>#VALUE!</v>
      </c>
      <c r="AI62" t="e">
        <f>'Technical Skills Weighting'!EW22+"`FU!$Vd"</f>
        <v>#VALUE!</v>
      </c>
      <c r="AJ62" t="e">
        <f>'Technical Skills Weighting'!EX22+"`FU!$Ve"</f>
        <v>#VALUE!</v>
      </c>
      <c r="AK62" t="e">
        <f>'Technical Skills Weighting'!EY22+"`FU!$Vf"</f>
        <v>#VALUE!</v>
      </c>
      <c r="AL62" t="e">
        <f>'Technical Skills Weighting'!EZ22+"`FU!$Vg"</f>
        <v>#VALUE!</v>
      </c>
      <c r="AM62" t="e">
        <f>'Technical Skills Weighting'!FA22+"`FU!$Vh"</f>
        <v>#VALUE!</v>
      </c>
      <c r="AN62" t="e">
        <f>'Technical Skills Weighting'!FB22+"`FU!$Vi"</f>
        <v>#VALUE!</v>
      </c>
      <c r="AO62" t="e">
        <f>'Technical Skills Weighting'!FC22+"`FU!$Vj"</f>
        <v>#VALUE!</v>
      </c>
      <c r="AP62" t="e">
        <f>'Technical Skills Weighting'!FD22+"`FU!$Vk"</f>
        <v>#VALUE!</v>
      </c>
      <c r="AQ62" t="e">
        <f>'Technical Skills Weighting'!FE22+"`FU!$Vl"</f>
        <v>#VALUE!</v>
      </c>
      <c r="AR62" t="e">
        <f>'Technical Skills Weighting'!FF22+"`FU!$Vm"</f>
        <v>#VALUE!</v>
      </c>
      <c r="AS62" t="e">
        <f>'Technical Skills Weighting'!FG22+"`FU!$Vn"</f>
        <v>#VALUE!</v>
      </c>
      <c r="AT62" t="e">
        <f>'Technical Skills Weighting'!FH22+"`FU!$Vo"</f>
        <v>#VALUE!</v>
      </c>
      <c r="AU62" t="e">
        <f>'Technical Skills Weighting'!FI22+"`FU!$Vp"</f>
        <v>#VALUE!</v>
      </c>
      <c r="AV62" t="e">
        <f>'Technical Skills Weighting'!FJ22+"`FU!$Vq"</f>
        <v>#VALUE!</v>
      </c>
      <c r="AW62" t="e">
        <f>'Technical Skills Weighting'!FK22+"`FU!$Vr"</f>
        <v>#VALUE!</v>
      </c>
      <c r="AX62" t="e">
        <f>'Technical Skills Weighting'!FL22+"`FU!$Vs"</f>
        <v>#VALUE!</v>
      </c>
      <c r="AY62" t="e">
        <f>'Technical Skills Weighting'!FM22+"`FU!$Vt"</f>
        <v>#VALUE!</v>
      </c>
      <c r="AZ62" t="e">
        <f>'Technical Skills Weighting'!FN22+"`FU!$Vu"</f>
        <v>#VALUE!</v>
      </c>
      <c r="BA62" t="e">
        <f>'Technical Skills Weighting'!FO22+"`FU!$Vv"</f>
        <v>#VALUE!</v>
      </c>
      <c r="BB62" t="e">
        <f>'Technical Skills Weighting'!FP22+"`FU!$Vw"</f>
        <v>#VALUE!</v>
      </c>
      <c r="BC62" t="e">
        <f>'Technical Skills Weighting'!FQ22+"`FU!$Vx"</f>
        <v>#VALUE!</v>
      </c>
      <c r="BD62" t="e">
        <f>'Technical Skills Weighting'!FR22+"`FU!$Vy"</f>
        <v>#VALUE!</v>
      </c>
      <c r="BE62" t="e">
        <f>'Technical Skills Weighting'!FS22+"`FU!$Vz"</f>
        <v>#VALUE!</v>
      </c>
      <c r="BF62" t="e">
        <f>'Technical Skills Weighting'!FT22+"`FU!$V{"</f>
        <v>#VALUE!</v>
      </c>
      <c r="BG62" t="e">
        <f>'Technical Skills Weighting'!FU22+"`FU!$V|"</f>
        <v>#VALUE!</v>
      </c>
      <c r="BH62" t="e">
        <f>'Technical Skills Weighting'!FV22+"`FU!$V}"</f>
        <v>#VALUE!</v>
      </c>
      <c r="BI62" t="e">
        <f>'Technical Skills Weighting'!FW22+"`FU!$V~"</f>
        <v>#VALUE!</v>
      </c>
      <c r="BJ62" t="e">
        <f>'Technical Skills Weighting'!FX22+"`FU!$W#"</f>
        <v>#VALUE!</v>
      </c>
      <c r="BK62" t="e">
        <f>'Technical Skills Weighting'!FY22+"`FU!$W$"</f>
        <v>#VALUE!</v>
      </c>
      <c r="BL62" t="e">
        <f>'Technical Skills Weighting'!FZ22+"`FU!$W%"</f>
        <v>#VALUE!</v>
      </c>
      <c r="BM62" t="e">
        <f>'Technical Skills Weighting'!GA22+"`FU!$W&amp;"</f>
        <v>#VALUE!</v>
      </c>
      <c r="BN62" t="e">
        <f>'Technical Skills Weighting'!GB22+"`FU!$W'"</f>
        <v>#VALUE!</v>
      </c>
      <c r="BO62" t="e">
        <f>'Technical Skills Weighting'!GC22+"`FU!$W("</f>
        <v>#VALUE!</v>
      </c>
      <c r="BP62" t="e">
        <f>'Technical Skills Weighting'!GD22+"`FU!$W)"</f>
        <v>#VALUE!</v>
      </c>
      <c r="BQ62" t="e">
        <f>'Technical Skills Weighting'!GE22+"`FU!$W."</f>
        <v>#VALUE!</v>
      </c>
      <c r="BR62" t="e">
        <f>'Technical Skills Weighting'!GF22+"`FU!$W/"</f>
        <v>#VALUE!</v>
      </c>
      <c r="BS62" t="e">
        <f>'Technical Skills Weighting'!GG22+"`FU!$W0"</f>
        <v>#VALUE!</v>
      </c>
      <c r="BT62" t="e">
        <f>'Technical Skills Weighting'!D23+"`FU!$W1"</f>
        <v>#VALUE!</v>
      </c>
      <c r="BU62" t="e">
        <f>'Technical Skills Weighting'!E23+"`FU!$W2"</f>
        <v>#VALUE!</v>
      </c>
      <c r="BV62" t="e">
        <f>'Technical Skills Weighting'!F23+"`FU!$W3"</f>
        <v>#VALUE!</v>
      </c>
      <c r="BW62" t="e">
        <f>'Technical Skills Weighting'!G23+"`FU!$W4"</f>
        <v>#VALUE!</v>
      </c>
      <c r="BX62" t="e">
        <f>'Technical Skills Weighting'!A24+"`FU!$W5"</f>
        <v>#VALUE!</v>
      </c>
      <c r="BY62" t="e">
        <f>'Technical Skills Weighting'!D24+"`FU!$W6"</f>
        <v>#VALUE!</v>
      </c>
      <c r="BZ62" t="e">
        <f>'Technical Skills Weighting'!F24+"`FU!$W7"</f>
        <v>#VALUE!</v>
      </c>
      <c r="CA62" t="e">
        <f>'Technical Skills Weighting'!#REF!+"`FU!$W8"</f>
        <v>#REF!</v>
      </c>
      <c r="CB62" t="e">
        <f>'Technical Skills Weighting'!G24+"`FU!$W9"</f>
        <v>#VALUE!</v>
      </c>
      <c r="CC62" t="e">
        <f>'Technical Skills Weighting'!H24+"`FU!$W:"</f>
        <v>#VALUE!</v>
      </c>
      <c r="CD62" t="e">
        <f>'Technical Skills Weighting'!I24+"`FU!$W;"</f>
        <v>#VALUE!</v>
      </c>
      <c r="CE62" t="e">
        <f>'Technical Skills Weighting'!J24+"`FU!$W&lt;"</f>
        <v>#VALUE!</v>
      </c>
      <c r="CF62" t="e">
        <f>'Technical Skills Weighting'!K24+"`FU!$W="</f>
        <v>#VALUE!</v>
      </c>
      <c r="CG62" t="e">
        <f>'Technical Skills Weighting'!L24+"`FU!$W&gt;"</f>
        <v>#VALUE!</v>
      </c>
      <c r="CH62" t="e">
        <f>'Technical Skills Weighting'!M24+"`FU!$W?"</f>
        <v>#VALUE!</v>
      </c>
      <c r="CI62" t="e">
        <f>'Technical Skills Weighting'!N24+"`FU!$W@"</f>
        <v>#VALUE!</v>
      </c>
      <c r="CJ62" t="e">
        <f>'Technical Skills Weighting'!O24+"`FU!$WA"</f>
        <v>#VALUE!</v>
      </c>
      <c r="CK62" t="e">
        <f>'Technical Skills Weighting'!P24+"`FU!$WB"</f>
        <v>#VALUE!</v>
      </c>
      <c r="CL62" t="e">
        <f>'Technical Skills Weighting'!Q24+"`FU!$WC"</f>
        <v>#VALUE!</v>
      </c>
      <c r="CM62" t="e">
        <f>'Technical Skills Weighting'!R24+"`FU!$WD"</f>
        <v>#VALUE!</v>
      </c>
      <c r="CN62" t="e">
        <f>'Technical Skills Weighting'!S24+"`FU!$WE"</f>
        <v>#VALUE!</v>
      </c>
      <c r="CO62" t="e">
        <f>'Technical Skills Weighting'!T24+"`FU!$WF"</f>
        <v>#VALUE!</v>
      </c>
      <c r="CP62" t="e">
        <f>'Technical Skills Weighting'!U24+"`FU!$WG"</f>
        <v>#VALUE!</v>
      </c>
      <c r="CQ62" t="e">
        <f>'Technical Skills Weighting'!V24+"`FU!$WH"</f>
        <v>#VALUE!</v>
      </c>
      <c r="CR62" t="e">
        <f>'Technical Skills Weighting'!W24+"`FU!$WI"</f>
        <v>#VALUE!</v>
      </c>
      <c r="CS62" t="e">
        <f>'Technical Skills Weighting'!X24+"`FU!$WJ"</f>
        <v>#VALUE!</v>
      </c>
      <c r="CT62" t="e">
        <f>'Technical Skills Weighting'!Y24+"`FU!$WK"</f>
        <v>#VALUE!</v>
      </c>
      <c r="CU62" t="e">
        <f>'Technical Skills Weighting'!Z24+"`FU!$WL"</f>
        <v>#VALUE!</v>
      </c>
      <c r="CV62" t="e">
        <f>'Technical Skills Weighting'!AA24+"`FU!$WM"</f>
        <v>#VALUE!</v>
      </c>
      <c r="CW62" t="e">
        <f>'Technical Skills Weighting'!AB24+"`FU!$WN"</f>
        <v>#VALUE!</v>
      </c>
      <c r="CX62" t="e">
        <f>'Technical Skills Weighting'!AC24+"`FU!$WO"</f>
        <v>#VALUE!</v>
      </c>
      <c r="CY62" t="e">
        <f>'Technical Skills Weighting'!AD24+"`FU!$WP"</f>
        <v>#VALUE!</v>
      </c>
      <c r="CZ62" t="e">
        <f>'Technical Skills Weighting'!AE24+"`FU!$WQ"</f>
        <v>#VALUE!</v>
      </c>
      <c r="DA62" t="e">
        <f>'Technical Skills Weighting'!AF24+"`FU!$WR"</f>
        <v>#VALUE!</v>
      </c>
      <c r="DB62" t="e">
        <f>'Technical Skills Weighting'!AG24+"`FU!$WS"</f>
        <v>#VALUE!</v>
      </c>
      <c r="DC62" t="e">
        <f>'Technical Skills Weighting'!AH24+"`FU!$WT"</f>
        <v>#VALUE!</v>
      </c>
      <c r="DD62" t="e">
        <f>'Technical Skills Weighting'!AI24+"`FU!$WU"</f>
        <v>#VALUE!</v>
      </c>
      <c r="DE62" t="e">
        <f>'Technical Skills Weighting'!AJ24+"`FU!$WV"</f>
        <v>#VALUE!</v>
      </c>
      <c r="DF62" t="e">
        <f>'Technical Skills Weighting'!AK24+"`FU!$WW"</f>
        <v>#VALUE!</v>
      </c>
      <c r="DG62" t="e">
        <f>'Technical Skills Weighting'!AL24+"`FU!$WX"</f>
        <v>#VALUE!</v>
      </c>
      <c r="DH62" t="e">
        <f>'Technical Skills Weighting'!AM24+"`FU!$WY"</f>
        <v>#VALUE!</v>
      </c>
      <c r="DI62" t="e">
        <f>'Technical Skills Weighting'!AN24+"`FU!$WZ"</f>
        <v>#VALUE!</v>
      </c>
      <c r="DJ62" t="e">
        <f>'Technical Skills Weighting'!AO24+"`FU!$W["</f>
        <v>#VALUE!</v>
      </c>
      <c r="DK62" t="e">
        <f>'Technical Skills Weighting'!AP24+"`FU!$W\"</f>
        <v>#VALUE!</v>
      </c>
      <c r="DL62" t="e">
        <f>'Technical Skills Weighting'!AQ24+"`FU!$W]"</f>
        <v>#VALUE!</v>
      </c>
      <c r="DM62" t="e">
        <f>'Technical Skills Weighting'!AR24+"`FU!$W^"</f>
        <v>#VALUE!</v>
      </c>
      <c r="DN62" t="e">
        <f>'Technical Skills Weighting'!AS24+"`FU!$W_"</f>
        <v>#VALUE!</v>
      </c>
      <c r="DO62" t="e">
        <f>'Technical Skills Weighting'!AT24+"`FU!$W`"</f>
        <v>#VALUE!</v>
      </c>
      <c r="DP62" t="e">
        <f>'Technical Skills Weighting'!AU24+"`FU!$Wa"</f>
        <v>#VALUE!</v>
      </c>
      <c r="DQ62" t="e">
        <f>'Technical Skills Weighting'!AV24+"`FU!$Wb"</f>
        <v>#VALUE!</v>
      </c>
      <c r="DR62" t="e">
        <f>'Technical Skills Weighting'!AW24+"`FU!$Wc"</f>
        <v>#VALUE!</v>
      </c>
      <c r="DS62" t="e">
        <f>'Technical Skills Weighting'!AX24+"`FU!$Wd"</f>
        <v>#VALUE!</v>
      </c>
      <c r="DT62" t="e">
        <f>'Technical Skills Weighting'!AY24+"`FU!$We"</f>
        <v>#VALUE!</v>
      </c>
      <c r="DU62" t="e">
        <f>'Technical Skills Weighting'!AZ24+"`FU!$Wf"</f>
        <v>#VALUE!</v>
      </c>
      <c r="DV62" t="e">
        <f>'Technical Skills Weighting'!BA24+"`FU!$Wg"</f>
        <v>#VALUE!</v>
      </c>
      <c r="DW62" t="e">
        <f>'Technical Skills Weighting'!BB24+"`FU!$Wh"</f>
        <v>#VALUE!</v>
      </c>
      <c r="DX62" t="e">
        <f>'Technical Skills Weighting'!BC24+"`FU!$Wi"</f>
        <v>#VALUE!</v>
      </c>
      <c r="DY62" t="e">
        <f>'Technical Skills Weighting'!BD24+"`FU!$Wj"</f>
        <v>#VALUE!</v>
      </c>
      <c r="DZ62" t="e">
        <f>'Technical Skills Weighting'!BE24+"`FU!$Wk"</f>
        <v>#VALUE!</v>
      </c>
      <c r="EA62" t="e">
        <f>'Technical Skills Weighting'!BF24+"`FU!$Wl"</f>
        <v>#VALUE!</v>
      </c>
      <c r="EB62" t="e">
        <f>'Technical Skills Weighting'!BG24+"`FU!$Wm"</f>
        <v>#VALUE!</v>
      </c>
      <c r="EC62" t="e">
        <f>'Technical Skills Weighting'!BH24+"`FU!$Wn"</f>
        <v>#VALUE!</v>
      </c>
      <c r="ED62" t="e">
        <f>'Technical Skills Weighting'!BI24+"`FU!$Wo"</f>
        <v>#VALUE!</v>
      </c>
      <c r="EE62" t="e">
        <f>'Technical Skills Weighting'!BJ24+"`FU!$Wp"</f>
        <v>#VALUE!</v>
      </c>
      <c r="EF62" t="e">
        <f>'Technical Skills Weighting'!BK24+"`FU!$Wq"</f>
        <v>#VALUE!</v>
      </c>
      <c r="EG62" t="e">
        <f>'Technical Skills Weighting'!BL24+"`FU!$Wr"</f>
        <v>#VALUE!</v>
      </c>
      <c r="EH62" t="e">
        <f>'Technical Skills Weighting'!BM24+"`FU!$Ws"</f>
        <v>#VALUE!</v>
      </c>
      <c r="EI62" t="e">
        <f>'Technical Skills Weighting'!BN24+"`FU!$Wt"</f>
        <v>#VALUE!</v>
      </c>
      <c r="EJ62" t="e">
        <f>'Technical Skills Weighting'!BO24+"`FU!$Wu"</f>
        <v>#VALUE!</v>
      </c>
      <c r="EK62" t="e">
        <f>'Technical Skills Weighting'!BP24+"`FU!$Wv"</f>
        <v>#VALUE!</v>
      </c>
      <c r="EL62" t="e">
        <f>'Technical Skills Weighting'!BQ24+"`FU!$Ww"</f>
        <v>#VALUE!</v>
      </c>
      <c r="EM62" t="e">
        <f>'Technical Skills Weighting'!BR24+"`FU!$Wx"</f>
        <v>#VALUE!</v>
      </c>
      <c r="EN62" t="e">
        <f>'Technical Skills Weighting'!BS24+"`FU!$Wy"</f>
        <v>#VALUE!</v>
      </c>
      <c r="EO62" t="e">
        <f>'Technical Skills Weighting'!BT24+"`FU!$Wz"</f>
        <v>#VALUE!</v>
      </c>
      <c r="EP62" t="e">
        <f>'Technical Skills Weighting'!BU24+"`FU!$W{"</f>
        <v>#VALUE!</v>
      </c>
      <c r="EQ62" t="e">
        <f>'Technical Skills Weighting'!BV24+"`FU!$W|"</f>
        <v>#VALUE!</v>
      </c>
      <c r="ER62" t="e">
        <f>'Technical Skills Weighting'!BW24+"`FU!$W}"</f>
        <v>#VALUE!</v>
      </c>
      <c r="ES62" t="e">
        <f>'Technical Skills Weighting'!BX24+"`FU!$W~"</f>
        <v>#VALUE!</v>
      </c>
      <c r="ET62" t="e">
        <f>'Technical Skills Weighting'!BY24+"`FU!$X#"</f>
        <v>#VALUE!</v>
      </c>
      <c r="EU62" t="e">
        <f>'Technical Skills Weighting'!BZ24+"`FU!$X$"</f>
        <v>#VALUE!</v>
      </c>
      <c r="EV62" t="e">
        <f>'Technical Skills Weighting'!CA24+"`FU!$X%"</f>
        <v>#VALUE!</v>
      </c>
      <c r="EW62" t="e">
        <f>'Technical Skills Weighting'!CB24+"`FU!$X&amp;"</f>
        <v>#VALUE!</v>
      </c>
      <c r="EX62" t="e">
        <f>'Technical Skills Weighting'!CC24+"`FU!$X'"</f>
        <v>#VALUE!</v>
      </c>
      <c r="EY62" t="e">
        <f>'Technical Skills Weighting'!CD24+"`FU!$X("</f>
        <v>#VALUE!</v>
      </c>
      <c r="EZ62" t="e">
        <f>'Technical Skills Weighting'!CE24+"`FU!$X)"</f>
        <v>#VALUE!</v>
      </c>
      <c r="FA62" t="e">
        <f>'Technical Skills Weighting'!CF24+"`FU!$X."</f>
        <v>#VALUE!</v>
      </c>
      <c r="FB62" t="e">
        <f>'Technical Skills Weighting'!CG24+"`FU!$X/"</f>
        <v>#VALUE!</v>
      </c>
      <c r="FC62" t="e">
        <f>'Technical Skills Weighting'!CH24+"`FU!$X0"</f>
        <v>#VALUE!</v>
      </c>
      <c r="FD62" t="e">
        <f>'Technical Skills Weighting'!CI24+"`FU!$X1"</f>
        <v>#VALUE!</v>
      </c>
      <c r="FE62" t="e">
        <f>'Technical Skills Weighting'!CJ24+"`FU!$X2"</f>
        <v>#VALUE!</v>
      </c>
      <c r="FF62" t="e">
        <f>'Technical Skills Weighting'!CK24+"`FU!$X3"</f>
        <v>#VALUE!</v>
      </c>
      <c r="FG62" t="e">
        <f>'Technical Skills Weighting'!CL24+"`FU!$X4"</f>
        <v>#VALUE!</v>
      </c>
      <c r="FH62" t="e">
        <f>'Technical Skills Weighting'!CM24+"`FU!$X5"</f>
        <v>#VALUE!</v>
      </c>
      <c r="FI62" t="e">
        <f>'Technical Skills Weighting'!CN24+"`FU!$X6"</f>
        <v>#VALUE!</v>
      </c>
      <c r="FJ62" t="e">
        <f>'Technical Skills Weighting'!CO24+"`FU!$X7"</f>
        <v>#VALUE!</v>
      </c>
      <c r="FK62" t="e">
        <f>'Technical Skills Weighting'!CP24+"`FU!$X8"</f>
        <v>#VALUE!</v>
      </c>
      <c r="FL62" t="e">
        <f>'Technical Skills Weighting'!CQ24+"`FU!$X9"</f>
        <v>#VALUE!</v>
      </c>
      <c r="FM62" t="e">
        <f>'Technical Skills Weighting'!CR24+"`FU!$X:"</f>
        <v>#VALUE!</v>
      </c>
      <c r="FN62" t="e">
        <f>'Technical Skills Weighting'!CS24+"`FU!$X;"</f>
        <v>#VALUE!</v>
      </c>
      <c r="FO62" t="e">
        <f>'Technical Skills Weighting'!CT24+"`FU!$X&lt;"</f>
        <v>#VALUE!</v>
      </c>
      <c r="FP62" t="e">
        <f>'Technical Skills Weighting'!CU24+"`FU!$X="</f>
        <v>#VALUE!</v>
      </c>
      <c r="FQ62" t="e">
        <f>'Technical Skills Weighting'!CV24+"`FU!$X&gt;"</f>
        <v>#VALUE!</v>
      </c>
      <c r="FR62" t="e">
        <f>'Technical Skills Weighting'!CW24+"`FU!$X?"</f>
        <v>#VALUE!</v>
      </c>
      <c r="FS62" t="e">
        <f>'Technical Skills Weighting'!CX24+"`FU!$X@"</f>
        <v>#VALUE!</v>
      </c>
      <c r="FT62" t="e">
        <f>'Technical Skills Weighting'!CY24+"`FU!$XA"</f>
        <v>#VALUE!</v>
      </c>
      <c r="FU62" t="e">
        <f>'Technical Skills Weighting'!CZ24+"`FU!$XB"</f>
        <v>#VALUE!</v>
      </c>
      <c r="FV62" t="e">
        <f>'Technical Skills Weighting'!DA24+"`FU!$XC"</f>
        <v>#VALUE!</v>
      </c>
      <c r="FW62" t="e">
        <f>'Technical Skills Weighting'!DB24+"`FU!$XD"</f>
        <v>#VALUE!</v>
      </c>
      <c r="FX62" t="e">
        <f>'Technical Skills Weighting'!DC24+"`FU!$XE"</f>
        <v>#VALUE!</v>
      </c>
      <c r="FY62" t="e">
        <f>'Technical Skills Weighting'!DD24+"`FU!$XF"</f>
        <v>#VALUE!</v>
      </c>
      <c r="FZ62" t="e">
        <f>'Technical Skills Weighting'!DE24+"`FU!$XG"</f>
        <v>#VALUE!</v>
      </c>
      <c r="GA62" t="e">
        <f>'Technical Skills Weighting'!DF24+"`FU!$XH"</f>
        <v>#VALUE!</v>
      </c>
      <c r="GB62" t="e">
        <f>'Technical Skills Weighting'!DG24+"`FU!$XI"</f>
        <v>#VALUE!</v>
      </c>
      <c r="GC62" t="e">
        <f>'Technical Skills Weighting'!DH24+"`FU!$XJ"</f>
        <v>#VALUE!</v>
      </c>
      <c r="GD62" t="e">
        <f>'Technical Skills Weighting'!DI24+"`FU!$XK"</f>
        <v>#VALUE!</v>
      </c>
      <c r="GE62" t="e">
        <f>'Technical Skills Weighting'!DJ24+"`FU!$XL"</f>
        <v>#VALUE!</v>
      </c>
      <c r="GF62" t="e">
        <f>'Technical Skills Weighting'!DK24+"`FU!$XM"</f>
        <v>#VALUE!</v>
      </c>
      <c r="GG62" t="e">
        <f>'Technical Skills Weighting'!DL24+"`FU!$XN"</f>
        <v>#VALUE!</v>
      </c>
      <c r="GH62" t="e">
        <f>'Technical Skills Weighting'!DM24+"`FU!$XO"</f>
        <v>#VALUE!</v>
      </c>
      <c r="GI62" t="e">
        <f>'Technical Skills Weighting'!DN24+"`FU!$XP"</f>
        <v>#VALUE!</v>
      </c>
      <c r="GJ62" t="e">
        <f>'Technical Skills Weighting'!DO24+"`FU!$XQ"</f>
        <v>#VALUE!</v>
      </c>
      <c r="GK62" t="e">
        <f>'Technical Skills Weighting'!DP24+"`FU!$XR"</f>
        <v>#VALUE!</v>
      </c>
      <c r="GL62" t="e">
        <f>'Technical Skills Weighting'!DQ24+"`FU!$XS"</f>
        <v>#VALUE!</v>
      </c>
      <c r="GM62" t="e">
        <f>'Technical Skills Weighting'!DR24+"`FU!$XT"</f>
        <v>#VALUE!</v>
      </c>
      <c r="GN62" t="e">
        <f>'Technical Skills Weighting'!DS24+"`FU!$XU"</f>
        <v>#VALUE!</v>
      </c>
      <c r="GO62" t="e">
        <f>'Technical Skills Weighting'!DT24+"`FU!$XV"</f>
        <v>#VALUE!</v>
      </c>
      <c r="GP62" t="e">
        <f>'Technical Skills Weighting'!DU24+"`FU!$XW"</f>
        <v>#VALUE!</v>
      </c>
      <c r="GQ62" t="e">
        <f>'Technical Skills Weighting'!DV24+"`FU!$XX"</f>
        <v>#VALUE!</v>
      </c>
      <c r="GR62" t="e">
        <f>'Technical Skills Weighting'!DW24+"`FU!$XY"</f>
        <v>#VALUE!</v>
      </c>
      <c r="GS62" t="e">
        <f>'Technical Skills Weighting'!DX24+"`FU!$XZ"</f>
        <v>#VALUE!</v>
      </c>
      <c r="GT62" t="e">
        <f>'Technical Skills Weighting'!DY24+"`FU!$X["</f>
        <v>#VALUE!</v>
      </c>
      <c r="GU62" t="e">
        <f>'Technical Skills Weighting'!DZ24+"`FU!$X\"</f>
        <v>#VALUE!</v>
      </c>
      <c r="GV62" t="e">
        <f>'Technical Skills Weighting'!EA24+"`FU!$X]"</f>
        <v>#VALUE!</v>
      </c>
      <c r="GW62" t="e">
        <f>'Technical Skills Weighting'!EB24+"`FU!$X^"</f>
        <v>#VALUE!</v>
      </c>
      <c r="GX62" t="e">
        <f>'Technical Skills Weighting'!EC24+"`FU!$X_"</f>
        <v>#VALUE!</v>
      </c>
      <c r="GY62" t="e">
        <f>'Technical Skills Weighting'!ED24+"`FU!$X`"</f>
        <v>#VALUE!</v>
      </c>
      <c r="GZ62" t="e">
        <f>'Technical Skills Weighting'!EE24+"`FU!$Xa"</f>
        <v>#VALUE!</v>
      </c>
      <c r="HA62" t="e">
        <f>'Technical Skills Weighting'!EF24+"`FU!$Xb"</f>
        <v>#VALUE!</v>
      </c>
      <c r="HB62" t="e">
        <f>'Technical Skills Weighting'!EG24+"`FU!$Xc"</f>
        <v>#VALUE!</v>
      </c>
      <c r="HC62" t="e">
        <f>'Technical Skills Weighting'!EH24+"`FU!$Xd"</f>
        <v>#VALUE!</v>
      </c>
      <c r="HD62" t="e">
        <f>'Technical Skills Weighting'!EI24+"`FU!$Xe"</f>
        <v>#VALUE!</v>
      </c>
      <c r="HE62" t="e">
        <f>'Technical Skills Weighting'!EJ24+"`FU!$Xf"</f>
        <v>#VALUE!</v>
      </c>
      <c r="HF62" t="e">
        <f>'Technical Skills Weighting'!EK24+"`FU!$Xg"</f>
        <v>#VALUE!</v>
      </c>
      <c r="HG62" t="e">
        <f>'Technical Skills Weighting'!EL24+"`FU!$Xh"</f>
        <v>#VALUE!</v>
      </c>
      <c r="HH62" t="e">
        <f>'Technical Skills Weighting'!EM24+"`FU!$Xi"</f>
        <v>#VALUE!</v>
      </c>
      <c r="HI62" t="e">
        <f>'Technical Skills Weighting'!EN24+"`FU!$Xj"</f>
        <v>#VALUE!</v>
      </c>
      <c r="HJ62" t="e">
        <f>'Technical Skills Weighting'!EO24+"`FU!$Xk"</f>
        <v>#VALUE!</v>
      </c>
      <c r="HK62" t="e">
        <f>'Technical Skills Weighting'!EP24+"`FU!$Xl"</f>
        <v>#VALUE!</v>
      </c>
      <c r="HL62" t="e">
        <f>'Technical Skills Weighting'!EQ24+"`FU!$Xm"</f>
        <v>#VALUE!</v>
      </c>
      <c r="HM62" t="e">
        <f>'Technical Skills Weighting'!ER24+"`FU!$Xn"</f>
        <v>#VALUE!</v>
      </c>
      <c r="HN62" t="e">
        <f>'Technical Skills Weighting'!ES24+"`FU!$Xo"</f>
        <v>#VALUE!</v>
      </c>
      <c r="HO62" t="e">
        <f>'Technical Skills Weighting'!ET24+"`FU!$Xp"</f>
        <v>#VALUE!</v>
      </c>
      <c r="HP62" t="e">
        <f>'Technical Skills Weighting'!EU24+"`FU!$Xq"</f>
        <v>#VALUE!</v>
      </c>
      <c r="HQ62" t="e">
        <f>'Technical Skills Weighting'!EV24+"`FU!$Xr"</f>
        <v>#VALUE!</v>
      </c>
      <c r="HR62" t="e">
        <f>'Technical Skills Weighting'!EW24+"`FU!$Xs"</f>
        <v>#VALUE!</v>
      </c>
      <c r="HS62" t="e">
        <f>'Technical Skills Weighting'!EX24+"`FU!$Xt"</f>
        <v>#VALUE!</v>
      </c>
      <c r="HT62" t="e">
        <f>'Technical Skills Weighting'!EY24+"`FU!$Xu"</f>
        <v>#VALUE!</v>
      </c>
      <c r="HU62" t="e">
        <f>'Technical Skills Weighting'!EZ24+"`FU!$Xv"</f>
        <v>#VALUE!</v>
      </c>
      <c r="HV62" t="e">
        <f>'Technical Skills Weighting'!FA24+"`FU!$Xw"</f>
        <v>#VALUE!</v>
      </c>
      <c r="HW62" t="e">
        <f>'Technical Skills Weighting'!FB24+"`FU!$Xx"</f>
        <v>#VALUE!</v>
      </c>
      <c r="HX62" t="e">
        <f>'Technical Skills Weighting'!FC24+"`FU!$Xy"</f>
        <v>#VALUE!</v>
      </c>
      <c r="HY62" t="e">
        <f>'Technical Skills Weighting'!FD24+"`FU!$Xz"</f>
        <v>#VALUE!</v>
      </c>
      <c r="HZ62" t="e">
        <f>'Technical Skills Weighting'!FE24+"`FU!$X{"</f>
        <v>#VALUE!</v>
      </c>
      <c r="IA62" t="e">
        <f>'Technical Skills Weighting'!FF24+"`FU!$X|"</f>
        <v>#VALUE!</v>
      </c>
      <c r="IB62" t="e">
        <f>'Technical Skills Weighting'!FG24+"`FU!$X}"</f>
        <v>#VALUE!</v>
      </c>
      <c r="IC62" t="e">
        <f>'Technical Skills Weighting'!FH24+"`FU!$X~"</f>
        <v>#VALUE!</v>
      </c>
      <c r="ID62" t="e">
        <f>'Technical Skills Weighting'!FI24+"`FU!$Y#"</f>
        <v>#VALUE!</v>
      </c>
      <c r="IE62" t="e">
        <f>'Technical Skills Weighting'!FJ24+"`FU!$Y$"</f>
        <v>#VALUE!</v>
      </c>
      <c r="IF62" t="e">
        <f>'Technical Skills Weighting'!FK24+"`FU!$Y%"</f>
        <v>#VALUE!</v>
      </c>
      <c r="IG62" t="e">
        <f>'Technical Skills Weighting'!FL24+"`FU!$Y&amp;"</f>
        <v>#VALUE!</v>
      </c>
      <c r="IH62" t="e">
        <f>'Technical Skills Weighting'!FM24+"`FU!$Y'"</f>
        <v>#VALUE!</v>
      </c>
      <c r="II62" t="e">
        <f>'Technical Skills Weighting'!FN24+"`FU!$Y("</f>
        <v>#VALUE!</v>
      </c>
      <c r="IJ62" t="e">
        <f>'Technical Skills Weighting'!FO24+"`FU!$Y)"</f>
        <v>#VALUE!</v>
      </c>
      <c r="IK62" t="e">
        <f>'Technical Skills Weighting'!FP24+"`FU!$Y."</f>
        <v>#VALUE!</v>
      </c>
      <c r="IL62" t="e">
        <f>'Technical Skills Weighting'!FQ24+"`FU!$Y/"</f>
        <v>#VALUE!</v>
      </c>
      <c r="IM62" t="e">
        <f>'Technical Skills Weighting'!FR24+"`FU!$Y0"</f>
        <v>#VALUE!</v>
      </c>
      <c r="IN62" t="e">
        <f>'Technical Skills Weighting'!FS24+"`FU!$Y1"</f>
        <v>#VALUE!</v>
      </c>
      <c r="IO62" t="e">
        <f>'Technical Skills Weighting'!FT24+"`FU!$Y2"</f>
        <v>#VALUE!</v>
      </c>
      <c r="IP62" t="e">
        <f>'Technical Skills Weighting'!FU24+"`FU!$Y3"</f>
        <v>#VALUE!</v>
      </c>
      <c r="IQ62" t="e">
        <f>'Technical Skills Weighting'!FV24+"`FU!$Y4"</f>
        <v>#VALUE!</v>
      </c>
      <c r="IR62" t="e">
        <f>'Technical Skills Weighting'!FW24+"`FU!$Y5"</f>
        <v>#VALUE!</v>
      </c>
      <c r="IS62" t="e">
        <f>'Technical Skills Weighting'!FX24+"`FU!$Y6"</f>
        <v>#VALUE!</v>
      </c>
      <c r="IT62" t="e">
        <f>'Technical Skills Weighting'!FY24+"`FU!$Y7"</f>
        <v>#VALUE!</v>
      </c>
      <c r="IU62" t="e">
        <f>'Technical Skills Weighting'!FZ24+"`FU!$Y8"</f>
        <v>#VALUE!</v>
      </c>
      <c r="IV62" t="e">
        <f>'Technical Skills Weighting'!GA24+"`FU!$Y9"</f>
        <v>#VALUE!</v>
      </c>
    </row>
    <row r="63" spans="6:256" x14ac:dyDescent="0.25">
      <c r="F63" t="e">
        <f>'Technical Skills Weighting'!GB24+"`FU!$Y:"</f>
        <v>#VALUE!</v>
      </c>
      <c r="G63" t="e">
        <f>'Technical Skills Weighting'!GC24+"`FU!$Y;"</f>
        <v>#VALUE!</v>
      </c>
      <c r="H63" t="e">
        <f>'Technical Skills Weighting'!GD24+"`FU!$Y&lt;"</f>
        <v>#VALUE!</v>
      </c>
      <c r="I63" t="e">
        <f>'Technical Skills Weighting'!GE24+"`FU!$Y="</f>
        <v>#VALUE!</v>
      </c>
      <c r="J63" t="e">
        <f>'Technical Skills Weighting'!GF24+"`FU!$Y&gt;"</f>
        <v>#VALUE!</v>
      </c>
      <c r="K63" t="e">
        <f>'Technical Skills Weighting'!GG24+"`FU!$Y?"</f>
        <v>#VALUE!</v>
      </c>
      <c r="L63" t="e">
        <f>'Technical Skills Weighting'!D25+"`FU!$Y@"</f>
        <v>#VALUE!</v>
      </c>
      <c r="M63" t="e">
        <f>'Technical Skills Weighting'!F25+"`FU!$YA"</f>
        <v>#VALUE!</v>
      </c>
      <c r="N63" t="e">
        <f>'Technical Skills Weighting'!#REF!+"`FU!$YB"</f>
        <v>#REF!</v>
      </c>
      <c r="O63" t="e">
        <f>'Technical Skills Weighting'!G25+"`FU!$YC"</f>
        <v>#VALUE!</v>
      </c>
      <c r="P63" t="e">
        <f>'Technical Skills Weighting'!A26+"`FU!$YD"</f>
        <v>#VALUE!</v>
      </c>
      <c r="Q63" t="e">
        <f>'Technical Skills Weighting'!D26+"`FU!$YE"</f>
        <v>#VALUE!</v>
      </c>
      <c r="R63" t="e">
        <f>'Technical Skills Weighting'!E26+"`FU!$YF"</f>
        <v>#VALUE!</v>
      </c>
      <c r="S63" t="e">
        <f>'Technical Skills Weighting'!F26+"`FU!$YG"</f>
        <v>#VALUE!</v>
      </c>
      <c r="T63" t="e">
        <f>'Technical Skills Weighting'!G26+"`FU!$YH"</f>
        <v>#VALUE!</v>
      </c>
      <c r="U63" t="e">
        <f>'Technical Skills Weighting'!H26+"`FU!$YI"</f>
        <v>#VALUE!</v>
      </c>
      <c r="V63" t="e">
        <f>'Technical Skills Weighting'!I26+"`FU!$YJ"</f>
        <v>#VALUE!</v>
      </c>
      <c r="W63" t="e">
        <f>'Technical Skills Weighting'!J26+"`FU!$YK"</f>
        <v>#VALUE!</v>
      </c>
      <c r="X63" t="e">
        <f>'Technical Skills Weighting'!K26+"`FU!$YL"</f>
        <v>#VALUE!</v>
      </c>
      <c r="Y63" t="e">
        <f>'Technical Skills Weighting'!L26+"`FU!$YM"</f>
        <v>#VALUE!</v>
      </c>
      <c r="Z63" t="e">
        <f>'Technical Skills Weighting'!M26+"`FU!$YN"</f>
        <v>#VALUE!</v>
      </c>
      <c r="AA63" t="e">
        <f>'Technical Skills Weighting'!N26+"`FU!$YO"</f>
        <v>#VALUE!</v>
      </c>
      <c r="AB63" t="e">
        <f>'Technical Skills Weighting'!O26+"`FU!$YP"</f>
        <v>#VALUE!</v>
      </c>
      <c r="AC63" t="e">
        <f>'Technical Skills Weighting'!P26+"`FU!$YQ"</f>
        <v>#VALUE!</v>
      </c>
      <c r="AD63" t="e">
        <f>'Technical Skills Weighting'!Q26+"`FU!$YR"</f>
        <v>#VALUE!</v>
      </c>
      <c r="AE63" t="e">
        <f>'Technical Skills Weighting'!R26+"`FU!$YS"</f>
        <v>#VALUE!</v>
      </c>
      <c r="AF63" t="e">
        <f>'Technical Skills Weighting'!S26+"`FU!$YT"</f>
        <v>#VALUE!</v>
      </c>
      <c r="AG63" t="e">
        <f>'Technical Skills Weighting'!T26+"`FU!$YU"</f>
        <v>#VALUE!</v>
      </c>
      <c r="AH63" t="e">
        <f>'Technical Skills Weighting'!U26+"`FU!$YV"</f>
        <v>#VALUE!</v>
      </c>
      <c r="AI63" t="e">
        <f>'Technical Skills Weighting'!V26+"`FU!$YW"</f>
        <v>#VALUE!</v>
      </c>
      <c r="AJ63" t="e">
        <f>'Technical Skills Weighting'!W26+"`FU!$YX"</f>
        <v>#VALUE!</v>
      </c>
      <c r="AK63" t="e">
        <f>'Technical Skills Weighting'!X26+"`FU!$YY"</f>
        <v>#VALUE!</v>
      </c>
      <c r="AL63" t="e">
        <f>'Technical Skills Weighting'!Y26+"`FU!$YZ"</f>
        <v>#VALUE!</v>
      </c>
      <c r="AM63" t="e">
        <f>'Technical Skills Weighting'!Z26+"`FU!$Y["</f>
        <v>#VALUE!</v>
      </c>
      <c r="AN63" t="e">
        <f>'Technical Skills Weighting'!AA26+"`FU!$Y\"</f>
        <v>#VALUE!</v>
      </c>
      <c r="AO63" t="e">
        <f>'Technical Skills Weighting'!AB26+"`FU!$Y]"</f>
        <v>#VALUE!</v>
      </c>
      <c r="AP63" t="e">
        <f>'Technical Skills Weighting'!AC26+"`FU!$Y^"</f>
        <v>#VALUE!</v>
      </c>
      <c r="AQ63" t="e">
        <f>'Technical Skills Weighting'!AD26+"`FU!$Y_"</f>
        <v>#VALUE!</v>
      </c>
      <c r="AR63" t="e">
        <f>'Technical Skills Weighting'!AE26+"`FU!$Y`"</f>
        <v>#VALUE!</v>
      </c>
      <c r="AS63" t="e">
        <f>'Technical Skills Weighting'!AF26+"`FU!$Ya"</f>
        <v>#VALUE!</v>
      </c>
      <c r="AT63" t="e">
        <f>'Technical Skills Weighting'!AG26+"`FU!$Yb"</f>
        <v>#VALUE!</v>
      </c>
      <c r="AU63" t="e">
        <f>'Technical Skills Weighting'!AH26+"`FU!$Yc"</f>
        <v>#VALUE!</v>
      </c>
      <c r="AV63" t="e">
        <f>'Technical Skills Weighting'!AI26+"`FU!$Yd"</f>
        <v>#VALUE!</v>
      </c>
      <c r="AW63" t="e">
        <f>'Technical Skills Weighting'!AJ26+"`FU!$Ye"</f>
        <v>#VALUE!</v>
      </c>
      <c r="AX63" t="e">
        <f>'Technical Skills Weighting'!AK26+"`FU!$Yf"</f>
        <v>#VALUE!</v>
      </c>
      <c r="AY63" t="e">
        <f>'Technical Skills Weighting'!AL26+"`FU!$Yg"</f>
        <v>#VALUE!</v>
      </c>
      <c r="AZ63" t="e">
        <f>'Technical Skills Weighting'!AM26+"`FU!$Yh"</f>
        <v>#VALUE!</v>
      </c>
      <c r="BA63" t="e">
        <f>'Technical Skills Weighting'!AN26+"`FU!$Yi"</f>
        <v>#VALUE!</v>
      </c>
      <c r="BB63" t="e">
        <f>'Technical Skills Weighting'!AO26+"`FU!$Yj"</f>
        <v>#VALUE!</v>
      </c>
      <c r="BC63" t="e">
        <f>'Technical Skills Weighting'!AP26+"`FU!$Yk"</f>
        <v>#VALUE!</v>
      </c>
      <c r="BD63" t="e">
        <f>'Technical Skills Weighting'!AQ26+"`FU!$Yl"</f>
        <v>#VALUE!</v>
      </c>
      <c r="BE63" t="e">
        <f>'Technical Skills Weighting'!AR26+"`FU!$Ym"</f>
        <v>#VALUE!</v>
      </c>
      <c r="BF63" t="e">
        <f>'Technical Skills Weighting'!AS26+"`FU!$Yn"</f>
        <v>#VALUE!</v>
      </c>
      <c r="BG63" t="e">
        <f>'Technical Skills Weighting'!AT26+"`FU!$Yo"</f>
        <v>#VALUE!</v>
      </c>
      <c r="BH63" t="e">
        <f>'Technical Skills Weighting'!AU26+"`FU!$Yp"</f>
        <v>#VALUE!</v>
      </c>
      <c r="BI63" t="e">
        <f>'Technical Skills Weighting'!AV26+"`FU!$Yq"</f>
        <v>#VALUE!</v>
      </c>
      <c r="BJ63" t="e">
        <f>'Technical Skills Weighting'!AW26+"`FU!$Yr"</f>
        <v>#VALUE!</v>
      </c>
      <c r="BK63" t="e">
        <f>'Technical Skills Weighting'!AX26+"`FU!$Ys"</f>
        <v>#VALUE!</v>
      </c>
      <c r="BL63" t="e">
        <f>'Technical Skills Weighting'!AY26+"`FU!$Yt"</f>
        <v>#VALUE!</v>
      </c>
      <c r="BM63" t="e">
        <f>'Technical Skills Weighting'!AZ26+"`FU!$Yu"</f>
        <v>#VALUE!</v>
      </c>
      <c r="BN63" t="e">
        <f>'Technical Skills Weighting'!BA26+"`FU!$Yv"</f>
        <v>#VALUE!</v>
      </c>
      <c r="BO63" t="e">
        <f>'Technical Skills Weighting'!BB26+"`FU!$Yw"</f>
        <v>#VALUE!</v>
      </c>
      <c r="BP63" t="e">
        <f>'Technical Skills Weighting'!BC26+"`FU!$Yx"</f>
        <v>#VALUE!</v>
      </c>
      <c r="BQ63" t="e">
        <f>'Technical Skills Weighting'!BD26+"`FU!$Yy"</f>
        <v>#VALUE!</v>
      </c>
      <c r="BR63" t="e">
        <f>'Technical Skills Weighting'!BE26+"`FU!$Yz"</f>
        <v>#VALUE!</v>
      </c>
      <c r="BS63" t="e">
        <f>'Technical Skills Weighting'!BF26+"`FU!$Y{"</f>
        <v>#VALUE!</v>
      </c>
      <c r="BT63" t="e">
        <f>'Technical Skills Weighting'!BG26+"`FU!$Y|"</f>
        <v>#VALUE!</v>
      </c>
      <c r="BU63" t="e">
        <f>'Technical Skills Weighting'!BH26+"`FU!$Y}"</f>
        <v>#VALUE!</v>
      </c>
      <c r="BV63" t="e">
        <f>'Technical Skills Weighting'!BI26+"`FU!$Y~"</f>
        <v>#VALUE!</v>
      </c>
      <c r="BW63" t="e">
        <f>'Technical Skills Weighting'!BJ26+"`FU!$Z#"</f>
        <v>#VALUE!</v>
      </c>
      <c r="BX63" t="e">
        <f>'Technical Skills Weighting'!BK26+"`FU!$Z$"</f>
        <v>#VALUE!</v>
      </c>
      <c r="BY63" t="e">
        <f>'Technical Skills Weighting'!BL26+"`FU!$Z%"</f>
        <v>#VALUE!</v>
      </c>
      <c r="BZ63" t="e">
        <f>'Technical Skills Weighting'!BM26+"`FU!$Z&amp;"</f>
        <v>#VALUE!</v>
      </c>
      <c r="CA63" t="e">
        <f>'Technical Skills Weighting'!BN26+"`FU!$Z'"</f>
        <v>#VALUE!</v>
      </c>
      <c r="CB63" t="e">
        <f>'Technical Skills Weighting'!BO26+"`FU!$Z("</f>
        <v>#VALUE!</v>
      </c>
      <c r="CC63" t="e">
        <f>'Technical Skills Weighting'!BP26+"`FU!$Z)"</f>
        <v>#VALUE!</v>
      </c>
      <c r="CD63" t="e">
        <f>'Technical Skills Weighting'!BQ26+"`FU!$Z."</f>
        <v>#VALUE!</v>
      </c>
      <c r="CE63" t="e">
        <f>'Technical Skills Weighting'!BR26+"`FU!$Z/"</f>
        <v>#VALUE!</v>
      </c>
      <c r="CF63" t="e">
        <f>'Technical Skills Weighting'!BS26+"`FU!$Z0"</f>
        <v>#VALUE!</v>
      </c>
      <c r="CG63" t="e">
        <f>'Technical Skills Weighting'!BT26+"`FU!$Z1"</f>
        <v>#VALUE!</v>
      </c>
      <c r="CH63" t="e">
        <f>'Technical Skills Weighting'!BU26+"`FU!$Z2"</f>
        <v>#VALUE!</v>
      </c>
      <c r="CI63" t="e">
        <f>'Technical Skills Weighting'!BV26+"`FU!$Z3"</f>
        <v>#VALUE!</v>
      </c>
      <c r="CJ63" t="e">
        <f>'Technical Skills Weighting'!BW26+"`FU!$Z4"</f>
        <v>#VALUE!</v>
      </c>
      <c r="CK63" t="e">
        <f>'Technical Skills Weighting'!BX26+"`FU!$Z5"</f>
        <v>#VALUE!</v>
      </c>
      <c r="CL63" t="e">
        <f>'Technical Skills Weighting'!BY26+"`FU!$Z6"</f>
        <v>#VALUE!</v>
      </c>
      <c r="CM63" t="e">
        <f>'Technical Skills Weighting'!BZ26+"`FU!$Z7"</f>
        <v>#VALUE!</v>
      </c>
      <c r="CN63" t="e">
        <f>'Technical Skills Weighting'!CA26+"`FU!$Z8"</f>
        <v>#VALUE!</v>
      </c>
      <c r="CO63" t="e">
        <f>'Technical Skills Weighting'!CB26+"`FU!$Z9"</f>
        <v>#VALUE!</v>
      </c>
      <c r="CP63" t="e">
        <f>'Technical Skills Weighting'!CC26+"`FU!$Z:"</f>
        <v>#VALUE!</v>
      </c>
      <c r="CQ63" t="e">
        <f>'Technical Skills Weighting'!CD26+"`FU!$Z;"</f>
        <v>#VALUE!</v>
      </c>
      <c r="CR63" t="e">
        <f>'Technical Skills Weighting'!CE26+"`FU!$Z&lt;"</f>
        <v>#VALUE!</v>
      </c>
      <c r="CS63" t="e">
        <f>'Technical Skills Weighting'!CF26+"`FU!$Z="</f>
        <v>#VALUE!</v>
      </c>
      <c r="CT63" t="e">
        <f>'Technical Skills Weighting'!CG26+"`FU!$Z&gt;"</f>
        <v>#VALUE!</v>
      </c>
      <c r="CU63" t="e">
        <f>'Technical Skills Weighting'!CH26+"`FU!$Z?"</f>
        <v>#VALUE!</v>
      </c>
      <c r="CV63" t="e">
        <f>'Technical Skills Weighting'!CI26+"`FU!$Z@"</f>
        <v>#VALUE!</v>
      </c>
      <c r="CW63" t="e">
        <f>'Technical Skills Weighting'!CJ26+"`FU!$ZA"</f>
        <v>#VALUE!</v>
      </c>
      <c r="CX63" t="e">
        <f>'Technical Skills Weighting'!CK26+"`FU!$ZB"</f>
        <v>#VALUE!</v>
      </c>
      <c r="CY63" t="e">
        <f>'Technical Skills Weighting'!CL26+"`FU!$ZC"</f>
        <v>#VALUE!</v>
      </c>
      <c r="CZ63" t="e">
        <f>'Technical Skills Weighting'!CM26+"`FU!$ZD"</f>
        <v>#VALUE!</v>
      </c>
      <c r="DA63" t="e">
        <f>'Technical Skills Weighting'!CN26+"`FU!$ZE"</f>
        <v>#VALUE!</v>
      </c>
      <c r="DB63" t="e">
        <f>'Technical Skills Weighting'!CO26+"`FU!$ZF"</f>
        <v>#VALUE!</v>
      </c>
      <c r="DC63" t="e">
        <f>'Technical Skills Weighting'!CP26+"`FU!$ZG"</f>
        <v>#VALUE!</v>
      </c>
      <c r="DD63" t="e">
        <f>'Technical Skills Weighting'!CQ26+"`FU!$ZH"</f>
        <v>#VALUE!</v>
      </c>
      <c r="DE63" t="e">
        <f>'Technical Skills Weighting'!CR26+"`FU!$ZI"</f>
        <v>#VALUE!</v>
      </c>
      <c r="DF63" t="e">
        <f>'Technical Skills Weighting'!CS26+"`FU!$ZJ"</f>
        <v>#VALUE!</v>
      </c>
      <c r="DG63" t="e">
        <f>'Technical Skills Weighting'!CT26+"`FU!$ZK"</f>
        <v>#VALUE!</v>
      </c>
      <c r="DH63" t="e">
        <f>'Technical Skills Weighting'!CU26+"`FU!$ZL"</f>
        <v>#VALUE!</v>
      </c>
      <c r="DI63" t="e">
        <f>'Technical Skills Weighting'!CV26+"`FU!$ZM"</f>
        <v>#VALUE!</v>
      </c>
      <c r="DJ63" t="e">
        <f>'Technical Skills Weighting'!CW26+"`FU!$ZN"</f>
        <v>#VALUE!</v>
      </c>
      <c r="DK63" t="e">
        <f>'Technical Skills Weighting'!CX26+"`FU!$ZO"</f>
        <v>#VALUE!</v>
      </c>
      <c r="DL63" t="e">
        <f>'Technical Skills Weighting'!CY26+"`FU!$ZP"</f>
        <v>#VALUE!</v>
      </c>
      <c r="DM63" t="e">
        <f>'Technical Skills Weighting'!CZ26+"`FU!$ZQ"</f>
        <v>#VALUE!</v>
      </c>
      <c r="DN63" t="e">
        <f>'Technical Skills Weighting'!DA26+"`FU!$ZR"</f>
        <v>#VALUE!</v>
      </c>
      <c r="DO63" t="e">
        <f>'Technical Skills Weighting'!DB26+"`FU!$ZS"</f>
        <v>#VALUE!</v>
      </c>
      <c r="DP63" t="e">
        <f>'Technical Skills Weighting'!DC26+"`FU!$ZT"</f>
        <v>#VALUE!</v>
      </c>
      <c r="DQ63" t="e">
        <f>'Technical Skills Weighting'!DD26+"`FU!$ZU"</f>
        <v>#VALUE!</v>
      </c>
      <c r="DR63" t="e">
        <f>'Technical Skills Weighting'!DE26+"`FU!$ZV"</f>
        <v>#VALUE!</v>
      </c>
      <c r="DS63" t="e">
        <f>'Technical Skills Weighting'!DF26+"`FU!$ZW"</f>
        <v>#VALUE!</v>
      </c>
      <c r="DT63" t="e">
        <f>'Technical Skills Weighting'!DG26+"`FU!$ZX"</f>
        <v>#VALUE!</v>
      </c>
      <c r="DU63" t="e">
        <f>'Technical Skills Weighting'!DH26+"`FU!$ZY"</f>
        <v>#VALUE!</v>
      </c>
      <c r="DV63" t="e">
        <f>'Technical Skills Weighting'!DI26+"`FU!$ZZ"</f>
        <v>#VALUE!</v>
      </c>
      <c r="DW63" t="e">
        <f>'Technical Skills Weighting'!DJ26+"`FU!$Z["</f>
        <v>#VALUE!</v>
      </c>
      <c r="DX63" t="e">
        <f>'Technical Skills Weighting'!DK26+"`FU!$Z\"</f>
        <v>#VALUE!</v>
      </c>
      <c r="DY63" t="e">
        <f>'Technical Skills Weighting'!DL26+"`FU!$Z]"</f>
        <v>#VALUE!</v>
      </c>
      <c r="DZ63" t="e">
        <f>'Technical Skills Weighting'!DM26+"`FU!$Z^"</f>
        <v>#VALUE!</v>
      </c>
      <c r="EA63" t="e">
        <f>'Technical Skills Weighting'!DN26+"`FU!$Z_"</f>
        <v>#VALUE!</v>
      </c>
      <c r="EB63" t="e">
        <f>'Technical Skills Weighting'!DO26+"`FU!$Z`"</f>
        <v>#VALUE!</v>
      </c>
      <c r="EC63" t="e">
        <f>'Technical Skills Weighting'!DP26+"`FU!$Za"</f>
        <v>#VALUE!</v>
      </c>
      <c r="ED63" t="e">
        <f>'Technical Skills Weighting'!DQ26+"`FU!$Zb"</f>
        <v>#VALUE!</v>
      </c>
      <c r="EE63" t="e">
        <f>'Technical Skills Weighting'!DR26+"`FU!$Zc"</f>
        <v>#VALUE!</v>
      </c>
      <c r="EF63" t="e">
        <f>'Technical Skills Weighting'!DS26+"`FU!$Zd"</f>
        <v>#VALUE!</v>
      </c>
      <c r="EG63" t="e">
        <f>'Technical Skills Weighting'!DT26+"`FU!$Ze"</f>
        <v>#VALUE!</v>
      </c>
      <c r="EH63" t="e">
        <f>'Technical Skills Weighting'!DU26+"`FU!$Zf"</f>
        <v>#VALUE!</v>
      </c>
      <c r="EI63" t="e">
        <f>'Technical Skills Weighting'!DV26+"`FU!$Zg"</f>
        <v>#VALUE!</v>
      </c>
      <c r="EJ63" t="e">
        <f>'Technical Skills Weighting'!DW26+"`FU!$Zh"</f>
        <v>#VALUE!</v>
      </c>
      <c r="EK63" t="e">
        <f>'Technical Skills Weighting'!DX26+"`FU!$Zi"</f>
        <v>#VALUE!</v>
      </c>
      <c r="EL63" t="e">
        <f>'Technical Skills Weighting'!DY26+"`FU!$Zj"</f>
        <v>#VALUE!</v>
      </c>
      <c r="EM63" t="e">
        <f>'Technical Skills Weighting'!DZ26+"`FU!$Zk"</f>
        <v>#VALUE!</v>
      </c>
      <c r="EN63" t="e">
        <f>'Technical Skills Weighting'!EA26+"`FU!$Zl"</f>
        <v>#VALUE!</v>
      </c>
      <c r="EO63" t="e">
        <f>'Technical Skills Weighting'!EB26+"`FU!$Zm"</f>
        <v>#VALUE!</v>
      </c>
      <c r="EP63" t="e">
        <f>'Technical Skills Weighting'!EC26+"`FU!$Zn"</f>
        <v>#VALUE!</v>
      </c>
      <c r="EQ63" t="e">
        <f>'Technical Skills Weighting'!ED26+"`FU!$Zo"</f>
        <v>#VALUE!</v>
      </c>
      <c r="ER63" t="e">
        <f>'Technical Skills Weighting'!EE26+"`FU!$Zp"</f>
        <v>#VALUE!</v>
      </c>
      <c r="ES63" t="e">
        <f>'Technical Skills Weighting'!EF26+"`FU!$Zq"</f>
        <v>#VALUE!</v>
      </c>
      <c r="ET63" t="e">
        <f>'Technical Skills Weighting'!EG26+"`FU!$Zr"</f>
        <v>#VALUE!</v>
      </c>
      <c r="EU63" t="e">
        <f>'Technical Skills Weighting'!EH26+"`FU!$Zs"</f>
        <v>#VALUE!</v>
      </c>
      <c r="EV63" t="e">
        <f>'Technical Skills Weighting'!EI26+"`FU!$Zt"</f>
        <v>#VALUE!</v>
      </c>
      <c r="EW63" t="e">
        <f>'Technical Skills Weighting'!EJ26+"`FU!$Zu"</f>
        <v>#VALUE!</v>
      </c>
      <c r="EX63" t="e">
        <f>'Technical Skills Weighting'!EK26+"`FU!$Zv"</f>
        <v>#VALUE!</v>
      </c>
      <c r="EY63" t="e">
        <f>'Technical Skills Weighting'!EL26+"`FU!$Zw"</f>
        <v>#VALUE!</v>
      </c>
      <c r="EZ63" t="e">
        <f>'Technical Skills Weighting'!EM26+"`FU!$Zx"</f>
        <v>#VALUE!</v>
      </c>
      <c r="FA63" t="e">
        <f>'Technical Skills Weighting'!EN26+"`FU!$Zy"</f>
        <v>#VALUE!</v>
      </c>
      <c r="FB63" t="e">
        <f>'Technical Skills Weighting'!EO26+"`FU!$Zz"</f>
        <v>#VALUE!</v>
      </c>
      <c r="FC63" t="e">
        <f>'Technical Skills Weighting'!EP26+"`FU!$Z{"</f>
        <v>#VALUE!</v>
      </c>
      <c r="FD63" t="e">
        <f>'Technical Skills Weighting'!EQ26+"`FU!$Z|"</f>
        <v>#VALUE!</v>
      </c>
      <c r="FE63" t="e">
        <f>'Technical Skills Weighting'!ER26+"`FU!$Z}"</f>
        <v>#VALUE!</v>
      </c>
      <c r="FF63" t="e">
        <f>'Technical Skills Weighting'!ES26+"`FU!$Z~"</f>
        <v>#VALUE!</v>
      </c>
      <c r="FG63" t="e">
        <f>'Technical Skills Weighting'!ET26+"`FU!$[#"</f>
        <v>#VALUE!</v>
      </c>
      <c r="FH63" t="e">
        <f>'Technical Skills Weighting'!EU26+"`FU!$[$"</f>
        <v>#VALUE!</v>
      </c>
      <c r="FI63" t="e">
        <f>'Technical Skills Weighting'!EV26+"`FU!$[%"</f>
        <v>#VALUE!</v>
      </c>
      <c r="FJ63" t="e">
        <f>'Technical Skills Weighting'!EW26+"`FU!$[&amp;"</f>
        <v>#VALUE!</v>
      </c>
      <c r="FK63" t="e">
        <f>'Technical Skills Weighting'!EX26+"`FU!$['"</f>
        <v>#VALUE!</v>
      </c>
      <c r="FL63" t="e">
        <f>'Technical Skills Weighting'!EY26+"`FU!$[("</f>
        <v>#VALUE!</v>
      </c>
      <c r="FM63" t="e">
        <f>'Technical Skills Weighting'!EZ26+"`FU!$[)"</f>
        <v>#VALUE!</v>
      </c>
      <c r="FN63" t="e">
        <f>'Technical Skills Weighting'!FA26+"`FU!$[."</f>
        <v>#VALUE!</v>
      </c>
      <c r="FO63" t="e">
        <f>'Technical Skills Weighting'!FB26+"`FU!$[/"</f>
        <v>#VALUE!</v>
      </c>
      <c r="FP63" t="e">
        <f>'Technical Skills Weighting'!FC26+"`FU!$[0"</f>
        <v>#VALUE!</v>
      </c>
      <c r="FQ63" t="e">
        <f>'Technical Skills Weighting'!FD26+"`FU!$[1"</f>
        <v>#VALUE!</v>
      </c>
      <c r="FR63" t="e">
        <f>'Technical Skills Weighting'!FE26+"`FU!$[2"</f>
        <v>#VALUE!</v>
      </c>
      <c r="FS63" t="e">
        <f>'Technical Skills Weighting'!FF26+"`FU!$[3"</f>
        <v>#VALUE!</v>
      </c>
      <c r="FT63" t="e">
        <f>'Technical Skills Weighting'!FG26+"`FU!$[4"</f>
        <v>#VALUE!</v>
      </c>
      <c r="FU63" t="e">
        <f>'Technical Skills Weighting'!FH26+"`FU!$[5"</f>
        <v>#VALUE!</v>
      </c>
      <c r="FV63" t="e">
        <f>'Technical Skills Weighting'!FI26+"`FU!$[6"</f>
        <v>#VALUE!</v>
      </c>
      <c r="FW63" t="e">
        <f>'Technical Skills Weighting'!FJ26+"`FU!$[7"</f>
        <v>#VALUE!</v>
      </c>
      <c r="FX63" t="e">
        <f>'Technical Skills Weighting'!FK26+"`FU!$[8"</f>
        <v>#VALUE!</v>
      </c>
      <c r="FY63" t="e">
        <f>'Technical Skills Weighting'!FL26+"`FU!$[9"</f>
        <v>#VALUE!</v>
      </c>
      <c r="FZ63" t="e">
        <f>'Technical Skills Weighting'!FM26+"`FU!$[:"</f>
        <v>#VALUE!</v>
      </c>
      <c r="GA63" t="e">
        <f>'Technical Skills Weighting'!FN26+"`FU!$[;"</f>
        <v>#VALUE!</v>
      </c>
      <c r="GB63" t="e">
        <f>'Technical Skills Weighting'!FO26+"`FU!$[&lt;"</f>
        <v>#VALUE!</v>
      </c>
      <c r="GC63" t="e">
        <f>'Technical Skills Weighting'!FP26+"`FU!$[="</f>
        <v>#VALUE!</v>
      </c>
      <c r="GD63" t="e">
        <f>'Technical Skills Weighting'!FQ26+"`FU!$[&gt;"</f>
        <v>#VALUE!</v>
      </c>
      <c r="GE63" t="e">
        <f>'Technical Skills Weighting'!FR26+"`FU!$[?"</f>
        <v>#VALUE!</v>
      </c>
      <c r="GF63" t="e">
        <f>'Technical Skills Weighting'!FS26+"`FU!$[@"</f>
        <v>#VALUE!</v>
      </c>
      <c r="GG63" t="e">
        <f>'Technical Skills Weighting'!FT26+"`FU!$[A"</f>
        <v>#VALUE!</v>
      </c>
      <c r="GH63" t="e">
        <f>'Technical Skills Weighting'!FU26+"`FU!$[B"</f>
        <v>#VALUE!</v>
      </c>
      <c r="GI63" t="e">
        <f>'Technical Skills Weighting'!FV26+"`FU!$[C"</f>
        <v>#VALUE!</v>
      </c>
      <c r="GJ63" t="e">
        <f>'Technical Skills Weighting'!FW26+"`FU!$[D"</f>
        <v>#VALUE!</v>
      </c>
      <c r="GK63" t="e">
        <f>'Technical Skills Weighting'!FX26+"`FU!$[E"</f>
        <v>#VALUE!</v>
      </c>
      <c r="GL63" t="e">
        <f>'Technical Skills Weighting'!FY26+"`FU!$[F"</f>
        <v>#VALUE!</v>
      </c>
      <c r="GM63" t="e">
        <f>'Technical Skills Weighting'!FZ26+"`FU!$[G"</f>
        <v>#VALUE!</v>
      </c>
      <c r="GN63" t="e">
        <f>'Technical Skills Weighting'!GA26+"`FU!$[H"</f>
        <v>#VALUE!</v>
      </c>
      <c r="GO63" t="e">
        <f>'Technical Skills Weighting'!GB26+"`FU!$[I"</f>
        <v>#VALUE!</v>
      </c>
      <c r="GP63" t="e">
        <f>'Technical Skills Weighting'!GC26+"`FU!$[J"</f>
        <v>#VALUE!</v>
      </c>
      <c r="GQ63" t="e">
        <f>'Technical Skills Weighting'!GD26+"`FU!$[K"</f>
        <v>#VALUE!</v>
      </c>
      <c r="GR63" t="e">
        <f>'Technical Skills Weighting'!GE26+"`FU!$[L"</f>
        <v>#VALUE!</v>
      </c>
      <c r="GS63" t="e">
        <f>'Technical Skills Weighting'!GF26+"`FU!$[M"</f>
        <v>#VALUE!</v>
      </c>
      <c r="GT63" t="e">
        <f>'Technical Skills Weighting'!GG26+"`FU!$[N"</f>
        <v>#VALUE!</v>
      </c>
      <c r="GU63" t="e">
        <f>'Technical Skills Weighting'!D27+"`FU!$[O"</f>
        <v>#VALUE!</v>
      </c>
      <c r="GV63" t="e">
        <f>'Technical Skills Weighting'!F27+"`FU!$[P"</f>
        <v>#VALUE!</v>
      </c>
      <c r="GW63" t="e">
        <f>'Technical Skills Weighting'!#REF!+"`FU!$[Q"</f>
        <v>#REF!</v>
      </c>
      <c r="GX63" t="e">
        <f>'Technical Skills Weighting'!G27+"`FU!$[R"</f>
        <v>#VALUE!</v>
      </c>
      <c r="GY63" t="e">
        <f>'Technical Skills Weighting'!A28+"`FU!$[S"</f>
        <v>#VALUE!</v>
      </c>
      <c r="GZ63" t="e">
        <f>'Technical Skills Weighting'!D28+"`FU!$[T"</f>
        <v>#VALUE!</v>
      </c>
      <c r="HA63" t="e">
        <f>'Technical Skills Weighting'!E28+"`FU!$[U"</f>
        <v>#VALUE!</v>
      </c>
      <c r="HB63" t="e">
        <f>'Technical Skills Weighting'!F28+"`FU!$[V"</f>
        <v>#VALUE!</v>
      </c>
      <c r="HC63" t="e">
        <f>'Technical Skills Weighting'!G28+"`FU!$[W"</f>
        <v>#VALUE!</v>
      </c>
      <c r="HD63" t="e">
        <f>'Technical Skills Weighting'!H28+"`FU!$[X"</f>
        <v>#VALUE!</v>
      </c>
      <c r="HE63" t="e">
        <f>'Technical Skills Weighting'!I28+"`FU!$[Y"</f>
        <v>#VALUE!</v>
      </c>
      <c r="HF63" t="e">
        <f>'Technical Skills Weighting'!J28+"`FU!$[Z"</f>
        <v>#VALUE!</v>
      </c>
      <c r="HG63" t="e">
        <f>'Technical Skills Weighting'!K28+"`FU!$[["</f>
        <v>#VALUE!</v>
      </c>
      <c r="HH63" t="e">
        <f>'Technical Skills Weighting'!L28+"`FU!$[\"</f>
        <v>#VALUE!</v>
      </c>
      <c r="HI63" t="e">
        <f>'Technical Skills Weighting'!M28+"`FU!$[]"</f>
        <v>#VALUE!</v>
      </c>
      <c r="HJ63" t="e">
        <f>'Technical Skills Weighting'!N28+"`FU!$[^"</f>
        <v>#VALUE!</v>
      </c>
      <c r="HK63" t="e">
        <f>'Technical Skills Weighting'!O28+"`FU!$[_"</f>
        <v>#VALUE!</v>
      </c>
      <c r="HL63" t="e">
        <f>'Technical Skills Weighting'!P28+"`FU!$[`"</f>
        <v>#VALUE!</v>
      </c>
      <c r="HM63" t="e">
        <f>'Technical Skills Weighting'!Q28+"`FU!$[a"</f>
        <v>#VALUE!</v>
      </c>
      <c r="HN63" t="e">
        <f>'Technical Skills Weighting'!R28+"`FU!$[b"</f>
        <v>#VALUE!</v>
      </c>
      <c r="HO63" t="e">
        <f>'Technical Skills Weighting'!S28+"`FU!$[c"</f>
        <v>#VALUE!</v>
      </c>
      <c r="HP63" t="e">
        <f>'Technical Skills Weighting'!T28+"`FU!$[d"</f>
        <v>#VALUE!</v>
      </c>
      <c r="HQ63" t="e">
        <f>'Technical Skills Weighting'!U28+"`FU!$[e"</f>
        <v>#VALUE!</v>
      </c>
      <c r="HR63" t="e">
        <f>'Technical Skills Weighting'!V28+"`FU!$[f"</f>
        <v>#VALUE!</v>
      </c>
      <c r="HS63" t="e">
        <f>'Technical Skills Weighting'!W28+"`FU!$[g"</f>
        <v>#VALUE!</v>
      </c>
      <c r="HT63" t="e">
        <f>'Technical Skills Weighting'!X28+"`FU!$[h"</f>
        <v>#VALUE!</v>
      </c>
      <c r="HU63" t="e">
        <f>'Technical Skills Weighting'!Y28+"`FU!$[i"</f>
        <v>#VALUE!</v>
      </c>
      <c r="HV63" t="e">
        <f>'Technical Skills Weighting'!Z28+"`FU!$[j"</f>
        <v>#VALUE!</v>
      </c>
      <c r="HW63" t="e">
        <f>'Technical Skills Weighting'!AA28+"`FU!$[k"</f>
        <v>#VALUE!</v>
      </c>
      <c r="HX63" t="e">
        <f>'Technical Skills Weighting'!AB28+"`FU!$[l"</f>
        <v>#VALUE!</v>
      </c>
      <c r="HY63" t="e">
        <f>'Technical Skills Weighting'!AC28+"`FU!$[m"</f>
        <v>#VALUE!</v>
      </c>
      <c r="HZ63" t="e">
        <f>'Technical Skills Weighting'!AD28+"`FU!$[n"</f>
        <v>#VALUE!</v>
      </c>
      <c r="IA63" t="e">
        <f>'Technical Skills Weighting'!AE28+"`FU!$[o"</f>
        <v>#VALUE!</v>
      </c>
      <c r="IB63" t="e">
        <f>'Technical Skills Weighting'!AF28+"`FU!$[p"</f>
        <v>#VALUE!</v>
      </c>
      <c r="IC63" t="e">
        <f>'Technical Skills Weighting'!AG28+"`FU!$[q"</f>
        <v>#VALUE!</v>
      </c>
      <c r="ID63" t="e">
        <f>'Technical Skills Weighting'!AH28+"`FU!$[r"</f>
        <v>#VALUE!</v>
      </c>
      <c r="IE63" t="e">
        <f>'Technical Skills Weighting'!AI28+"`FU!$[s"</f>
        <v>#VALUE!</v>
      </c>
      <c r="IF63" t="e">
        <f>'Technical Skills Weighting'!AJ28+"`FU!$[t"</f>
        <v>#VALUE!</v>
      </c>
      <c r="IG63" t="e">
        <f>'Technical Skills Weighting'!AK28+"`FU!$[u"</f>
        <v>#VALUE!</v>
      </c>
      <c r="IH63" t="e">
        <f>'Technical Skills Weighting'!AL28+"`FU!$[v"</f>
        <v>#VALUE!</v>
      </c>
      <c r="II63" t="e">
        <f>'Technical Skills Weighting'!AM28+"`FU!$[w"</f>
        <v>#VALUE!</v>
      </c>
      <c r="IJ63" t="e">
        <f>'Technical Skills Weighting'!AN28+"`FU!$[x"</f>
        <v>#VALUE!</v>
      </c>
      <c r="IK63" t="e">
        <f>'Technical Skills Weighting'!AO28+"`FU!$[y"</f>
        <v>#VALUE!</v>
      </c>
      <c r="IL63" t="e">
        <f>'Technical Skills Weighting'!AP28+"`FU!$[z"</f>
        <v>#VALUE!</v>
      </c>
      <c r="IM63" t="e">
        <f>'Technical Skills Weighting'!AQ28+"`FU!$[{"</f>
        <v>#VALUE!</v>
      </c>
      <c r="IN63" t="e">
        <f>'Technical Skills Weighting'!AR28+"`FU!$[|"</f>
        <v>#VALUE!</v>
      </c>
      <c r="IO63" t="e">
        <f>'Technical Skills Weighting'!AS28+"`FU!$[}"</f>
        <v>#VALUE!</v>
      </c>
      <c r="IP63" t="e">
        <f>'Technical Skills Weighting'!AT28+"`FU!$[~"</f>
        <v>#VALUE!</v>
      </c>
      <c r="IQ63" t="e">
        <f>'Technical Skills Weighting'!AU28+"`FU!$\#"</f>
        <v>#VALUE!</v>
      </c>
      <c r="IR63" t="e">
        <f>'Technical Skills Weighting'!AV28+"`FU!$\$"</f>
        <v>#VALUE!</v>
      </c>
      <c r="IS63" t="e">
        <f>'Technical Skills Weighting'!AW28+"`FU!$\%"</f>
        <v>#VALUE!</v>
      </c>
      <c r="IT63" t="e">
        <f>'Technical Skills Weighting'!AX28+"`FU!$\&amp;"</f>
        <v>#VALUE!</v>
      </c>
      <c r="IU63" t="e">
        <f>'Technical Skills Weighting'!AY28+"`FU!$\'"</f>
        <v>#VALUE!</v>
      </c>
      <c r="IV63" t="e">
        <f>'Technical Skills Weighting'!AZ28+"`FU!$\("</f>
        <v>#VALUE!</v>
      </c>
    </row>
    <row r="64" spans="6:256" x14ac:dyDescent="0.25">
      <c r="F64" t="e">
        <f>'Technical Skills Weighting'!BA28+"`FU!$\)"</f>
        <v>#VALUE!</v>
      </c>
      <c r="G64" t="e">
        <f>'Technical Skills Weighting'!BB28+"`FU!$\."</f>
        <v>#VALUE!</v>
      </c>
      <c r="H64" t="e">
        <f>'Technical Skills Weighting'!BC28+"`FU!$\/"</f>
        <v>#VALUE!</v>
      </c>
      <c r="I64" t="e">
        <f>'Technical Skills Weighting'!BD28+"`FU!$\0"</f>
        <v>#VALUE!</v>
      </c>
      <c r="J64" t="e">
        <f>'Technical Skills Weighting'!BE28+"`FU!$\1"</f>
        <v>#VALUE!</v>
      </c>
      <c r="K64" t="e">
        <f>'Technical Skills Weighting'!BF28+"`FU!$\2"</f>
        <v>#VALUE!</v>
      </c>
      <c r="L64" t="e">
        <f>'Technical Skills Weighting'!BG28+"`FU!$\3"</f>
        <v>#VALUE!</v>
      </c>
      <c r="M64" t="e">
        <f>'Technical Skills Weighting'!BH28+"`FU!$\4"</f>
        <v>#VALUE!</v>
      </c>
      <c r="N64" t="e">
        <f>'Technical Skills Weighting'!BI28+"`FU!$\5"</f>
        <v>#VALUE!</v>
      </c>
      <c r="O64" t="e">
        <f>'Technical Skills Weighting'!BJ28+"`FU!$\6"</f>
        <v>#VALUE!</v>
      </c>
      <c r="P64" t="e">
        <f>'Technical Skills Weighting'!BK28+"`FU!$\7"</f>
        <v>#VALUE!</v>
      </c>
      <c r="Q64" t="e">
        <f>'Technical Skills Weighting'!BL28+"`FU!$\8"</f>
        <v>#VALUE!</v>
      </c>
      <c r="R64" t="e">
        <f>'Technical Skills Weighting'!BM28+"`FU!$\9"</f>
        <v>#VALUE!</v>
      </c>
      <c r="S64" t="e">
        <f>'Technical Skills Weighting'!BN28+"`FU!$\:"</f>
        <v>#VALUE!</v>
      </c>
      <c r="T64" t="e">
        <f>'Technical Skills Weighting'!BO28+"`FU!$\;"</f>
        <v>#VALUE!</v>
      </c>
      <c r="U64" t="e">
        <f>'Technical Skills Weighting'!BP28+"`FU!$\&lt;"</f>
        <v>#VALUE!</v>
      </c>
      <c r="V64" t="e">
        <f>'Technical Skills Weighting'!BQ28+"`FU!$\="</f>
        <v>#VALUE!</v>
      </c>
      <c r="W64" t="e">
        <f>'Technical Skills Weighting'!BR28+"`FU!$\&gt;"</f>
        <v>#VALUE!</v>
      </c>
      <c r="X64" t="e">
        <f>'Technical Skills Weighting'!BS28+"`FU!$\?"</f>
        <v>#VALUE!</v>
      </c>
      <c r="Y64" t="e">
        <f>'Technical Skills Weighting'!BT28+"`FU!$\@"</f>
        <v>#VALUE!</v>
      </c>
      <c r="Z64" t="e">
        <f>'Technical Skills Weighting'!BU28+"`FU!$\A"</f>
        <v>#VALUE!</v>
      </c>
      <c r="AA64" t="e">
        <f>'Technical Skills Weighting'!BV28+"`FU!$\B"</f>
        <v>#VALUE!</v>
      </c>
      <c r="AB64" t="e">
        <f>'Technical Skills Weighting'!BW28+"`FU!$\C"</f>
        <v>#VALUE!</v>
      </c>
      <c r="AC64" t="e">
        <f>'Technical Skills Weighting'!BX28+"`FU!$\D"</f>
        <v>#VALUE!</v>
      </c>
      <c r="AD64" t="e">
        <f>'Technical Skills Weighting'!BY28+"`FU!$\E"</f>
        <v>#VALUE!</v>
      </c>
      <c r="AE64" t="e">
        <f>'Technical Skills Weighting'!BZ28+"`FU!$\F"</f>
        <v>#VALUE!</v>
      </c>
      <c r="AF64" t="e">
        <f>'Technical Skills Weighting'!CA28+"`FU!$\G"</f>
        <v>#VALUE!</v>
      </c>
      <c r="AG64" t="e">
        <f>'Technical Skills Weighting'!CB28+"`FU!$\H"</f>
        <v>#VALUE!</v>
      </c>
      <c r="AH64" t="e">
        <f>'Technical Skills Weighting'!CC28+"`FU!$\I"</f>
        <v>#VALUE!</v>
      </c>
      <c r="AI64" t="e">
        <f>'Technical Skills Weighting'!CD28+"`FU!$\J"</f>
        <v>#VALUE!</v>
      </c>
      <c r="AJ64" t="e">
        <f>'Technical Skills Weighting'!CE28+"`FU!$\K"</f>
        <v>#VALUE!</v>
      </c>
      <c r="AK64" t="e">
        <f>'Technical Skills Weighting'!CF28+"`FU!$\L"</f>
        <v>#VALUE!</v>
      </c>
      <c r="AL64" t="e">
        <f>'Technical Skills Weighting'!CG28+"`FU!$\M"</f>
        <v>#VALUE!</v>
      </c>
      <c r="AM64" t="e">
        <f>'Technical Skills Weighting'!CH28+"`FU!$\N"</f>
        <v>#VALUE!</v>
      </c>
      <c r="AN64" t="e">
        <f>'Technical Skills Weighting'!CI28+"`FU!$\O"</f>
        <v>#VALUE!</v>
      </c>
      <c r="AO64" t="e">
        <f>'Technical Skills Weighting'!CJ28+"`FU!$\P"</f>
        <v>#VALUE!</v>
      </c>
      <c r="AP64" t="e">
        <f>'Technical Skills Weighting'!CK28+"`FU!$\Q"</f>
        <v>#VALUE!</v>
      </c>
      <c r="AQ64" t="e">
        <f>'Technical Skills Weighting'!CL28+"`FU!$\R"</f>
        <v>#VALUE!</v>
      </c>
      <c r="AR64" t="e">
        <f>'Technical Skills Weighting'!CM28+"`FU!$\S"</f>
        <v>#VALUE!</v>
      </c>
      <c r="AS64" t="e">
        <f>'Technical Skills Weighting'!CN28+"`FU!$\T"</f>
        <v>#VALUE!</v>
      </c>
      <c r="AT64" t="e">
        <f>'Technical Skills Weighting'!CO28+"`FU!$\U"</f>
        <v>#VALUE!</v>
      </c>
      <c r="AU64" t="e">
        <f>'Technical Skills Weighting'!CP28+"`FU!$\V"</f>
        <v>#VALUE!</v>
      </c>
      <c r="AV64" t="e">
        <f>'Technical Skills Weighting'!CQ28+"`FU!$\W"</f>
        <v>#VALUE!</v>
      </c>
      <c r="AW64" t="e">
        <f>'Technical Skills Weighting'!CR28+"`FU!$\X"</f>
        <v>#VALUE!</v>
      </c>
      <c r="AX64" t="e">
        <f>'Technical Skills Weighting'!CS28+"`FU!$\Y"</f>
        <v>#VALUE!</v>
      </c>
      <c r="AY64" t="e">
        <f>'Technical Skills Weighting'!CT28+"`FU!$\Z"</f>
        <v>#VALUE!</v>
      </c>
      <c r="AZ64" t="e">
        <f>'Technical Skills Weighting'!CU28+"`FU!$\["</f>
        <v>#VALUE!</v>
      </c>
      <c r="BA64" t="e">
        <f>'Technical Skills Weighting'!CV28+"`FU!$\\"</f>
        <v>#VALUE!</v>
      </c>
      <c r="BB64" t="e">
        <f>'Technical Skills Weighting'!CW28+"`FU!$\]"</f>
        <v>#VALUE!</v>
      </c>
      <c r="BC64" t="e">
        <f>'Technical Skills Weighting'!CX28+"`FU!$\^"</f>
        <v>#VALUE!</v>
      </c>
      <c r="BD64" t="e">
        <f>'Technical Skills Weighting'!CY28+"`FU!$\_"</f>
        <v>#VALUE!</v>
      </c>
      <c r="BE64" t="e">
        <f>'Technical Skills Weighting'!CZ28+"`FU!$\`"</f>
        <v>#VALUE!</v>
      </c>
      <c r="BF64" t="e">
        <f>'Technical Skills Weighting'!DA28+"`FU!$\a"</f>
        <v>#VALUE!</v>
      </c>
      <c r="BG64" t="e">
        <f>'Technical Skills Weighting'!DB28+"`FU!$\b"</f>
        <v>#VALUE!</v>
      </c>
      <c r="BH64" t="e">
        <f>'Technical Skills Weighting'!DC28+"`FU!$\c"</f>
        <v>#VALUE!</v>
      </c>
      <c r="BI64" t="e">
        <f>'Technical Skills Weighting'!DD28+"`FU!$\d"</f>
        <v>#VALUE!</v>
      </c>
      <c r="BJ64" t="e">
        <f>'Technical Skills Weighting'!DE28+"`FU!$\e"</f>
        <v>#VALUE!</v>
      </c>
      <c r="BK64" t="e">
        <f>'Technical Skills Weighting'!DF28+"`FU!$\f"</f>
        <v>#VALUE!</v>
      </c>
      <c r="BL64" t="e">
        <f>'Technical Skills Weighting'!DG28+"`FU!$\g"</f>
        <v>#VALUE!</v>
      </c>
      <c r="BM64" t="e">
        <f>'Technical Skills Weighting'!DH28+"`FU!$\h"</f>
        <v>#VALUE!</v>
      </c>
      <c r="BN64" t="e">
        <f>'Technical Skills Weighting'!DI28+"`FU!$\i"</f>
        <v>#VALUE!</v>
      </c>
      <c r="BO64" t="e">
        <f>'Technical Skills Weighting'!DJ28+"`FU!$\j"</f>
        <v>#VALUE!</v>
      </c>
      <c r="BP64" t="e">
        <f>'Technical Skills Weighting'!DK28+"`FU!$\k"</f>
        <v>#VALUE!</v>
      </c>
      <c r="BQ64" t="e">
        <f>'Technical Skills Weighting'!DL28+"`FU!$\l"</f>
        <v>#VALUE!</v>
      </c>
      <c r="BR64" t="e">
        <f>'Technical Skills Weighting'!DM28+"`FU!$\m"</f>
        <v>#VALUE!</v>
      </c>
      <c r="BS64" t="e">
        <f>'Technical Skills Weighting'!DN28+"`FU!$\n"</f>
        <v>#VALUE!</v>
      </c>
      <c r="BT64" t="e">
        <f>'Technical Skills Weighting'!DO28+"`FU!$\o"</f>
        <v>#VALUE!</v>
      </c>
      <c r="BU64" t="e">
        <f>'Technical Skills Weighting'!DP28+"`FU!$\p"</f>
        <v>#VALUE!</v>
      </c>
      <c r="BV64" t="e">
        <f>'Technical Skills Weighting'!DQ28+"`FU!$\q"</f>
        <v>#VALUE!</v>
      </c>
      <c r="BW64" t="e">
        <f>'Technical Skills Weighting'!DR28+"`FU!$\r"</f>
        <v>#VALUE!</v>
      </c>
      <c r="BX64" t="e">
        <f>'Technical Skills Weighting'!DS28+"`FU!$\s"</f>
        <v>#VALUE!</v>
      </c>
      <c r="BY64" t="e">
        <f>'Technical Skills Weighting'!DT28+"`FU!$\t"</f>
        <v>#VALUE!</v>
      </c>
      <c r="BZ64" t="e">
        <f>'Technical Skills Weighting'!DU28+"`FU!$\u"</f>
        <v>#VALUE!</v>
      </c>
      <c r="CA64" t="e">
        <f>'Technical Skills Weighting'!DV28+"`FU!$\v"</f>
        <v>#VALUE!</v>
      </c>
      <c r="CB64" t="e">
        <f>'Technical Skills Weighting'!DW28+"`FU!$\w"</f>
        <v>#VALUE!</v>
      </c>
      <c r="CC64" t="e">
        <f>'Technical Skills Weighting'!DX28+"`FU!$\x"</f>
        <v>#VALUE!</v>
      </c>
      <c r="CD64" t="e">
        <f>'Technical Skills Weighting'!DY28+"`FU!$\y"</f>
        <v>#VALUE!</v>
      </c>
      <c r="CE64" t="e">
        <f>'Technical Skills Weighting'!DZ28+"`FU!$\z"</f>
        <v>#VALUE!</v>
      </c>
      <c r="CF64" t="e">
        <f>'Technical Skills Weighting'!EA28+"`FU!$\{"</f>
        <v>#VALUE!</v>
      </c>
      <c r="CG64" t="e">
        <f>'Technical Skills Weighting'!EB28+"`FU!$\|"</f>
        <v>#VALUE!</v>
      </c>
      <c r="CH64" t="e">
        <f>'Technical Skills Weighting'!EC28+"`FU!$\}"</f>
        <v>#VALUE!</v>
      </c>
      <c r="CI64" t="e">
        <f>'Technical Skills Weighting'!ED28+"`FU!$\~"</f>
        <v>#VALUE!</v>
      </c>
      <c r="CJ64" t="e">
        <f>'Technical Skills Weighting'!EE28+"`FU!$]#"</f>
        <v>#VALUE!</v>
      </c>
      <c r="CK64" t="e">
        <f>'Technical Skills Weighting'!EF28+"`FU!$]$"</f>
        <v>#VALUE!</v>
      </c>
      <c r="CL64" t="e">
        <f>'Technical Skills Weighting'!EG28+"`FU!$]%"</f>
        <v>#VALUE!</v>
      </c>
      <c r="CM64" t="e">
        <f>'Technical Skills Weighting'!EH28+"`FU!$]&amp;"</f>
        <v>#VALUE!</v>
      </c>
      <c r="CN64" t="e">
        <f>'Technical Skills Weighting'!EI28+"`FU!$]'"</f>
        <v>#VALUE!</v>
      </c>
      <c r="CO64" t="e">
        <f>'Technical Skills Weighting'!EJ28+"`FU!$]("</f>
        <v>#VALUE!</v>
      </c>
      <c r="CP64" t="e">
        <f>'Technical Skills Weighting'!EK28+"`FU!$])"</f>
        <v>#VALUE!</v>
      </c>
      <c r="CQ64" t="e">
        <f>'Technical Skills Weighting'!EL28+"`FU!$]."</f>
        <v>#VALUE!</v>
      </c>
      <c r="CR64" t="e">
        <f>'Technical Skills Weighting'!EM28+"`FU!$]/"</f>
        <v>#VALUE!</v>
      </c>
      <c r="CS64" t="e">
        <f>'Technical Skills Weighting'!EN28+"`FU!$]0"</f>
        <v>#VALUE!</v>
      </c>
      <c r="CT64" t="e">
        <f>'Technical Skills Weighting'!EO28+"`FU!$]1"</f>
        <v>#VALUE!</v>
      </c>
      <c r="CU64" t="e">
        <f>'Technical Skills Weighting'!EP28+"`FU!$]2"</f>
        <v>#VALUE!</v>
      </c>
      <c r="CV64" t="e">
        <f>'Technical Skills Weighting'!EQ28+"`FU!$]3"</f>
        <v>#VALUE!</v>
      </c>
      <c r="CW64" t="e">
        <f>'Technical Skills Weighting'!ER28+"`FU!$]4"</f>
        <v>#VALUE!</v>
      </c>
      <c r="CX64" t="e">
        <f>'Technical Skills Weighting'!ES28+"`FU!$]5"</f>
        <v>#VALUE!</v>
      </c>
      <c r="CY64" t="e">
        <f>'Technical Skills Weighting'!ET28+"`FU!$]6"</f>
        <v>#VALUE!</v>
      </c>
      <c r="CZ64" t="e">
        <f>'Technical Skills Weighting'!EU28+"`FU!$]7"</f>
        <v>#VALUE!</v>
      </c>
      <c r="DA64" t="e">
        <f>'Technical Skills Weighting'!EV28+"`FU!$]8"</f>
        <v>#VALUE!</v>
      </c>
      <c r="DB64" t="e">
        <f>'Technical Skills Weighting'!EW28+"`FU!$]9"</f>
        <v>#VALUE!</v>
      </c>
      <c r="DC64" t="e">
        <f>'Technical Skills Weighting'!EX28+"`FU!$]:"</f>
        <v>#VALUE!</v>
      </c>
      <c r="DD64" t="e">
        <f>'Technical Skills Weighting'!EY28+"`FU!$];"</f>
        <v>#VALUE!</v>
      </c>
      <c r="DE64" t="e">
        <f>'Technical Skills Weighting'!EZ28+"`FU!$]&lt;"</f>
        <v>#VALUE!</v>
      </c>
      <c r="DF64" t="e">
        <f>'Technical Skills Weighting'!FA28+"`FU!$]="</f>
        <v>#VALUE!</v>
      </c>
      <c r="DG64" t="e">
        <f>'Technical Skills Weighting'!FB28+"`FU!$]&gt;"</f>
        <v>#VALUE!</v>
      </c>
      <c r="DH64" t="e">
        <f>'Technical Skills Weighting'!FC28+"`FU!$]?"</f>
        <v>#VALUE!</v>
      </c>
      <c r="DI64" t="e">
        <f>'Technical Skills Weighting'!FD28+"`FU!$]@"</f>
        <v>#VALUE!</v>
      </c>
      <c r="DJ64" t="e">
        <f>'Technical Skills Weighting'!FE28+"`FU!$]A"</f>
        <v>#VALUE!</v>
      </c>
      <c r="DK64" t="e">
        <f>'Technical Skills Weighting'!FF28+"`FU!$]B"</f>
        <v>#VALUE!</v>
      </c>
      <c r="DL64" t="e">
        <f>'Technical Skills Weighting'!FG28+"`FU!$]C"</f>
        <v>#VALUE!</v>
      </c>
      <c r="DM64" t="e">
        <f>'Technical Skills Weighting'!FH28+"`FU!$]D"</f>
        <v>#VALUE!</v>
      </c>
      <c r="DN64" t="e">
        <f>'Technical Skills Weighting'!FI28+"`FU!$]E"</f>
        <v>#VALUE!</v>
      </c>
      <c r="DO64" t="e">
        <f>'Technical Skills Weighting'!FJ28+"`FU!$]F"</f>
        <v>#VALUE!</v>
      </c>
      <c r="DP64" t="e">
        <f>'Technical Skills Weighting'!FK28+"`FU!$]G"</f>
        <v>#VALUE!</v>
      </c>
      <c r="DQ64" t="e">
        <f>'Technical Skills Weighting'!FL28+"`FU!$]H"</f>
        <v>#VALUE!</v>
      </c>
      <c r="DR64" t="e">
        <f>'Technical Skills Weighting'!FM28+"`FU!$]I"</f>
        <v>#VALUE!</v>
      </c>
      <c r="DS64" t="e">
        <f>'Technical Skills Weighting'!FN28+"`FU!$]J"</f>
        <v>#VALUE!</v>
      </c>
      <c r="DT64" t="e">
        <f>'Technical Skills Weighting'!FO28+"`FU!$]K"</f>
        <v>#VALUE!</v>
      </c>
      <c r="DU64" t="e">
        <f>'Technical Skills Weighting'!FP28+"`FU!$]L"</f>
        <v>#VALUE!</v>
      </c>
      <c r="DV64" t="e">
        <f>'Technical Skills Weighting'!FQ28+"`FU!$]M"</f>
        <v>#VALUE!</v>
      </c>
      <c r="DW64" t="e">
        <f>'Technical Skills Weighting'!FR28+"`FU!$]N"</f>
        <v>#VALUE!</v>
      </c>
      <c r="DX64" t="e">
        <f>'Technical Skills Weighting'!FS28+"`FU!$]O"</f>
        <v>#VALUE!</v>
      </c>
      <c r="DY64" t="e">
        <f>'Technical Skills Weighting'!FT28+"`FU!$]P"</f>
        <v>#VALUE!</v>
      </c>
      <c r="DZ64" t="e">
        <f>'Technical Skills Weighting'!FU28+"`FU!$]Q"</f>
        <v>#VALUE!</v>
      </c>
      <c r="EA64" t="e">
        <f>'Technical Skills Weighting'!FV28+"`FU!$]R"</f>
        <v>#VALUE!</v>
      </c>
      <c r="EB64" t="e">
        <f>'Technical Skills Weighting'!FW28+"`FU!$]S"</f>
        <v>#VALUE!</v>
      </c>
      <c r="EC64" t="e">
        <f>'Technical Skills Weighting'!FX28+"`FU!$]T"</f>
        <v>#VALUE!</v>
      </c>
      <c r="ED64" t="e">
        <f>'Technical Skills Weighting'!FY28+"`FU!$]U"</f>
        <v>#VALUE!</v>
      </c>
      <c r="EE64" t="e">
        <f>'Technical Skills Weighting'!FZ28+"`FU!$]V"</f>
        <v>#VALUE!</v>
      </c>
      <c r="EF64" t="e">
        <f>'Technical Skills Weighting'!GA28+"`FU!$]W"</f>
        <v>#VALUE!</v>
      </c>
      <c r="EG64" t="e">
        <f>'Technical Skills Weighting'!GB28+"`FU!$]X"</f>
        <v>#VALUE!</v>
      </c>
      <c r="EH64" t="e">
        <f>'Technical Skills Weighting'!GC28+"`FU!$]Y"</f>
        <v>#VALUE!</v>
      </c>
      <c r="EI64" t="e">
        <f>'Technical Skills Weighting'!GD28+"`FU!$]Z"</f>
        <v>#VALUE!</v>
      </c>
      <c r="EJ64" t="e">
        <f>'Technical Skills Weighting'!GE28+"`FU!$]["</f>
        <v>#VALUE!</v>
      </c>
      <c r="EK64" t="e">
        <f>'Technical Skills Weighting'!GF28+"`FU!$]\"</f>
        <v>#VALUE!</v>
      </c>
      <c r="EL64" t="e">
        <f>'Technical Skills Weighting'!GG28+"`FU!$]]"</f>
        <v>#VALUE!</v>
      </c>
      <c r="EM64" t="e">
        <f>'Technical Skills Weighting'!D29+"`FU!$]^"</f>
        <v>#VALUE!</v>
      </c>
      <c r="EN64" t="e">
        <f>'Technical Skills Weighting'!E29+"`FU!$]_"</f>
        <v>#VALUE!</v>
      </c>
      <c r="EO64" t="e">
        <f>'Technical Skills Weighting'!F29+"`FU!$]`"</f>
        <v>#VALUE!</v>
      </c>
      <c r="EP64" t="e">
        <f>'Technical Skills Weighting'!G29+"`FU!$]a"</f>
        <v>#VALUE!</v>
      </c>
      <c r="EQ64" t="e">
        <f>'Technical Skills Weighting'!A30+"`FU!$]b"</f>
        <v>#VALUE!</v>
      </c>
      <c r="ER64" t="e">
        <f>'Technical Skills Weighting'!D30+"`FU!$]c"</f>
        <v>#VALUE!</v>
      </c>
      <c r="ES64" t="e">
        <f>'Technical Skills Weighting'!E30+"`FU!$]d"</f>
        <v>#VALUE!</v>
      </c>
      <c r="ET64" t="e">
        <f>'Technical Skills Weighting'!F30+"`FU!$]e"</f>
        <v>#VALUE!</v>
      </c>
      <c r="EU64" t="e">
        <f>'Technical Skills Weighting'!G30+"`FU!$]f"</f>
        <v>#VALUE!</v>
      </c>
      <c r="EV64" t="e">
        <f>'Technical Skills Weighting'!H30+"`FU!$]g"</f>
        <v>#VALUE!</v>
      </c>
      <c r="EW64" t="e">
        <f>'Technical Skills Weighting'!I30+"`FU!$]h"</f>
        <v>#VALUE!</v>
      </c>
      <c r="EX64" t="e">
        <f>'Technical Skills Weighting'!J30+"`FU!$]i"</f>
        <v>#VALUE!</v>
      </c>
      <c r="EY64" t="e">
        <f>'Technical Skills Weighting'!K30+"`FU!$]j"</f>
        <v>#VALUE!</v>
      </c>
      <c r="EZ64" t="e">
        <f>'Technical Skills Weighting'!L30+"`FU!$]k"</f>
        <v>#VALUE!</v>
      </c>
      <c r="FA64" t="e">
        <f>'Technical Skills Weighting'!M30+"`FU!$]l"</f>
        <v>#VALUE!</v>
      </c>
      <c r="FB64" t="e">
        <f>'Technical Skills Weighting'!N30+"`FU!$]m"</f>
        <v>#VALUE!</v>
      </c>
      <c r="FC64" t="e">
        <f>'Technical Skills Weighting'!O30+"`FU!$]n"</f>
        <v>#VALUE!</v>
      </c>
      <c r="FD64" t="e">
        <f>'Technical Skills Weighting'!P30+"`FU!$]o"</f>
        <v>#VALUE!</v>
      </c>
      <c r="FE64" t="e">
        <f>'Technical Skills Weighting'!Q30+"`FU!$]p"</f>
        <v>#VALUE!</v>
      </c>
      <c r="FF64" t="e">
        <f>'Technical Skills Weighting'!R30+"`FU!$]q"</f>
        <v>#VALUE!</v>
      </c>
      <c r="FG64" t="e">
        <f>'Technical Skills Weighting'!S30+"`FU!$]r"</f>
        <v>#VALUE!</v>
      </c>
      <c r="FH64" t="e">
        <f>'Technical Skills Weighting'!T30+"`FU!$]s"</f>
        <v>#VALUE!</v>
      </c>
      <c r="FI64" t="e">
        <f>'Technical Skills Weighting'!U30+"`FU!$]t"</f>
        <v>#VALUE!</v>
      </c>
      <c r="FJ64" t="e">
        <f>'Technical Skills Weighting'!V30+"`FU!$]u"</f>
        <v>#VALUE!</v>
      </c>
      <c r="FK64" t="e">
        <f>'Technical Skills Weighting'!W30+"`FU!$]v"</f>
        <v>#VALUE!</v>
      </c>
      <c r="FL64" t="e">
        <f>'Technical Skills Weighting'!X30+"`FU!$]w"</f>
        <v>#VALUE!</v>
      </c>
      <c r="FM64" t="e">
        <f>'Technical Skills Weighting'!Y30+"`FU!$]x"</f>
        <v>#VALUE!</v>
      </c>
      <c r="FN64" t="e">
        <f>'Technical Skills Weighting'!Z30+"`FU!$]y"</f>
        <v>#VALUE!</v>
      </c>
      <c r="FO64" t="e">
        <f>'Technical Skills Weighting'!AA30+"`FU!$]z"</f>
        <v>#VALUE!</v>
      </c>
      <c r="FP64" t="e">
        <f>'Technical Skills Weighting'!AB30+"`FU!$]{"</f>
        <v>#VALUE!</v>
      </c>
      <c r="FQ64" t="e">
        <f>'Technical Skills Weighting'!AC30+"`FU!$]|"</f>
        <v>#VALUE!</v>
      </c>
      <c r="FR64" t="e">
        <f>'Technical Skills Weighting'!AD30+"`FU!$]}"</f>
        <v>#VALUE!</v>
      </c>
      <c r="FS64" t="e">
        <f>'Technical Skills Weighting'!AE30+"`FU!$]~"</f>
        <v>#VALUE!</v>
      </c>
      <c r="FT64" t="e">
        <f>'Technical Skills Weighting'!AF30+"`FU!$^#"</f>
        <v>#VALUE!</v>
      </c>
      <c r="FU64" t="e">
        <f>'Technical Skills Weighting'!AG30+"`FU!$^$"</f>
        <v>#VALUE!</v>
      </c>
      <c r="FV64" t="e">
        <f>'Technical Skills Weighting'!AH30+"`FU!$^%"</f>
        <v>#VALUE!</v>
      </c>
      <c r="FW64" t="e">
        <f>'Technical Skills Weighting'!AI30+"`FU!$^&amp;"</f>
        <v>#VALUE!</v>
      </c>
      <c r="FX64" t="e">
        <f>'Technical Skills Weighting'!AJ30+"`FU!$^'"</f>
        <v>#VALUE!</v>
      </c>
      <c r="FY64" t="e">
        <f>'Technical Skills Weighting'!AK30+"`FU!$^("</f>
        <v>#VALUE!</v>
      </c>
      <c r="FZ64" t="e">
        <f>'Technical Skills Weighting'!AL30+"`FU!$^)"</f>
        <v>#VALUE!</v>
      </c>
      <c r="GA64" t="e">
        <f>'Technical Skills Weighting'!AM30+"`FU!$^."</f>
        <v>#VALUE!</v>
      </c>
      <c r="GB64" t="e">
        <f>'Technical Skills Weighting'!AN30+"`FU!$^/"</f>
        <v>#VALUE!</v>
      </c>
      <c r="GC64" t="e">
        <f>'Technical Skills Weighting'!AO30+"`FU!$^0"</f>
        <v>#VALUE!</v>
      </c>
      <c r="GD64" t="e">
        <f>'Technical Skills Weighting'!AP30+"`FU!$^1"</f>
        <v>#VALUE!</v>
      </c>
      <c r="GE64" t="e">
        <f>'Technical Skills Weighting'!AQ30+"`FU!$^2"</f>
        <v>#VALUE!</v>
      </c>
      <c r="GF64" t="e">
        <f>'Technical Skills Weighting'!AR30+"`FU!$^3"</f>
        <v>#VALUE!</v>
      </c>
      <c r="GG64" t="e">
        <f>'Technical Skills Weighting'!AS30+"`FU!$^4"</f>
        <v>#VALUE!</v>
      </c>
      <c r="GH64" t="e">
        <f>'Technical Skills Weighting'!AT30+"`FU!$^5"</f>
        <v>#VALUE!</v>
      </c>
      <c r="GI64" t="e">
        <f>'Technical Skills Weighting'!AU30+"`FU!$^6"</f>
        <v>#VALUE!</v>
      </c>
      <c r="GJ64" t="e">
        <f>'Technical Skills Weighting'!AV30+"`FU!$^7"</f>
        <v>#VALUE!</v>
      </c>
      <c r="GK64" t="e">
        <f>'Technical Skills Weighting'!AW30+"`FU!$^8"</f>
        <v>#VALUE!</v>
      </c>
      <c r="GL64" t="e">
        <f>'Technical Skills Weighting'!AX30+"`FU!$^9"</f>
        <v>#VALUE!</v>
      </c>
      <c r="GM64" t="e">
        <f>'Technical Skills Weighting'!AY30+"`FU!$^:"</f>
        <v>#VALUE!</v>
      </c>
      <c r="GN64" t="e">
        <f>'Technical Skills Weighting'!AZ30+"`FU!$^;"</f>
        <v>#VALUE!</v>
      </c>
      <c r="GO64" t="e">
        <f>'Technical Skills Weighting'!BA30+"`FU!$^&lt;"</f>
        <v>#VALUE!</v>
      </c>
      <c r="GP64" t="e">
        <f>'Technical Skills Weighting'!BB30+"`FU!$^="</f>
        <v>#VALUE!</v>
      </c>
      <c r="GQ64" t="e">
        <f>'Technical Skills Weighting'!BC30+"`FU!$^&gt;"</f>
        <v>#VALUE!</v>
      </c>
      <c r="GR64" t="e">
        <f>'Technical Skills Weighting'!BD30+"`FU!$^?"</f>
        <v>#VALUE!</v>
      </c>
      <c r="GS64" t="e">
        <f>'Technical Skills Weighting'!BE30+"`FU!$^@"</f>
        <v>#VALUE!</v>
      </c>
      <c r="GT64" t="e">
        <f>'Technical Skills Weighting'!BF30+"`FU!$^A"</f>
        <v>#VALUE!</v>
      </c>
      <c r="GU64" t="e">
        <f>'Technical Skills Weighting'!BG30+"`FU!$^B"</f>
        <v>#VALUE!</v>
      </c>
      <c r="GV64" t="e">
        <f>'Technical Skills Weighting'!BH30+"`FU!$^C"</f>
        <v>#VALUE!</v>
      </c>
      <c r="GW64" t="e">
        <f>'Technical Skills Weighting'!BI30+"`FU!$^D"</f>
        <v>#VALUE!</v>
      </c>
      <c r="GX64" t="e">
        <f>'Technical Skills Weighting'!BJ30+"`FU!$^E"</f>
        <v>#VALUE!</v>
      </c>
      <c r="GY64" t="e">
        <f>'Technical Skills Weighting'!BK30+"`FU!$^F"</f>
        <v>#VALUE!</v>
      </c>
      <c r="GZ64" t="e">
        <f>'Technical Skills Weighting'!BL30+"`FU!$^G"</f>
        <v>#VALUE!</v>
      </c>
      <c r="HA64" t="e">
        <f>'Technical Skills Weighting'!BM30+"`FU!$^H"</f>
        <v>#VALUE!</v>
      </c>
      <c r="HB64" t="e">
        <f>'Technical Skills Weighting'!BN30+"`FU!$^I"</f>
        <v>#VALUE!</v>
      </c>
      <c r="HC64" t="e">
        <f>'Technical Skills Weighting'!BO30+"`FU!$^J"</f>
        <v>#VALUE!</v>
      </c>
      <c r="HD64" t="e">
        <f>'Technical Skills Weighting'!BP30+"`FU!$^K"</f>
        <v>#VALUE!</v>
      </c>
      <c r="HE64" t="e">
        <f>'Technical Skills Weighting'!BQ30+"`FU!$^L"</f>
        <v>#VALUE!</v>
      </c>
      <c r="HF64" t="e">
        <f>'Technical Skills Weighting'!BR30+"`FU!$^M"</f>
        <v>#VALUE!</v>
      </c>
      <c r="HG64" t="e">
        <f>'Technical Skills Weighting'!BS30+"`FU!$^N"</f>
        <v>#VALUE!</v>
      </c>
      <c r="HH64" t="e">
        <f>'Technical Skills Weighting'!BT30+"`FU!$^O"</f>
        <v>#VALUE!</v>
      </c>
      <c r="HI64" t="e">
        <f>'Technical Skills Weighting'!BU30+"`FU!$^P"</f>
        <v>#VALUE!</v>
      </c>
      <c r="HJ64" t="e">
        <f>'Technical Skills Weighting'!BV30+"`FU!$^Q"</f>
        <v>#VALUE!</v>
      </c>
      <c r="HK64" t="e">
        <f>'Technical Skills Weighting'!BW30+"`FU!$^R"</f>
        <v>#VALUE!</v>
      </c>
      <c r="HL64" t="e">
        <f>'Technical Skills Weighting'!BX30+"`FU!$^S"</f>
        <v>#VALUE!</v>
      </c>
      <c r="HM64" t="e">
        <f>'Technical Skills Weighting'!BY30+"`FU!$^T"</f>
        <v>#VALUE!</v>
      </c>
      <c r="HN64" t="e">
        <f>'Technical Skills Weighting'!BZ30+"`FU!$^U"</f>
        <v>#VALUE!</v>
      </c>
      <c r="HO64" t="e">
        <f>'Technical Skills Weighting'!CA30+"`FU!$^V"</f>
        <v>#VALUE!</v>
      </c>
      <c r="HP64" t="e">
        <f>'Technical Skills Weighting'!CB30+"`FU!$^W"</f>
        <v>#VALUE!</v>
      </c>
      <c r="HQ64" t="e">
        <f>'Technical Skills Weighting'!CC30+"`FU!$^X"</f>
        <v>#VALUE!</v>
      </c>
      <c r="HR64" t="e">
        <f>'Technical Skills Weighting'!CD30+"`FU!$^Y"</f>
        <v>#VALUE!</v>
      </c>
      <c r="HS64" t="e">
        <f>'Technical Skills Weighting'!CE30+"`FU!$^Z"</f>
        <v>#VALUE!</v>
      </c>
      <c r="HT64" t="e">
        <f>'Technical Skills Weighting'!CF30+"`FU!$^["</f>
        <v>#VALUE!</v>
      </c>
      <c r="HU64" t="e">
        <f>'Technical Skills Weighting'!CG30+"`FU!$^\"</f>
        <v>#VALUE!</v>
      </c>
      <c r="HV64" t="e">
        <f>'Technical Skills Weighting'!CH30+"`FU!$^]"</f>
        <v>#VALUE!</v>
      </c>
      <c r="HW64" t="e">
        <f>'Technical Skills Weighting'!CI30+"`FU!$^^"</f>
        <v>#VALUE!</v>
      </c>
      <c r="HX64" t="e">
        <f>'Technical Skills Weighting'!CJ30+"`FU!$^_"</f>
        <v>#VALUE!</v>
      </c>
      <c r="HY64" t="e">
        <f>'Technical Skills Weighting'!CK30+"`FU!$^`"</f>
        <v>#VALUE!</v>
      </c>
      <c r="HZ64" t="e">
        <f>'Technical Skills Weighting'!CL30+"`FU!$^a"</f>
        <v>#VALUE!</v>
      </c>
      <c r="IA64" t="e">
        <f>'Technical Skills Weighting'!CM30+"`FU!$^b"</f>
        <v>#VALUE!</v>
      </c>
      <c r="IB64" t="e">
        <f>'Technical Skills Weighting'!CN30+"`FU!$^c"</f>
        <v>#VALUE!</v>
      </c>
      <c r="IC64" t="e">
        <f>'Technical Skills Weighting'!CO30+"`FU!$^d"</f>
        <v>#VALUE!</v>
      </c>
      <c r="ID64" t="e">
        <f>'Technical Skills Weighting'!CP30+"`FU!$^e"</f>
        <v>#VALUE!</v>
      </c>
      <c r="IE64" t="e">
        <f>'Technical Skills Weighting'!CQ30+"`FU!$^f"</f>
        <v>#VALUE!</v>
      </c>
      <c r="IF64" t="e">
        <f>'Technical Skills Weighting'!CR30+"`FU!$^g"</f>
        <v>#VALUE!</v>
      </c>
      <c r="IG64" t="e">
        <f>'Technical Skills Weighting'!CS30+"`FU!$^h"</f>
        <v>#VALUE!</v>
      </c>
      <c r="IH64" t="e">
        <f>'Technical Skills Weighting'!CT30+"`FU!$^i"</f>
        <v>#VALUE!</v>
      </c>
      <c r="II64" t="e">
        <f>'Technical Skills Weighting'!CU30+"`FU!$^j"</f>
        <v>#VALUE!</v>
      </c>
      <c r="IJ64" t="e">
        <f>'Technical Skills Weighting'!CV30+"`FU!$^k"</f>
        <v>#VALUE!</v>
      </c>
      <c r="IK64" t="e">
        <f>'Technical Skills Weighting'!CW30+"`FU!$^l"</f>
        <v>#VALUE!</v>
      </c>
      <c r="IL64" t="e">
        <f>'Technical Skills Weighting'!CX30+"`FU!$^m"</f>
        <v>#VALUE!</v>
      </c>
      <c r="IM64" t="e">
        <f>'Technical Skills Weighting'!CY30+"`FU!$^n"</f>
        <v>#VALUE!</v>
      </c>
      <c r="IN64" t="e">
        <f>'Technical Skills Weighting'!CZ30+"`FU!$^o"</f>
        <v>#VALUE!</v>
      </c>
      <c r="IO64" t="e">
        <f>'Technical Skills Weighting'!DA30+"`FU!$^p"</f>
        <v>#VALUE!</v>
      </c>
      <c r="IP64" t="e">
        <f>'Technical Skills Weighting'!DB30+"`FU!$^q"</f>
        <v>#VALUE!</v>
      </c>
      <c r="IQ64" t="e">
        <f>'Technical Skills Weighting'!DC30+"`FU!$^r"</f>
        <v>#VALUE!</v>
      </c>
      <c r="IR64" t="e">
        <f>'Technical Skills Weighting'!DD30+"`FU!$^s"</f>
        <v>#VALUE!</v>
      </c>
      <c r="IS64" t="e">
        <f>'Technical Skills Weighting'!DE30+"`FU!$^t"</f>
        <v>#VALUE!</v>
      </c>
      <c r="IT64" t="e">
        <f>'Technical Skills Weighting'!DF30+"`FU!$^u"</f>
        <v>#VALUE!</v>
      </c>
      <c r="IU64" t="e">
        <f>'Technical Skills Weighting'!DG30+"`FU!$^v"</f>
        <v>#VALUE!</v>
      </c>
      <c r="IV64" t="e">
        <f>'Technical Skills Weighting'!DH30+"`FU!$^w"</f>
        <v>#VALUE!</v>
      </c>
    </row>
    <row r="65" spans="6:256" x14ac:dyDescent="0.25">
      <c r="F65" t="e">
        <f>'Technical Skills Weighting'!DI30+"`FU!$^x"</f>
        <v>#VALUE!</v>
      </c>
      <c r="G65" t="e">
        <f>'Technical Skills Weighting'!DJ30+"`FU!$^y"</f>
        <v>#VALUE!</v>
      </c>
      <c r="H65" t="e">
        <f>'Technical Skills Weighting'!DK30+"`FU!$^z"</f>
        <v>#VALUE!</v>
      </c>
      <c r="I65" t="e">
        <f>'Technical Skills Weighting'!DL30+"`FU!$^{"</f>
        <v>#VALUE!</v>
      </c>
      <c r="J65" t="e">
        <f>'Technical Skills Weighting'!DM30+"`FU!$^|"</f>
        <v>#VALUE!</v>
      </c>
      <c r="K65" t="e">
        <f>'Technical Skills Weighting'!DN30+"`FU!$^}"</f>
        <v>#VALUE!</v>
      </c>
      <c r="L65" t="e">
        <f>'Technical Skills Weighting'!DO30+"`FU!$^~"</f>
        <v>#VALUE!</v>
      </c>
      <c r="M65" t="e">
        <f>'Technical Skills Weighting'!DP30+"`FU!$_#"</f>
        <v>#VALUE!</v>
      </c>
      <c r="N65" t="e">
        <f>'Technical Skills Weighting'!DQ30+"`FU!$_$"</f>
        <v>#VALUE!</v>
      </c>
      <c r="O65" t="e">
        <f>'Technical Skills Weighting'!DR30+"`FU!$_%"</f>
        <v>#VALUE!</v>
      </c>
      <c r="P65" t="e">
        <f>'Technical Skills Weighting'!DS30+"`FU!$_&amp;"</f>
        <v>#VALUE!</v>
      </c>
      <c r="Q65" t="e">
        <f>'Technical Skills Weighting'!DT30+"`FU!$_'"</f>
        <v>#VALUE!</v>
      </c>
      <c r="R65" t="e">
        <f>'Technical Skills Weighting'!DU30+"`FU!$_("</f>
        <v>#VALUE!</v>
      </c>
      <c r="S65" t="e">
        <f>'Technical Skills Weighting'!DV30+"`FU!$_)"</f>
        <v>#VALUE!</v>
      </c>
      <c r="T65" t="e">
        <f>'Technical Skills Weighting'!DW30+"`FU!$_."</f>
        <v>#VALUE!</v>
      </c>
      <c r="U65" t="e">
        <f>'Technical Skills Weighting'!DX30+"`FU!$_/"</f>
        <v>#VALUE!</v>
      </c>
      <c r="V65" t="e">
        <f>'Technical Skills Weighting'!DY30+"`FU!$_0"</f>
        <v>#VALUE!</v>
      </c>
      <c r="W65" t="e">
        <f>'Technical Skills Weighting'!DZ30+"`FU!$_1"</f>
        <v>#VALUE!</v>
      </c>
      <c r="X65" t="e">
        <f>'Technical Skills Weighting'!EA30+"`FU!$_2"</f>
        <v>#VALUE!</v>
      </c>
      <c r="Y65" t="e">
        <f>'Technical Skills Weighting'!EB30+"`FU!$_3"</f>
        <v>#VALUE!</v>
      </c>
      <c r="Z65" t="e">
        <f>'Technical Skills Weighting'!EC30+"`FU!$_4"</f>
        <v>#VALUE!</v>
      </c>
      <c r="AA65" t="e">
        <f>'Technical Skills Weighting'!ED30+"`FU!$_5"</f>
        <v>#VALUE!</v>
      </c>
      <c r="AB65" t="e">
        <f>'Technical Skills Weighting'!EE30+"`FU!$_6"</f>
        <v>#VALUE!</v>
      </c>
      <c r="AC65" t="e">
        <f>'Technical Skills Weighting'!EF30+"`FU!$_7"</f>
        <v>#VALUE!</v>
      </c>
      <c r="AD65" t="e">
        <f>'Technical Skills Weighting'!EG30+"`FU!$_8"</f>
        <v>#VALUE!</v>
      </c>
      <c r="AE65" t="e">
        <f>'Technical Skills Weighting'!EH30+"`FU!$_9"</f>
        <v>#VALUE!</v>
      </c>
      <c r="AF65" t="e">
        <f>'Technical Skills Weighting'!EI30+"`FU!$_:"</f>
        <v>#VALUE!</v>
      </c>
      <c r="AG65" t="e">
        <f>'Technical Skills Weighting'!EJ30+"`FU!$_;"</f>
        <v>#VALUE!</v>
      </c>
      <c r="AH65" t="e">
        <f>'Technical Skills Weighting'!EK30+"`FU!$_&lt;"</f>
        <v>#VALUE!</v>
      </c>
      <c r="AI65" t="e">
        <f>'Technical Skills Weighting'!EL30+"`FU!$_="</f>
        <v>#VALUE!</v>
      </c>
      <c r="AJ65" t="e">
        <f>'Technical Skills Weighting'!EM30+"`FU!$_&gt;"</f>
        <v>#VALUE!</v>
      </c>
      <c r="AK65" t="e">
        <f>'Technical Skills Weighting'!EN30+"`FU!$_?"</f>
        <v>#VALUE!</v>
      </c>
      <c r="AL65" t="e">
        <f>'Technical Skills Weighting'!EO30+"`FU!$_@"</f>
        <v>#VALUE!</v>
      </c>
      <c r="AM65" t="e">
        <f>'Technical Skills Weighting'!EP30+"`FU!$_A"</f>
        <v>#VALUE!</v>
      </c>
      <c r="AN65" t="e">
        <f>'Technical Skills Weighting'!EQ30+"`FU!$_B"</f>
        <v>#VALUE!</v>
      </c>
      <c r="AO65" t="e">
        <f>'Technical Skills Weighting'!ER30+"`FU!$_C"</f>
        <v>#VALUE!</v>
      </c>
      <c r="AP65" t="e">
        <f>'Technical Skills Weighting'!ES30+"`FU!$_D"</f>
        <v>#VALUE!</v>
      </c>
      <c r="AQ65" t="e">
        <f>'Technical Skills Weighting'!ET30+"`FU!$_E"</f>
        <v>#VALUE!</v>
      </c>
      <c r="AR65" t="e">
        <f>'Technical Skills Weighting'!EU30+"`FU!$_F"</f>
        <v>#VALUE!</v>
      </c>
      <c r="AS65" t="e">
        <f>'Technical Skills Weighting'!EV30+"`FU!$_G"</f>
        <v>#VALUE!</v>
      </c>
      <c r="AT65" t="e">
        <f>'Technical Skills Weighting'!EW30+"`FU!$_H"</f>
        <v>#VALUE!</v>
      </c>
      <c r="AU65" t="e">
        <f>'Technical Skills Weighting'!EX30+"`FU!$_I"</f>
        <v>#VALUE!</v>
      </c>
      <c r="AV65" t="e">
        <f>'Technical Skills Weighting'!EY30+"`FU!$_J"</f>
        <v>#VALUE!</v>
      </c>
      <c r="AW65" t="e">
        <f>'Technical Skills Weighting'!EZ30+"`FU!$_K"</f>
        <v>#VALUE!</v>
      </c>
      <c r="AX65" t="e">
        <f>'Technical Skills Weighting'!FA30+"`FU!$_L"</f>
        <v>#VALUE!</v>
      </c>
      <c r="AY65" t="e">
        <f>'Technical Skills Weighting'!FB30+"`FU!$_M"</f>
        <v>#VALUE!</v>
      </c>
      <c r="AZ65" t="e">
        <f>'Technical Skills Weighting'!FC30+"`FU!$_N"</f>
        <v>#VALUE!</v>
      </c>
      <c r="BA65" t="e">
        <f>'Technical Skills Weighting'!FD30+"`FU!$_O"</f>
        <v>#VALUE!</v>
      </c>
      <c r="BB65" t="e">
        <f>'Technical Skills Weighting'!FE30+"`FU!$_P"</f>
        <v>#VALUE!</v>
      </c>
      <c r="BC65" t="e">
        <f>'Technical Skills Weighting'!FF30+"`FU!$_Q"</f>
        <v>#VALUE!</v>
      </c>
      <c r="BD65" t="e">
        <f>'Technical Skills Weighting'!FG30+"`FU!$_R"</f>
        <v>#VALUE!</v>
      </c>
      <c r="BE65" t="e">
        <f>'Technical Skills Weighting'!FH30+"`FU!$_S"</f>
        <v>#VALUE!</v>
      </c>
      <c r="BF65" t="e">
        <f>'Technical Skills Weighting'!FI30+"`FU!$_T"</f>
        <v>#VALUE!</v>
      </c>
      <c r="BG65" t="e">
        <f>'Technical Skills Weighting'!FJ30+"`FU!$_U"</f>
        <v>#VALUE!</v>
      </c>
      <c r="BH65" t="e">
        <f>'Technical Skills Weighting'!FK30+"`FU!$_V"</f>
        <v>#VALUE!</v>
      </c>
      <c r="BI65" t="e">
        <f>'Technical Skills Weighting'!FL30+"`FU!$_W"</f>
        <v>#VALUE!</v>
      </c>
      <c r="BJ65" t="e">
        <f>'Technical Skills Weighting'!FM30+"`FU!$_X"</f>
        <v>#VALUE!</v>
      </c>
      <c r="BK65" t="e">
        <f>'Technical Skills Weighting'!FN30+"`FU!$_Y"</f>
        <v>#VALUE!</v>
      </c>
      <c r="BL65" t="e">
        <f>'Technical Skills Weighting'!FO30+"`FU!$_Z"</f>
        <v>#VALUE!</v>
      </c>
      <c r="BM65" t="e">
        <f>'Technical Skills Weighting'!FP30+"`FU!$_["</f>
        <v>#VALUE!</v>
      </c>
      <c r="BN65" t="e">
        <f>'Technical Skills Weighting'!FQ30+"`FU!$_\"</f>
        <v>#VALUE!</v>
      </c>
      <c r="BO65" t="e">
        <f>'Technical Skills Weighting'!FR30+"`FU!$_]"</f>
        <v>#VALUE!</v>
      </c>
      <c r="BP65" t="e">
        <f>'Technical Skills Weighting'!FS30+"`FU!$_^"</f>
        <v>#VALUE!</v>
      </c>
      <c r="BQ65" t="e">
        <f>'Technical Skills Weighting'!FT30+"`FU!$__"</f>
        <v>#VALUE!</v>
      </c>
      <c r="BR65" t="e">
        <f>'Technical Skills Weighting'!FU30+"`FU!$_`"</f>
        <v>#VALUE!</v>
      </c>
      <c r="BS65" t="e">
        <f>'Technical Skills Weighting'!FV30+"`FU!$_a"</f>
        <v>#VALUE!</v>
      </c>
      <c r="BT65" t="e">
        <f>'Technical Skills Weighting'!FW30+"`FU!$_b"</f>
        <v>#VALUE!</v>
      </c>
      <c r="BU65" t="e">
        <f>'Technical Skills Weighting'!FX30+"`FU!$_c"</f>
        <v>#VALUE!</v>
      </c>
      <c r="BV65" t="e">
        <f>'Technical Skills Weighting'!FY30+"`FU!$_d"</f>
        <v>#VALUE!</v>
      </c>
      <c r="BW65" t="e">
        <f>'Technical Skills Weighting'!FZ30+"`FU!$_e"</f>
        <v>#VALUE!</v>
      </c>
      <c r="BX65" t="e">
        <f>'Technical Skills Weighting'!GA30+"`FU!$_f"</f>
        <v>#VALUE!</v>
      </c>
      <c r="BY65" t="e">
        <f>'Technical Skills Weighting'!GB30+"`FU!$_g"</f>
        <v>#VALUE!</v>
      </c>
      <c r="BZ65" t="e">
        <f>'Technical Skills Weighting'!GC30+"`FU!$_h"</f>
        <v>#VALUE!</v>
      </c>
      <c r="CA65" t="e">
        <f>'Technical Skills Weighting'!GD30+"`FU!$_i"</f>
        <v>#VALUE!</v>
      </c>
      <c r="CB65" t="e">
        <f>'Technical Skills Weighting'!GE30+"`FU!$_j"</f>
        <v>#VALUE!</v>
      </c>
      <c r="CC65" t="e">
        <f>'Technical Skills Weighting'!GF30+"`FU!$_k"</f>
        <v>#VALUE!</v>
      </c>
      <c r="CD65" t="e">
        <f>'Technical Skills Weighting'!GG30+"`FU!$_l"</f>
        <v>#VALUE!</v>
      </c>
      <c r="CE65" t="e">
        <f>'Technical Skills Weighting'!D31+"`FU!$_m"</f>
        <v>#VALUE!</v>
      </c>
      <c r="CF65" t="e">
        <f>'Technical Skills Weighting'!E31+"`FU!$_n"</f>
        <v>#VALUE!</v>
      </c>
      <c r="CG65" t="e">
        <f>'Technical Skills Weighting'!F31+"`FU!$_o"</f>
        <v>#VALUE!</v>
      </c>
      <c r="CH65" t="e">
        <f>'Technical Skills Weighting'!G31+"`FU!$_p"</f>
        <v>#VALUE!</v>
      </c>
      <c r="CI65" t="e">
        <f>'Technical Skills Weighting'!A32+"`FU!$_q"</f>
        <v>#VALUE!</v>
      </c>
      <c r="CJ65" t="e">
        <f>'Technical Skills Weighting'!D32+"`FU!$_r"</f>
        <v>#VALUE!</v>
      </c>
      <c r="CK65" t="e">
        <f>'Technical Skills Weighting'!E32+"`FU!$_s"</f>
        <v>#VALUE!</v>
      </c>
      <c r="CL65" t="e">
        <f>'Technical Skills Weighting'!F32+"`FU!$_t"</f>
        <v>#VALUE!</v>
      </c>
      <c r="CM65" t="e">
        <f>'Technical Skills Weighting'!G32+"`FU!$_u"</f>
        <v>#VALUE!</v>
      </c>
      <c r="CN65" t="e">
        <f>'Technical Skills Weighting'!H32+"`FU!$_v"</f>
        <v>#VALUE!</v>
      </c>
      <c r="CO65" t="e">
        <f>'Technical Skills Weighting'!I32+"`FU!$_w"</f>
        <v>#VALUE!</v>
      </c>
      <c r="CP65" t="e">
        <f>'Technical Skills Weighting'!J32+"`FU!$_x"</f>
        <v>#VALUE!</v>
      </c>
      <c r="CQ65" t="e">
        <f>'Technical Skills Weighting'!K32+"`FU!$_y"</f>
        <v>#VALUE!</v>
      </c>
      <c r="CR65" t="e">
        <f>'Technical Skills Weighting'!L32+"`FU!$_z"</f>
        <v>#VALUE!</v>
      </c>
      <c r="CS65" t="e">
        <f>'Technical Skills Weighting'!M32+"`FU!$_{"</f>
        <v>#VALUE!</v>
      </c>
      <c r="CT65" t="e">
        <f>'Technical Skills Weighting'!N32+"`FU!$_|"</f>
        <v>#VALUE!</v>
      </c>
      <c r="CU65" t="e">
        <f>'Technical Skills Weighting'!O32+"`FU!$_}"</f>
        <v>#VALUE!</v>
      </c>
      <c r="CV65" t="e">
        <f>'Technical Skills Weighting'!P32+"`FU!$_~"</f>
        <v>#VALUE!</v>
      </c>
      <c r="CW65" t="e">
        <f>'Technical Skills Weighting'!Q32+"`FU!$`#"</f>
        <v>#VALUE!</v>
      </c>
      <c r="CX65" t="e">
        <f>'Technical Skills Weighting'!R32+"`FU!$`$"</f>
        <v>#VALUE!</v>
      </c>
      <c r="CY65" t="e">
        <f>'Technical Skills Weighting'!S32+"`FU!$`%"</f>
        <v>#VALUE!</v>
      </c>
      <c r="CZ65" t="e">
        <f>'Technical Skills Weighting'!T32+"`FU!$`&amp;"</f>
        <v>#VALUE!</v>
      </c>
      <c r="DA65" t="e">
        <f>'Technical Skills Weighting'!U32+"`FU!$`'"</f>
        <v>#VALUE!</v>
      </c>
      <c r="DB65" t="e">
        <f>'Technical Skills Weighting'!V32+"`FU!$`("</f>
        <v>#VALUE!</v>
      </c>
      <c r="DC65" t="e">
        <f>'Technical Skills Weighting'!W32+"`FU!$`)"</f>
        <v>#VALUE!</v>
      </c>
      <c r="DD65" t="e">
        <f>'Technical Skills Weighting'!X32+"`FU!$`."</f>
        <v>#VALUE!</v>
      </c>
      <c r="DE65" t="e">
        <f>'Technical Skills Weighting'!Y32+"`FU!$`/"</f>
        <v>#VALUE!</v>
      </c>
      <c r="DF65" t="e">
        <f>'Technical Skills Weighting'!Z32+"`FU!$`0"</f>
        <v>#VALUE!</v>
      </c>
      <c r="DG65" t="e">
        <f>'Technical Skills Weighting'!AA32+"`FU!$`1"</f>
        <v>#VALUE!</v>
      </c>
      <c r="DH65" t="e">
        <f>'Technical Skills Weighting'!AB32+"`FU!$`2"</f>
        <v>#VALUE!</v>
      </c>
      <c r="DI65" t="e">
        <f>'Technical Skills Weighting'!AC32+"`FU!$`3"</f>
        <v>#VALUE!</v>
      </c>
      <c r="DJ65" t="e">
        <f>'Technical Skills Weighting'!AD32+"`FU!$`4"</f>
        <v>#VALUE!</v>
      </c>
      <c r="DK65" t="e">
        <f>'Technical Skills Weighting'!AE32+"`FU!$`5"</f>
        <v>#VALUE!</v>
      </c>
      <c r="DL65" t="e">
        <f>'Technical Skills Weighting'!AF32+"`FU!$`6"</f>
        <v>#VALUE!</v>
      </c>
      <c r="DM65" t="e">
        <f>'Technical Skills Weighting'!AG32+"`FU!$`7"</f>
        <v>#VALUE!</v>
      </c>
      <c r="DN65" t="e">
        <f>'Technical Skills Weighting'!AH32+"`FU!$`8"</f>
        <v>#VALUE!</v>
      </c>
      <c r="DO65" t="e">
        <f>'Technical Skills Weighting'!AI32+"`FU!$`9"</f>
        <v>#VALUE!</v>
      </c>
      <c r="DP65" t="e">
        <f>'Technical Skills Weighting'!AJ32+"`FU!$`:"</f>
        <v>#VALUE!</v>
      </c>
      <c r="DQ65" t="e">
        <f>'Technical Skills Weighting'!AK32+"`FU!$`;"</f>
        <v>#VALUE!</v>
      </c>
      <c r="DR65" t="e">
        <f>'Technical Skills Weighting'!AL32+"`FU!$`&lt;"</f>
        <v>#VALUE!</v>
      </c>
      <c r="DS65" t="e">
        <f>'Technical Skills Weighting'!AM32+"`FU!$`="</f>
        <v>#VALUE!</v>
      </c>
      <c r="DT65" t="e">
        <f>'Technical Skills Weighting'!AN32+"`FU!$`&gt;"</f>
        <v>#VALUE!</v>
      </c>
      <c r="DU65" t="e">
        <f>'Technical Skills Weighting'!AO32+"`FU!$`?"</f>
        <v>#VALUE!</v>
      </c>
      <c r="DV65" t="e">
        <f>'Technical Skills Weighting'!AP32+"`FU!$`@"</f>
        <v>#VALUE!</v>
      </c>
      <c r="DW65" t="e">
        <f>'Technical Skills Weighting'!AQ32+"`FU!$`A"</f>
        <v>#VALUE!</v>
      </c>
      <c r="DX65" t="e">
        <f>'Technical Skills Weighting'!AR32+"`FU!$`B"</f>
        <v>#VALUE!</v>
      </c>
      <c r="DY65" t="e">
        <f>'Technical Skills Weighting'!AS32+"`FU!$`C"</f>
        <v>#VALUE!</v>
      </c>
      <c r="DZ65" t="e">
        <f>'Technical Skills Weighting'!AT32+"`FU!$`D"</f>
        <v>#VALUE!</v>
      </c>
      <c r="EA65" t="e">
        <f>'Technical Skills Weighting'!AU32+"`FU!$`E"</f>
        <v>#VALUE!</v>
      </c>
      <c r="EB65" t="e">
        <f>'Technical Skills Weighting'!AV32+"`FU!$`F"</f>
        <v>#VALUE!</v>
      </c>
      <c r="EC65" t="e">
        <f>'Technical Skills Weighting'!AW32+"`FU!$`G"</f>
        <v>#VALUE!</v>
      </c>
      <c r="ED65" t="e">
        <f>'Technical Skills Weighting'!AX32+"`FU!$`H"</f>
        <v>#VALUE!</v>
      </c>
      <c r="EE65" t="e">
        <f>'Technical Skills Weighting'!AY32+"`FU!$`I"</f>
        <v>#VALUE!</v>
      </c>
      <c r="EF65" t="e">
        <f>'Technical Skills Weighting'!AZ32+"`FU!$`J"</f>
        <v>#VALUE!</v>
      </c>
      <c r="EG65" t="e">
        <f>'Technical Skills Weighting'!BA32+"`FU!$`K"</f>
        <v>#VALUE!</v>
      </c>
      <c r="EH65" t="e">
        <f>'Technical Skills Weighting'!BB32+"`FU!$`L"</f>
        <v>#VALUE!</v>
      </c>
      <c r="EI65" t="e">
        <f>'Technical Skills Weighting'!BC32+"`FU!$`M"</f>
        <v>#VALUE!</v>
      </c>
      <c r="EJ65" t="e">
        <f>'Technical Skills Weighting'!BD32+"`FU!$`N"</f>
        <v>#VALUE!</v>
      </c>
      <c r="EK65" t="e">
        <f>'Technical Skills Weighting'!BE32+"`FU!$`O"</f>
        <v>#VALUE!</v>
      </c>
      <c r="EL65" t="e">
        <f>'Technical Skills Weighting'!BF32+"`FU!$`P"</f>
        <v>#VALUE!</v>
      </c>
      <c r="EM65" t="e">
        <f>'Technical Skills Weighting'!BG32+"`FU!$`Q"</f>
        <v>#VALUE!</v>
      </c>
      <c r="EN65" t="e">
        <f>'Technical Skills Weighting'!BH32+"`FU!$`R"</f>
        <v>#VALUE!</v>
      </c>
      <c r="EO65" t="e">
        <f>'Technical Skills Weighting'!BI32+"`FU!$`S"</f>
        <v>#VALUE!</v>
      </c>
      <c r="EP65" t="e">
        <f>'Technical Skills Weighting'!BJ32+"`FU!$`T"</f>
        <v>#VALUE!</v>
      </c>
      <c r="EQ65" t="e">
        <f>'Technical Skills Weighting'!BK32+"`FU!$`U"</f>
        <v>#VALUE!</v>
      </c>
      <c r="ER65" t="e">
        <f>'Technical Skills Weighting'!BL32+"`FU!$`V"</f>
        <v>#VALUE!</v>
      </c>
      <c r="ES65" t="e">
        <f>'Technical Skills Weighting'!BM32+"`FU!$`W"</f>
        <v>#VALUE!</v>
      </c>
      <c r="ET65" t="e">
        <f>'Technical Skills Weighting'!BN32+"`FU!$`X"</f>
        <v>#VALUE!</v>
      </c>
      <c r="EU65" t="e">
        <f>'Technical Skills Weighting'!BO32+"`FU!$`Y"</f>
        <v>#VALUE!</v>
      </c>
      <c r="EV65" t="e">
        <f>'Technical Skills Weighting'!BP32+"`FU!$`Z"</f>
        <v>#VALUE!</v>
      </c>
      <c r="EW65" t="e">
        <f>'Technical Skills Weighting'!BQ32+"`FU!$`["</f>
        <v>#VALUE!</v>
      </c>
      <c r="EX65" t="e">
        <f>'Technical Skills Weighting'!BR32+"`FU!$`\"</f>
        <v>#VALUE!</v>
      </c>
      <c r="EY65" t="e">
        <f>'Technical Skills Weighting'!BS32+"`FU!$`]"</f>
        <v>#VALUE!</v>
      </c>
      <c r="EZ65" t="e">
        <f>'Technical Skills Weighting'!BT32+"`FU!$`^"</f>
        <v>#VALUE!</v>
      </c>
      <c r="FA65" t="e">
        <f>'Technical Skills Weighting'!BU32+"`FU!$`_"</f>
        <v>#VALUE!</v>
      </c>
      <c r="FB65" t="e">
        <f>'Technical Skills Weighting'!BV32+"`FU!$``"</f>
        <v>#VALUE!</v>
      </c>
      <c r="FC65" t="e">
        <f>'Technical Skills Weighting'!BW32+"`FU!$`a"</f>
        <v>#VALUE!</v>
      </c>
      <c r="FD65" t="e">
        <f>'Technical Skills Weighting'!BX32+"`FU!$`b"</f>
        <v>#VALUE!</v>
      </c>
      <c r="FE65" t="e">
        <f>'Technical Skills Weighting'!BY32+"`FU!$`c"</f>
        <v>#VALUE!</v>
      </c>
      <c r="FF65" t="e">
        <f>'Technical Skills Weighting'!BZ32+"`FU!$`d"</f>
        <v>#VALUE!</v>
      </c>
      <c r="FG65" t="e">
        <f>'Technical Skills Weighting'!CA32+"`FU!$`e"</f>
        <v>#VALUE!</v>
      </c>
      <c r="FH65" t="e">
        <f>'Technical Skills Weighting'!CB32+"`FU!$`f"</f>
        <v>#VALUE!</v>
      </c>
      <c r="FI65" t="e">
        <f>'Technical Skills Weighting'!CC32+"`FU!$`g"</f>
        <v>#VALUE!</v>
      </c>
      <c r="FJ65" t="e">
        <f>'Technical Skills Weighting'!CD32+"`FU!$`h"</f>
        <v>#VALUE!</v>
      </c>
      <c r="FK65" t="e">
        <f>'Technical Skills Weighting'!CE32+"`FU!$`i"</f>
        <v>#VALUE!</v>
      </c>
      <c r="FL65" t="e">
        <f>'Technical Skills Weighting'!CF32+"`FU!$`j"</f>
        <v>#VALUE!</v>
      </c>
      <c r="FM65" t="e">
        <f>'Technical Skills Weighting'!CG32+"`FU!$`k"</f>
        <v>#VALUE!</v>
      </c>
      <c r="FN65" t="e">
        <f>'Technical Skills Weighting'!CH32+"`FU!$`l"</f>
        <v>#VALUE!</v>
      </c>
      <c r="FO65" t="e">
        <f>'Technical Skills Weighting'!CI32+"`FU!$`m"</f>
        <v>#VALUE!</v>
      </c>
      <c r="FP65" t="e">
        <f>'Technical Skills Weighting'!CJ32+"`FU!$`n"</f>
        <v>#VALUE!</v>
      </c>
      <c r="FQ65" t="e">
        <f>'Technical Skills Weighting'!CK32+"`FU!$`o"</f>
        <v>#VALUE!</v>
      </c>
      <c r="FR65" t="e">
        <f>'Technical Skills Weighting'!CL32+"`FU!$`p"</f>
        <v>#VALUE!</v>
      </c>
      <c r="FS65" t="e">
        <f>'Technical Skills Weighting'!CM32+"`FU!$`q"</f>
        <v>#VALUE!</v>
      </c>
      <c r="FT65" t="e">
        <f>'Technical Skills Weighting'!CN32+"`FU!$`r"</f>
        <v>#VALUE!</v>
      </c>
      <c r="FU65" t="e">
        <f>'Technical Skills Weighting'!CO32+"`FU!$`s"</f>
        <v>#VALUE!</v>
      </c>
      <c r="FV65" t="e">
        <f>'Technical Skills Weighting'!CP32+"`FU!$`t"</f>
        <v>#VALUE!</v>
      </c>
      <c r="FW65" t="e">
        <f>'Technical Skills Weighting'!CQ32+"`FU!$`u"</f>
        <v>#VALUE!</v>
      </c>
      <c r="FX65" t="e">
        <f>'Technical Skills Weighting'!CR32+"`FU!$`v"</f>
        <v>#VALUE!</v>
      </c>
      <c r="FY65" t="e">
        <f>'Technical Skills Weighting'!CS32+"`FU!$`w"</f>
        <v>#VALUE!</v>
      </c>
      <c r="FZ65" t="e">
        <f>'Technical Skills Weighting'!CT32+"`FU!$`x"</f>
        <v>#VALUE!</v>
      </c>
      <c r="GA65" t="e">
        <f>'Technical Skills Weighting'!CU32+"`FU!$`y"</f>
        <v>#VALUE!</v>
      </c>
      <c r="GB65" t="e">
        <f>'Technical Skills Weighting'!CV32+"`FU!$`z"</f>
        <v>#VALUE!</v>
      </c>
      <c r="GC65" t="e">
        <f>'Technical Skills Weighting'!CW32+"`FU!$`{"</f>
        <v>#VALUE!</v>
      </c>
      <c r="GD65" t="e">
        <f>'Technical Skills Weighting'!CX32+"`FU!$`|"</f>
        <v>#VALUE!</v>
      </c>
      <c r="GE65" t="e">
        <f>'Technical Skills Weighting'!CY32+"`FU!$`}"</f>
        <v>#VALUE!</v>
      </c>
      <c r="GF65" t="e">
        <f>'Technical Skills Weighting'!CZ32+"`FU!$`~"</f>
        <v>#VALUE!</v>
      </c>
      <c r="GG65" t="e">
        <f>'Technical Skills Weighting'!DA32+"`FU!$a#"</f>
        <v>#VALUE!</v>
      </c>
      <c r="GH65" t="e">
        <f>'Technical Skills Weighting'!DB32+"`FU!$a$"</f>
        <v>#VALUE!</v>
      </c>
      <c r="GI65" t="e">
        <f>'Technical Skills Weighting'!DC32+"`FU!$a%"</f>
        <v>#VALUE!</v>
      </c>
      <c r="GJ65" t="e">
        <f>'Technical Skills Weighting'!DD32+"`FU!$a&amp;"</f>
        <v>#VALUE!</v>
      </c>
      <c r="GK65" t="e">
        <f>'Technical Skills Weighting'!DE32+"`FU!$a'"</f>
        <v>#VALUE!</v>
      </c>
      <c r="GL65" t="e">
        <f>'Technical Skills Weighting'!DF32+"`FU!$a("</f>
        <v>#VALUE!</v>
      </c>
      <c r="GM65" t="e">
        <f>'Technical Skills Weighting'!DG32+"`FU!$a)"</f>
        <v>#VALUE!</v>
      </c>
      <c r="GN65" t="e">
        <f>'Technical Skills Weighting'!DH32+"`FU!$a."</f>
        <v>#VALUE!</v>
      </c>
      <c r="GO65" t="e">
        <f>'Technical Skills Weighting'!DI32+"`FU!$a/"</f>
        <v>#VALUE!</v>
      </c>
      <c r="GP65" t="e">
        <f>'Technical Skills Weighting'!DJ32+"`FU!$a0"</f>
        <v>#VALUE!</v>
      </c>
      <c r="GQ65" t="e">
        <f>'Technical Skills Weighting'!DK32+"`FU!$a1"</f>
        <v>#VALUE!</v>
      </c>
      <c r="GR65" t="e">
        <f>'Technical Skills Weighting'!DL32+"`FU!$a2"</f>
        <v>#VALUE!</v>
      </c>
      <c r="GS65" t="e">
        <f>'Technical Skills Weighting'!DM32+"`FU!$a3"</f>
        <v>#VALUE!</v>
      </c>
      <c r="GT65" t="e">
        <f>'Technical Skills Weighting'!DN32+"`FU!$a4"</f>
        <v>#VALUE!</v>
      </c>
      <c r="GU65" t="e">
        <f>'Technical Skills Weighting'!DO32+"`FU!$a5"</f>
        <v>#VALUE!</v>
      </c>
      <c r="GV65" t="e">
        <f>'Technical Skills Weighting'!DP32+"`FU!$a6"</f>
        <v>#VALUE!</v>
      </c>
      <c r="GW65" t="e">
        <f>'Technical Skills Weighting'!DQ32+"`FU!$a7"</f>
        <v>#VALUE!</v>
      </c>
      <c r="GX65" t="e">
        <f>'Technical Skills Weighting'!DR32+"`FU!$a8"</f>
        <v>#VALUE!</v>
      </c>
      <c r="GY65" t="e">
        <f>'Technical Skills Weighting'!DS32+"`FU!$a9"</f>
        <v>#VALUE!</v>
      </c>
      <c r="GZ65" t="e">
        <f>'Technical Skills Weighting'!DT32+"`FU!$a:"</f>
        <v>#VALUE!</v>
      </c>
      <c r="HA65" t="e">
        <f>'Technical Skills Weighting'!DU32+"`FU!$a;"</f>
        <v>#VALUE!</v>
      </c>
      <c r="HB65" t="e">
        <f>'Technical Skills Weighting'!DV32+"`FU!$a&lt;"</f>
        <v>#VALUE!</v>
      </c>
      <c r="HC65" t="e">
        <f>'Technical Skills Weighting'!DW32+"`FU!$a="</f>
        <v>#VALUE!</v>
      </c>
      <c r="HD65" t="e">
        <f>'Technical Skills Weighting'!DX32+"`FU!$a&gt;"</f>
        <v>#VALUE!</v>
      </c>
      <c r="HE65" t="e">
        <f>'Technical Skills Weighting'!DY32+"`FU!$a?"</f>
        <v>#VALUE!</v>
      </c>
      <c r="HF65" t="e">
        <f>'Technical Skills Weighting'!DZ32+"`FU!$a@"</f>
        <v>#VALUE!</v>
      </c>
      <c r="HG65" t="e">
        <f>'Technical Skills Weighting'!EA32+"`FU!$aA"</f>
        <v>#VALUE!</v>
      </c>
      <c r="HH65" t="e">
        <f>'Technical Skills Weighting'!EB32+"`FU!$aB"</f>
        <v>#VALUE!</v>
      </c>
      <c r="HI65" t="e">
        <f>'Technical Skills Weighting'!EC32+"`FU!$aC"</f>
        <v>#VALUE!</v>
      </c>
      <c r="HJ65" t="e">
        <f>'Technical Skills Weighting'!ED32+"`FU!$aD"</f>
        <v>#VALUE!</v>
      </c>
      <c r="HK65" t="e">
        <f>'Technical Skills Weighting'!EE32+"`FU!$aE"</f>
        <v>#VALUE!</v>
      </c>
      <c r="HL65" t="e">
        <f>'Technical Skills Weighting'!EF32+"`FU!$aF"</f>
        <v>#VALUE!</v>
      </c>
      <c r="HM65" t="e">
        <f>'Technical Skills Weighting'!EG32+"`FU!$aG"</f>
        <v>#VALUE!</v>
      </c>
      <c r="HN65" t="e">
        <f>'Technical Skills Weighting'!EH32+"`FU!$aH"</f>
        <v>#VALUE!</v>
      </c>
      <c r="HO65" t="e">
        <f>'Technical Skills Weighting'!EI32+"`FU!$aI"</f>
        <v>#VALUE!</v>
      </c>
      <c r="HP65" t="e">
        <f>'Technical Skills Weighting'!EJ32+"`FU!$aJ"</f>
        <v>#VALUE!</v>
      </c>
      <c r="HQ65" t="e">
        <f>'Technical Skills Weighting'!EK32+"`FU!$aK"</f>
        <v>#VALUE!</v>
      </c>
      <c r="HR65" t="e">
        <f>'Technical Skills Weighting'!EL32+"`FU!$aL"</f>
        <v>#VALUE!</v>
      </c>
      <c r="HS65" t="e">
        <f>'Technical Skills Weighting'!EM32+"`FU!$aM"</f>
        <v>#VALUE!</v>
      </c>
      <c r="HT65" t="e">
        <f>'Technical Skills Weighting'!EN32+"`FU!$aN"</f>
        <v>#VALUE!</v>
      </c>
      <c r="HU65" t="e">
        <f>'Technical Skills Weighting'!EO32+"`FU!$aO"</f>
        <v>#VALUE!</v>
      </c>
      <c r="HV65" t="e">
        <f>'Technical Skills Weighting'!EP32+"`FU!$aP"</f>
        <v>#VALUE!</v>
      </c>
      <c r="HW65" t="e">
        <f>'Technical Skills Weighting'!EQ32+"`FU!$aQ"</f>
        <v>#VALUE!</v>
      </c>
      <c r="HX65" t="e">
        <f>'Technical Skills Weighting'!ER32+"`FU!$aR"</f>
        <v>#VALUE!</v>
      </c>
      <c r="HY65" t="e">
        <f>'Technical Skills Weighting'!ES32+"`FU!$aS"</f>
        <v>#VALUE!</v>
      </c>
      <c r="HZ65" t="e">
        <f>'Technical Skills Weighting'!ET32+"`FU!$aT"</f>
        <v>#VALUE!</v>
      </c>
      <c r="IA65" t="e">
        <f>'Technical Skills Weighting'!EU32+"`FU!$aU"</f>
        <v>#VALUE!</v>
      </c>
      <c r="IB65" t="e">
        <f>'Technical Skills Weighting'!EV32+"`FU!$aV"</f>
        <v>#VALUE!</v>
      </c>
      <c r="IC65" t="e">
        <f>'Technical Skills Weighting'!EW32+"`FU!$aW"</f>
        <v>#VALUE!</v>
      </c>
      <c r="ID65" t="e">
        <f>'Technical Skills Weighting'!EX32+"`FU!$aX"</f>
        <v>#VALUE!</v>
      </c>
      <c r="IE65" t="e">
        <f>'Technical Skills Weighting'!EY32+"`FU!$aY"</f>
        <v>#VALUE!</v>
      </c>
      <c r="IF65" t="e">
        <f>'Technical Skills Weighting'!EZ32+"`FU!$aZ"</f>
        <v>#VALUE!</v>
      </c>
      <c r="IG65" t="e">
        <f>'Technical Skills Weighting'!FA32+"`FU!$a["</f>
        <v>#VALUE!</v>
      </c>
      <c r="IH65" t="e">
        <f>'Technical Skills Weighting'!FB32+"`FU!$a\"</f>
        <v>#VALUE!</v>
      </c>
      <c r="II65" t="e">
        <f>'Technical Skills Weighting'!FC32+"`FU!$a]"</f>
        <v>#VALUE!</v>
      </c>
      <c r="IJ65" t="e">
        <f>'Technical Skills Weighting'!FD32+"`FU!$a^"</f>
        <v>#VALUE!</v>
      </c>
      <c r="IK65" t="e">
        <f>'Technical Skills Weighting'!FE32+"`FU!$a_"</f>
        <v>#VALUE!</v>
      </c>
      <c r="IL65" t="e">
        <f>'Technical Skills Weighting'!FF32+"`FU!$a`"</f>
        <v>#VALUE!</v>
      </c>
      <c r="IM65" t="e">
        <f>'Technical Skills Weighting'!FG32+"`FU!$aa"</f>
        <v>#VALUE!</v>
      </c>
      <c r="IN65" t="e">
        <f>'Technical Skills Weighting'!FH32+"`FU!$ab"</f>
        <v>#VALUE!</v>
      </c>
      <c r="IO65" t="e">
        <f>'Technical Skills Weighting'!FI32+"`FU!$ac"</f>
        <v>#VALUE!</v>
      </c>
      <c r="IP65" t="e">
        <f>'Technical Skills Weighting'!FJ32+"`FU!$ad"</f>
        <v>#VALUE!</v>
      </c>
      <c r="IQ65" t="e">
        <f>'Technical Skills Weighting'!FK32+"`FU!$ae"</f>
        <v>#VALUE!</v>
      </c>
      <c r="IR65" t="e">
        <f>'Technical Skills Weighting'!FL32+"`FU!$af"</f>
        <v>#VALUE!</v>
      </c>
      <c r="IS65" t="e">
        <f>'Technical Skills Weighting'!FM32+"`FU!$ag"</f>
        <v>#VALUE!</v>
      </c>
      <c r="IT65" t="e">
        <f>'Technical Skills Weighting'!FN32+"`FU!$ah"</f>
        <v>#VALUE!</v>
      </c>
      <c r="IU65" t="e">
        <f>'Technical Skills Weighting'!FO32+"`FU!$ai"</f>
        <v>#VALUE!</v>
      </c>
      <c r="IV65" t="e">
        <f>'Technical Skills Weighting'!FP32+"`FU!$aj"</f>
        <v>#VALUE!</v>
      </c>
    </row>
    <row r="66" spans="6:256" x14ac:dyDescent="0.25">
      <c r="F66" t="e">
        <f>'Technical Skills Weighting'!FQ32+"`FU!$ak"</f>
        <v>#VALUE!</v>
      </c>
      <c r="G66" t="e">
        <f>'Technical Skills Weighting'!FR32+"`FU!$al"</f>
        <v>#VALUE!</v>
      </c>
      <c r="H66" t="e">
        <f>'Technical Skills Weighting'!FS32+"`FU!$am"</f>
        <v>#VALUE!</v>
      </c>
      <c r="I66" t="e">
        <f>'Technical Skills Weighting'!FT32+"`FU!$an"</f>
        <v>#VALUE!</v>
      </c>
      <c r="J66" t="e">
        <f>'Technical Skills Weighting'!FU32+"`FU!$ao"</f>
        <v>#VALUE!</v>
      </c>
      <c r="K66" t="e">
        <f>'Technical Skills Weighting'!FV32+"`FU!$ap"</f>
        <v>#VALUE!</v>
      </c>
      <c r="L66" t="e">
        <f>'Technical Skills Weighting'!FW32+"`FU!$aq"</f>
        <v>#VALUE!</v>
      </c>
      <c r="M66" t="e">
        <f>'Technical Skills Weighting'!FX32+"`FU!$ar"</f>
        <v>#VALUE!</v>
      </c>
      <c r="N66" t="e">
        <f>'Technical Skills Weighting'!FY32+"`FU!$as"</f>
        <v>#VALUE!</v>
      </c>
      <c r="O66" t="e">
        <f>'Technical Skills Weighting'!FZ32+"`FU!$at"</f>
        <v>#VALUE!</v>
      </c>
      <c r="P66" t="e">
        <f>'Technical Skills Weighting'!GA32+"`FU!$au"</f>
        <v>#VALUE!</v>
      </c>
      <c r="Q66" t="e">
        <f>'Technical Skills Weighting'!GB32+"`FU!$av"</f>
        <v>#VALUE!</v>
      </c>
      <c r="R66" t="e">
        <f>'Technical Skills Weighting'!GC32+"`FU!$aw"</f>
        <v>#VALUE!</v>
      </c>
      <c r="S66" t="e">
        <f>'Technical Skills Weighting'!GD32+"`FU!$ax"</f>
        <v>#VALUE!</v>
      </c>
      <c r="T66" t="e">
        <f>'Technical Skills Weighting'!GE32+"`FU!$ay"</f>
        <v>#VALUE!</v>
      </c>
      <c r="U66" t="e">
        <f>'Technical Skills Weighting'!GF32+"`FU!$az"</f>
        <v>#VALUE!</v>
      </c>
      <c r="V66" t="e">
        <f>'Technical Skills Weighting'!GG32+"`FU!$a{"</f>
        <v>#VALUE!</v>
      </c>
      <c r="W66" t="e">
        <f>'Technical Skills Weighting'!D33+"`FU!$a|"</f>
        <v>#VALUE!</v>
      </c>
      <c r="X66" t="e">
        <f>'Technical Skills Weighting'!E33+"`FU!$a}"</f>
        <v>#VALUE!</v>
      </c>
      <c r="Y66" t="e">
        <f>'Technical Skills Weighting'!F33+"`FU!$a~"</f>
        <v>#VALUE!</v>
      </c>
      <c r="Z66" t="e">
        <f>'Technical Skills Weighting'!G33+"`FU!$b#"</f>
        <v>#VALUE!</v>
      </c>
      <c r="AA66" t="e">
        <f>'Technical Skills Weighting'!A34+"`FU!$b$"</f>
        <v>#VALUE!</v>
      </c>
      <c r="AB66" t="e">
        <f>'Technical Skills Weighting'!D34+"`FU!$b%"</f>
        <v>#VALUE!</v>
      </c>
      <c r="AC66" t="e">
        <f>'Technical Skills Weighting'!E34+"`FU!$b&amp;"</f>
        <v>#VALUE!</v>
      </c>
      <c r="AD66" t="e">
        <f>'Technical Skills Weighting'!F34+"`FU!$b'"</f>
        <v>#VALUE!</v>
      </c>
      <c r="AE66" t="e">
        <f>'Technical Skills Weighting'!G34+"`FU!$b("</f>
        <v>#VALUE!</v>
      </c>
      <c r="AF66" t="e">
        <f>'Technical Skills Weighting'!H34+"`FU!$b)"</f>
        <v>#VALUE!</v>
      </c>
      <c r="AG66" t="e">
        <f>'Technical Skills Weighting'!I34+"`FU!$b."</f>
        <v>#VALUE!</v>
      </c>
      <c r="AH66" t="e">
        <f>'Technical Skills Weighting'!J34+"`FU!$b/"</f>
        <v>#VALUE!</v>
      </c>
      <c r="AI66" t="e">
        <f>'Technical Skills Weighting'!K34+"`FU!$b0"</f>
        <v>#VALUE!</v>
      </c>
      <c r="AJ66" t="e">
        <f>'Technical Skills Weighting'!L34+"`FU!$b1"</f>
        <v>#VALUE!</v>
      </c>
      <c r="AK66" t="e">
        <f>'Technical Skills Weighting'!M34+"`FU!$b2"</f>
        <v>#VALUE!</v>
      </c>
      <c r="AL66" t="e">
        <f>'Technical Skills Weighting'!N34+"`FU!$b3"</f>
        <v>#VALUE!</v>
      </c>
      <c r="AM66" t="e">
        <f>'Technical Skills Weighting'!O34+"`FU!$b4"</f>
        <v>#VALUE!</v>
      </c>
      <c r="AN66" t="e">
        <f>'Technical Skills Weighting'!P34+"`FU!$b5"</f>
        <v>#VALUE!</v>
      </c>
      <c r="AO66" t="e">
        <f>'Technical Skills Weighting'!Q34+"`FU!$b6"</f>
        <v>#VALUE!</v>
      </c>
      <c r="AP66" t="e">
        <f>'Technical Skills Weighting'!R34+"`FU!$b7"</f>
        <v>#VALUE!</v>
      </c>
      <c r="AQ66" t="e">
        <f>'Technical Skills Weighting'!S34+"`FU!$b8"</f>
        <v>#VALUE!</v>
      </c>
      <c r="AR66" t="e">
        <f>'Technical Skills Weighting'!T34+"`FU!$b9"</f>
        <v>#VALUE!</v>
      </c>
      <c r="AS66" t="e">
        <f>'Technical Skills Weighting'!U34+"`FU!$b:"</f>
        <v>#VALUE!</v>
      </c>
      <c r="AT66" t="e">
        <f>'Technical Skills Weighting'!V34+"`FU!$b;"</f>
        <v>#VALUE!</v>
      </c>
      <c r="AU66" t="e">
        <f>'Technical Skills Weighting'!W34+"`FU!$b&lt;"</f>
        <v>#VALUE!</v>
      </c>
      <c r="AV66" t="e">
        <f>'Technical Skills Weighting'!X34+"`FU!$b="</f>
        <v>#VALUE!</v>
      </c>
      <c r="AW66" t="e">
        <f>'Technical Skills Weighting'!Y34+"`FU!$b&gt;"</f>
        <v>#VALUE!</v>
      </c>
      <c r="AX66" t="e">
        <f>'Technical Skills Weighting'!Z34+"`FU!$b?"</f>
        <v>#VALUE!</v>
      </c>
      <c r="AY66" t="e">
        <f>'Technical Skills Weighting'!AA34+"`FU!$b@"</f>
        <v>#VALUE!</v>
      </c>
      <c r="AZ66" t="e">
        <f>'Technical Skills Weighting'!AB34+"`FU!$bA"</f>
        <v>#VALUE!</v>
      </c>
      <c r="BA66" t="e">
        <f>'Technical Skills Weighting'!AC34+"`FU!$bB"</f>
        <v>#VALUE!</v>
      </c>
      <c r="BB66" t="e">
        <f>'Technical Skills Weighting'!AD34+"`FU!$bC"</f>
        <v>#VALUE!</v>
      </c>
      <c r="BC66" t="e">
        <f>'Technical Skills Weighting'!AE34+"`FU!$bD"</f>
        <v>#VALUE!</v>
      </c>
      <c r="BD66" t="e">
        <f>'Technical Skills Weighting'!AF34+"`FU!$bE"</f>
        <v>#VALUE!</v>
      </c>
      <c r="BE66" t="e">
        <f>'Technical Skills Weighting'!AG34+"`FU!$bF"</f>
        <v>#VALUE!</v>
      </c>
      <c r="BF66" t="e">
        <f>'Technical Skills Weighting'!AH34+"`FU!$bG"</f>
        <v>#VALUE!</v>
      </c>
      <c r="BG66" t="e">
        <f>'Technical Skills Weighting'!AI34+"`FU!$bH"</f>
        <v>#VALUE!</v>
      </c>
      <c r="BH66" t="e">
        <f>'Technical Skills Weighting'!AJ34+"`FU!$bI"</f>
        <v>#VALUE!</v>
      </c>
      <c r="BI66" t="e">
        <f>'Technical Skills Weighting'!AK34+"`FU!$bJ"</f>
        <v>#VALUE!</v>
      </c>
      <c r="BJ66" t="e">
        <f>'Technical Skills Weighting'!AL34+"`FU!$bK"</f>
        <v>#VALUE!</v>
      </c>
      <c r="BK66" t="e">
        <f>'Technical Skills Weighting'!AM34+"`FU!$bL"</f>
        <v>#VALUE!</v>
      </c>
      <c r="BL66" t="e">
        <f>'Technical Skills Weighting'!AN34+"`FU!$bM"</f>
        <v>#VALUE!</v>
      </c>
      <c r="BM66" t="e">
        <f>'Technical Skills Weighting'!AO34+"`FU!$bN"</f>
        <v>#VALUE!</v>
      </c>
      <c r="BN66" t="e">
        <f>'Technical Skills Weighting'!AP34+"`FU!$bO"</f>
        <v>#VALUE!</v>
      </c>
      <c r="BO66" t="e">
        <f>'Technical Skills Weighting'!AQ34+"`FU!$bP"</f>
        <v>#VALUE!</v>
      </c>
      <c r="BP66" t="e">
        <f>'Technical Skills Weighting'!AR34+"`FU!$bQ"</f>
        <v>#VALUE!</v>
      </c>
      <c r="BQ66" t="e">
        <f>'Technical Skills Weighting'!AS34+"`FU!$bR"</f>
        <v>#VALUE!</v>
      </c>
      <c r="BR66" t="e">
        <f>'Technical Skills Weighting'!AT34+"`FU!$bS"</f>
        <v>#VALUE!</v>
      </c>
      <c r="BS66" t="e">
        <f>'Technical Skills Weighting'!AU34+"`FU!$bT"</f>
        <v>#VALUE!</v>
      </c>
      <c r="BT66" t="e">
        <f>'Technical Skills Weighting'!AV34+"`FU!$bU"</f>
        <v>#VALUE!</v>
      </c>
      <c r="BU66" t="e">
        <f>'Technical Skills Weighting'!AW34+"`FU!$bV"</f>
        <v>#VALUE!</v>
      </c>
      <c r="BV66" t="e">
        <f>'Technical Skills Weighting'!AX34+"`FU!$bW"</f>
        <v>#VALUE!</v>
      </c>
      <c r="BW66" t="e">
        <f>'Technical Skills Weighting'!AY34+"`FU!$bX"</f>
        <v>#VALUE!</v>
      </c>
      <c r="BX66" t="e">
        <f>'Technical Skills Weighting'!AZ34+"`FU!$bY"</f>
        <v>#VALUE!</v>
      </c>
      <c r="BY66" t="e">
        <f>'Technical Skills Weighting'!BA34+"`FU!$bZ"</f>
        <v>#VALUE!</v>
      </c>
      <c r="BZ66" t="e">
        <f>'Technical Skills Weighting'!BB34+"`FU!$b["</f>
        <v>#VALUE!</v>
      </c>
      <c r="CA66" t="e">
        <f>'Technical Skills Weighting'!BC34+"`FU!$b\"</f>
        <v>#VALUE!</v>
      </c>
      <c r="CB66" t="e">
        <f>'Technical Skills Weighting'!BD34+"`FU!$b]"</f>
        <v>#VALUE!</v>
      </c>
      <c r="CC66" t="e">
        <f>'Technical Skills Weighting'!BE34+"`FU!$b^"</f>
        <v>#VALUE!</v>
      </c>
      <c r="CD66" t="e">
        <f>'Technical Skills Weighting'!BF34+"`FU!$b_"</f>
        <v>#VALUE!</v>
      </c>
      <c r="CE66" t="e">
        <f>'Technical Skills Weighting'!BG34+"`FU!$b`"</f>
        <v>#VALUE!</v>
      </c>
      <c r="CF66" t="e">
        <f>'Technical Skills Weighting'!BH34+"`FU!$ba"</f>
        <v>#VALUE!</v>
      </c>
      <c r="CG66" t="e">
        <f>'Technical Skills Weighting'!BI34+"`FU!$bb"</f>
        <v>#VALUE!</v>
      </c>
      <c r="CH66" t="e">
        <f>'Technical Skills Weighting'!BJ34+"`FU!$bc"</f>
        <v>#VALUE!</v>
      </c>
      <c r="CI66" t="e">
        <f>'Technical Skills Weighting'!BK34+"`FU!$bd"</f>
        <v>#VALUE!</v>
      </c>
      <c r="CJ66" t="e">
        <f>'Technical Skills Weighting'!BL34+"`FU!$be"</f>
        <v>#VALUE!</v>
      </c>
      <c r="CK66" t="e">
        <f>'Technical Skills Weighting'!BM34+"`FU!$bf"</f>
        <v>#VALUE!</v>
      </c>
      <c r="CL66" t="e">
        <f>'Technical Skills Weighting'!BN34+"`FU!$bg"</f>
        <v>#VALUE!</v>
      </c>
      <c r="CM66" t="e">
        <f>'Technical Skills Weighting'!BO34+"`FU!$bh"</f>
        <v>#VALUE!</v>
      </c>
      <c r="CN66" t="e">
        <f>'Technical Skills Weighting'!BP34+"`FU!$bi"</f>
        <v>#VALUE!</v>
      </c>
      <c r="CO66" t="e">
        <f>'Technical Skills Weighting'!BQ34+"`FU!$bj"</f>
        <v>#VALUE!</v>
      </c>
      <c r="CP66" t="e">
        <f>'Technical Skills Weighting'!BR34+"`FU!$bk"</f>
        <v>#VALUE!</v>
      </c>
      <c r="CQ66" t="e">
        <f>'Technical Skills Weighting'!BS34+"`FU!$bl"</f>
        <v>#VALUE!</v>
      </c>
      <c r="CR66" t="e">
        <f>'Technical Skills Weighting'!BT34+"`FU!$bm"</f>
        <v>#VALUE!</v>
      </c>
      <c r="CS66" t="e">
        <f>'Technical Skills Weighting'!BU34+"`FU!$bn"</f>
        <v>#VALUE!</v>
      </c>
      <c r="CT66" t="e">
        <f>'Technical Skills Weighting'!BV34+"`FU!$bo"</f>
        <v>#VALUE!</v>
      </c>
      <c r="CU66" t="e">
        <f>'Technical Skills Weighting'!BW34+"`FU!$bp"</f>
        <v>#VALUE!</v>
      </c>
      <c r="CV66" t="e">
        <f>'Technical Skills Weighting'!BX34+"`FU!$bq"</f>
        <v>#VALUE!</v>
      </c>
      <c r="CW66" t="e">
        <f>'Technical Skills Weighting'!BY34+"`FU!$br"</f>
        <v>#VALUE!</v>
      </c>
      <c r="CX66" t="e">
        <f>'Technical Skills Weighting'!BZ34+"`FU!$bs"</f>
        <v>#VALUE!</v>
      </c>
      <c r="CY66" t="e">
        <f>'Technical Skills Weighting'!CA34+"`FU!$bt"</f>
        <v>#VALUE!</v>
      </c>
      <c r="CZ66" t="e">
        <f>'Technical Skills Weighting'!CB34+"`FU!$bu"</f>
        <v>#VALUE!</v>
      </c>
      <c r="DA66" t="e">
        <f>'Technical Skills Weighting'!CC34+"`FU!$bv"</f>
        <v>#VALUE!</v>
      </c>
      <c r="DB66" t="e">
        <f>'Technical Skills Weighting'!CD34+"`FU!$bw"</f>
        <v>#VALUE!</v>
      </c>
      <c r="DC66" t="e">
        <f>'Technical Skills Weighting'!CE34+"`FU!$bx"</f>
        <v>#VALUE!</v>
      </c>
      <c r="DD66" t="e">
        <f>'Technical Skills Weighting'!CF34+"`FU!$by"</f>
        <v>#VALUE!</v>
      </c>
      <c r="DE66" t="e">
        <f>'Technical Skills Weighting'!CG34+"`FU!$bz"</f>
        <v>#VALUE!</v>
      </c>
      <c r="DF66" t="e">
        <f>'Technical Skills Weighting'!CH34+"`FU!$b{"</f>
        <v>#VALUE!</v>
      </c>
      <c r="DG66" t="e">
        <f>'Technical Skills Weighting'!CI34+"`FU!$b|"</f>
        <v>#VALUE!</v>
      </c>
      <c r="DH66" t="e">
        <f>'Technical Skills Weighting'!CJ34+"`FU!$b}"</f>
        <v>#VALUE!</v>
      </c>
      <c r="DI66" t="e">
        <f>'Technical Skills Weighting'!CK34+"`FU!$b~"</f>
        <v>#VALUE!</v>
      </c>
      <c r="DJ66" t="e">
        <f>'Technical Skills Weighting'!CL34+"`FU!$c#"</f>
        <v>#VALUE!</v>
      </c>
      <c r="DK66" t="e">
        <f>'Technical Skills Weighting'!CM34+"`FU!$c$"</f>
        <v>#VALUE!</v>
      </c>
      <c r="DL66" t="e">
        <f>'Technical Skills Weighting'!CN34+"`FU!$c%"</f>
        <v>#VALUE!</v>
      </c>
      <c r="DM66" t="e">
        <f>'Technical Skills Weighting'!CO34+"`FU!$c&amp;"</f>
        <v>#VALUE!</v>
      </c>
      <c r="DN66" t="e">
        <f>'Technical Skills Weighting'!CP34+"`FU!$c'"</f>
        <v>#VALUE!</v>
      </c>
      <c r="DO66" t="e">
        <f>'Technical Skills Weighting'!CQ34+"`FU!$c("</f>
        <v>#VALUE!</v>
      </c>
      <c r="DP66" t="e">
        <f>'Technical Skills Weighting'!CR34+"`FU!$c)"</f>
        <v>#VALUE!</v>
      </c>
      <c r="DQ66" t="e">
        <f>'Technical Skills Weighting'!CS34+"`FU!$c."</f>
        <v>#VALUE!</v>
      </c>
      <c r="DR66" t="e">
        <f>'Technical Skills Weighting'!CT34+"`FU!$c/"</f>
        <v>#VALUE!</v>
      </c>
      <c r="DS66" t="e">
        <f>'Technical Skills Weighting'!CU34+"`FU!$c0"</f>
        <v>#VALUE!</v>
      </c>
      <c r="DT66" t="e">
        <f>'Technical Skills Weighting'!CV34+"`FU!$c1"</f>
        <v>#VALUE!</v>
      </c>
      <c r="DU66" t="e">
        <f>'Technical Skills Weighting'!CW34+"`FU!$c2"</f>
        <v>#VALUE!</v>
      </c>
      <c r="DV66" t="e">
        <f>'Technical Skills Weighting'!CX34+"`FU!$c3"</f>
        <v>#VALUE!</v>
      </c>
      <c r="DW66" t="e">
        <f>'Technical Skills Weighting'!CY34+"`FU!$c4"</f>
        <v>#VALUE!</v>
      </c>
      <c r="DX66" t="e">
        <f>'Technical Skills Weighting'!CZ34+"`FU!$c5"</f>
        <v>#VALUE!</v>
      </c>
      <c r="DY66" t="e">
        <f>'Technical Skills Weighting'!DA34+"`FU!$c6"</f>
        <v>#VALUE!</v>
      </c>
      <c r="DZ66" t="e">
        <f>'Technical Skills Weighting'!DB34+"`FU!$c7"</f>
        <v>#VALUE!</v>
      </c>
      <c r="EA66" t="e">
        <f>'Technical Skills Weighting'!DC34+"`FU!$c8"</f>
        <v>#VALUE!</v>
      </c>
      <c r="EB66" t="e">
        <f>'Technical Skills Weighting'!DD34+"`FU!$c9"</f>
        <v>#VALUE!</v>
      </c>
      <c r="EC66" t="e">
        <f>'Technical Skills Weighting'!DE34+"`FU!$c:"</f>
        <v>#VALUE!</v>
      </c>
      <c r="ED66" t="e">
        <f>'Technical Skills Weighting'!DF34+"`FU!$c;"</f>
        <v>#VALUE!</v>
      </c>
      <c r="EE66" t="e">
        <f>'Technical Skills Weighting'!DG34+"`FU!$c&lt;"</f>
        <v>#VALUE!</v>
      </c>
      <c r="EF66" t="e">
        <f>'Technical Skills Weighting'!DH34+"`FU!$c="</f>
        <v>#VALUE!</v>
      </c>
      <c r="EG66" t="e">
        <f>'Technical Skills Weighting'!DI34+"`FU!$c&gt;"</f>
        <v>#VALUE!</v>
      </c>
      <c r="EH66" t="e">
        <f>'Technical Skills Weighting'!DJ34+"`FU!$c?"</f>
        <v>#VALUE!</v>
      </c>
      <c r="EI66" t="e">
        <f>'Technical Skills Weighting'!DK34+"`FU!$c@"</f>
        <v>#VALUE!</v>
      </c>
      <c r="EJ66" t="e">
        <f>'Technical Skills Weighting'!DL34+"`FU!$cA"</f>
        <v>#VALUE!</v>
      </c>
      <c r="EK66" t="e">
        <f>'Technical Skills Weighting'!DM34+"`FU!$cB"</f>
        <v>#VALUE!</v>
      </c>
      <c r="EL66" t="e">
        <f>'Technical Skills Weighting'!DN34+"`FU!$cC"</f>
        <v>#VALUE!</v>
      </c>
      <c r="EM66" t="e">
        <f>'Technical Skills Weighting'!DO34+"`FU!$cD"</f>
        <v>#VALUE!</v>
      </c>
      <c r="EN66" t="e">
        <f>'Technical Skills Weighting'!DP34+"`FU!$cE"</f>
        <v>#VALUE!</v>
      </c>
      <c r="EO66" t="e">
        <f>'Technical Skills Weighting'!DQ34+"`FU!$cF"</f>
        <v>#VALUE!</v>
      </c>
      <c r="EP66" t="e">
        <f>'Technical Skills Weighting'!DR34+"`FU!$cG"</f>
        <v>#VALUE!</v>
      </c>
      <c r="EQ66" t="e">
        <f>'Technical Skills Weighting'!DS34+"`FU!$cH"</f>
        <v>#VALUE!</v>
      </c>
      <c r="ER66" t="e">
        <f>'Technical Skills Weighting'!DT34+"`FU!$cI"</f>
        <v>#VALUE!</v>
      </c>
      <c r="ES66" t="e">
        <f>'Technical Skills Weighting'!DU34+"`FU!$cJ"</f>
        <v>#VALUE!</v>
      </c>
      <c r="ET66" t="e">
        <f>'Technical Skills Weighting'!DV34+"`FU!$cK"</f>
        <v>#VALUE!</v>
      </c>
      <c r="EU66" t="e">
        <f>'Technical Skills Weighting'!DW34+"`FU!$cL"</f>
        <v>#VALUE!</v>
      </c>
      <c r="EV66" t="e">
        <f>'Technical Skills Weighting'!DX34+"`FU!$cM"</f>
        <v>#VALUE!</v>
      </c>
      <c r="EW66" t="e">
        <f>'Technical Skills Weighting'!DY34+"`FU!$cN"</f>
        <v>#VALUE!</v>
      </c>
      <c r="EX66" t="e">
        <f>'Technical Skills Weighting'!DZ34+"`FU!$cO"</f>
        <v>#VALUE!</v>
      </c>
      <c r="EY66" t="e">
        <f>'Technical Skills Weighting'!EA34+"`FU!$cP"</f>
        <v>#VALUE!</v>
      </c>
      <c r="EZ66" t="e">
        <f>'Technical Skills Weighting'!EB34+"`FU!$cQ"</f>
        <v>#VALUE!</v>
      </c>
      <c r="FA66" t="e">
        <f>'Technical Skills Weighting'!EC34+"`FU!$cR"</f>
        <v>#VALUE!</v>
      </c>
      <c r="FB66" t="e">
        <f>'Technical Skills Weighting'!ED34+"`FU!$cS"</f>
        <v>#VALUE!</v>
      </c>
      <c r="FC66" t="e">
        <f>'Technical Skills Weighting'!EE34+"`FU!$cT"</f>
        <v>#VALUE!</v>
      </c>
      <c r="FD66" t="e">
        <f>'Technical Skills Weighting'!EF34+"`FU!$cU"</f>
        <v>#VALUE!</v>
      </c>
      <c r="FE66" t="e">
        <f>'Technical Skills Weighting'!EG34+"`FU!$cV"</f>
        <v>#VALUE!</v>
      </c>
      <c r="FF66" t="e">
        <f>'Technical Skills Weighting'!EH34+"`FU!$cW"</f>
        <v>#VALUE!</v>
      </c>
      <c r="FG66" t="e">
        <f>'Technical Skills Weighting'!EI34+"`FU!$cX"</f>
        <v>#VALUE!</v>
      </c>
      <c r="FH66" t="e">
        <f>'Technical Skills Weighting'!EJ34+"`FU!$cY"</f>
        <v>#VALUE!</v>
      </c>
      <c r="FI66" t="e">
        <f>'Technical Skills Weighting'!EK34+"`FU!$cZ"</f>
        <v>#VALUE!</v>
      </c>
      <c r="FJ66" t="e">
        <f>'Technical Skills Weighting'!EL34+"`FU!$c["</f>
        <v>#VALUE!</v>
      </c>
      <c r="FK66" t="e">
        <f>'Technical Skills Weighting'!EM34+"`FU!$c\"</f>
        <v>#VALUE!</v>
      </c>
      <c r="FL66" t="e">
        <f>'Technical Skills Weighting'!EN34+"`FU!$c]"</f>
        <v>#VALUE!</v>
      </c>
      <c r="FM66" t="e">
        <f>'Technical Skills Weighting'!EO34+"`FU!$c^"</f>
        <v>#VALUE!</v>
      </c>
      <c r="FN66" t="e">
        <f>'Technical Skills Weighting'!EP34+"`FU!$c_"</f>
        <v>#VALUE!</v>
      </c>
      <c r="FO66" t="e">
        <f>'Technical Skills Weighting'!EQ34+"`FU!$c`"</f>
        <v>#VALUE!</v>
      </c>
      <c r="FP66" t="e">
        <f>'Technical Skills Weighting'!ER34+"`FU!$ca"</f>
        <v>#VALUE!</v>
      </c>
      <c r="FQ66" t="e">
        <f>'Technical Skills Weighting'!ES34+"`FU!$cb"</f>
        <v>#VALUE!</v>
      </c>
      <c r="FR66" t="e">
        <f>'Technical Skills Weighting'!ET34+"`FU!$cc"</f>
        <v>#VALUE!</v>
      </c>
      <c r="FS66" t="e">
        <f>'Technical Skills Weighting'!EU34+"`FU!$cd"</f>
        <v>#VALUE!</v>
      </c>
      <c r="FT66" t="e">
        <f>'Technical Skills Weighting'!EV34+"`FU!$ce"</f>
        <v>#VALUE!</v>
      </c>
      <c r="FU66" t="e">
        <f>'Technical Skills Weighting'!EW34+"`FU!$cf"</f>
        <v>#VALUE!</v>
      </c>
      <c r="FV66" t="e">
        <f>'Technical Skills Weighting'!EX34+"`FU!$cg"</f>
        <v>#VALUE!</v>
      </c>
      <c r="FW66" t="e">
        <f>'Technical Skills Weighting'!EY34+"`FU!$ch"</f>
        <v>#VALUE!</v>
      </c>
      <c r="FX66" t="e">
        <f>'Technical Skills Weighting'!EZ34+"`FU!$ci"</f>
        <v>#VALUE!</v>
      </c>
      <c r="FY66" t="e">
        <f>'Technical Skills Weighting'!FA34+"`FU!$cj"</f>
        <v>#VALUE!</v>
      </c>
      <c r="FZ66" t="e">
        <f>'Technical Skills Weighting'!FB34+"`FU!$ck"</f>
        <v>#VALUE!</v>
      </c>
      <c r="GA66" t="e">
        <f>'Technical Skills Weighting'!FC34+"`FU!$cl"</f>
        <v>#VALUE!</v>
      </c>
      <c r="GB66" t="e">
        <f>'Technical Skills Weighting'!FD34+"`FU!$cm"</f>
        <v>#VALUE!</v>
      </c>
      <c r="GC66" t="e">
        <f>'Technical Skills Weighting'!FE34+"`FU!$cn"</f>
        <v>#VALUE!</v>
      </c>
      <c r="GD66" t="e">
        <f>'Technical Skills Weighting'!FF34+"`FU!$co"</f>
        <v>#VALUE!</v>
      </c>
      <c r="GE66" t="e">
        <f>'Technical Skills Weighting'!FG34+"`FU!$cp"</f>
        <v>#VALUE!</v>
      </c>
      <c r="GF66" t="e">
        <f>'Technical Skills Weighting'!FH34+"`FU!$cq"</f>
        <v>#VALUE!</v>
      </c>
      <c r="GG66" t="e">
        <f>'Technical Skills Weighting'!FI34+"`FU!$cr"</f>
        <v>#VALUE!</v>
      </c>
      <c r="GH66" t="e">
        <f>'Technical Skills Weighting'!FJ34+"`FU!$cs"</f>
        <v>#VALUE!</v>
      </c>
      <c r="GI66" t="e">
        <f>'Technical Skills Weighting'!FK34+"`FU!$ct"</f>
        <v>#VALUE!</v>
      </c>
      <c r="GJ66" t="e">
        <f>'Technical Skills Weighting'!FL34+"`FU!$cu"</f>
        <v>#VALUE!</v>
      </c>
      <c r="GK66" t="e">
        <f>'Technical Skills Weighting'!FM34+"`FU!$cv"</f>
        <v>#VALUE!</v>
      </c>
      <c r="GL66" t="e">
        <f>'Technical Skills Weighting'!FN34+"`FU!$cw"</f>
        <v>#VALUE!</v>
      </c>
      <c r="GM66" t="e">
        <f>'Technical Skills Weighting'!FO34+"`FU!$cx"</f>
        <v>#VALUE!</v>
      </c>
      <c r="GN66" t="e">
        <f>'Technical Skills Weighting'!FP34+"`FU!$cy"</f>
        <v>#VALUE!</v>
      </c>
      <c r="GO66" t="e">
        <f>'Technical Skills Weighting'!FQ34+"`FU!$cz"</f>
        <v>#VALUE!</v>
      </c>
      <c r="GP66" t="e">
        <f>'Technical Skills Weighting'!FR34+"`FU!$c{"</f>
        <v>#VALUE!</v>
      </c>
      <c r="GQ66" t="e">
        <f>'Technical Skills Weighting'!FS34+"`FU!$c|"</f>
        <v>#VALUE!</v>
      </c>
      <c r="GR66" t="e">
        <f>'Technical Skills Weighting'!FT34+"`FU!$c}"</f>
        <v>#VALUE!</v>
      </c>
      <c r="GS66" t="e">
        <f>'Technical Skills Weighting'!FU34+"`FU!$c~"</f>
        <v>#VALUE!</v>
      </c>
      <c r="GT66" t="e">
        <f>'Technical Skills Weighting'!FV34+"`FU!$d#"</f>
        <v>#VALUE!</v>
      </c>
      <c r="GU66" t="e">
        <f>'Technical Skills Weighting'!FW34+"`FU!$d$"</f>
        <v>#VALUE!</v>
      </c>
      <c r="GV66" t="e">
        <f>'Technical Skills Weighting'!FX34+"`FU!$d%"</f>
        <v>#VALUE!</v>
      </c>
      <c r="GW66" t="e">
        <f>'Technical Skills Weighting'!FY34+"`FU!$d&amp;"</f>
        <v>#VALUE!</v>
      </c>
      <c r="GX66" t="e">
        <f>'Technical Skills Weighting'!FZ34+"`FU!$d'"</f>
        <v>#VALUE!</v>
      </c>
      <c r="GY66" t="e">
        <f>'Technical Skills Weighting'!GA34+"`FU!$d("</f>
        <v>#VALUE!</v>
      </c>
      <c r="GZ66" t="e">
        <f>'Technical Skills Weighting'!GB34+"`FU!$d)"</f>
        <v>#VALUE!</v>
      </c>
      <c r="HA66" t="e">
        <f>'Technical Skills Weighting'!GC34+"`FU!$d."</f>
        <v>#VALUE!</v>
      </c>
      <c r="HB66" t="e">
        <f>'Technical Skills Weighting'!GD34+"`FU!$d/"</f>
        <v>#VALUE!</v>
      </c>
      <c r="HC66" t="e">
        <f>'Technical Skills Weighting'!GE34+"`FU!$d0"</f>
        <v>#VALUE!</v>
      </c>
      <c r="HD66" t="e">
        <f>'Technical Skills Weighting'!GF34+"`FU!$d1"</f>
        <v>#VALUE!</v>
      </c>
      <c r="HE66" t="e">
        <f>'Technical Skills Weighting'!GG34+"`FU!$d2"</f>
        <v>#VALUE!</v>
      </c>
      <c r="HF66" t="e">
        <f>'Technical Skills Weighting'!D35+"`FU!$d3"</f>
        <v>#VALUE!</v>
      </c>
      <c r="HG66" t="e">
        <f>'Technical Skills Weighting'!E35+"`FU!$d4"</f>
        <v>#VALUE!</v>
      </c>
      <c r="HH66" t="e">
        <f>'Technical Skills Weighting'!F35+"`FU!$d5"</f>
        <v>#VALUE!</v>
      </c>
      <c r="HI66" t="e">
        <f>'Technical Skills Weighting'!G35+"`FU!$d6"</f>
        <v>#VALUE!</v>
      </c>
      <c r="HJ66" t="e">
        <f>'Technical Skills Weighting'!A36+"`FU!$d7"</f>
        <v>#VALUE!</v>
      </c>
      <c r="HK66" t="e">
        <f>'Technical Skills Weighting'!D36+"`FU!$d8"</f>
        <v>#VALUE!</v>
      </c>
      <c r="HL66" t="e">
        <f>'Technical Skills Weighting'!E36+"`FU!$d9"</f>
        <v>#VALUE!</v>
      </c>
      <c r="HM66" t="e">
        <f>'Technical Skills Weighting'!F36+"`FU!$d:"</f>
        <v>#VALUE!</v>
      </c>
      <c r="HN66" t="e">
        <f>'Technical Skills Weighting'!G36+"`FU!$d;"</f>
        <v>#VALUE!</v>
      </c>
      <c r="HO66" t="e">
        <f>'Technical Skills Weighting'!H36+"`FU!$d&lt;"</f>
        <v>#VALUE!</v>
      </c>
      <c r="HP66" t="e">
        <f>'Technical Skills Weighting'!I36+"`FU!$d="</f>
        <v>#VALUE!</v>
      </c>
      <c r="HQ66" t="e">
        <f>'Technical Skills Weighting'!J36+"`FU!$d&gt;"</f>
        <v>#VALUE!</v>
      </c>
      <c r="HR66" t="e">
        <f>'Technical Skills Weighting'!K36+"`FU!$d?"</f>
        <v>#VALUE!</v>
      </c>
      <c r="HS66" t="e">
        <f>'Technical Skills Weighting'!L36+"`FU!$d@"</f>
        <v>#VALUE!</v>
      </c>
      <c r="HT66" t="e">
        <f>'Technical Skills Weighting'!M36+"`FU!$dA"</f>
        <v>#VALUE!</v>
      </c>
      <c r="HU66" t="e">
        <f>'Technical Skills Weighting'!N36+"`FU!$dB"</f>
        <v>#VALUE!</v>
      </c>
      <c r="HV66" t="e">
        <f>'Technical Skills Weighting'!O36+"`FU!$dC"</f>
        <v>#VALUE!</v>
      </c>
      <c r="HW66" t="e">
        <f>'Technical Skills Weighting'!P36+"`FU!$dD"</f>
        <v>#VALUE!</v>
      </c>
      <c r="HX66" t="e">
        <f>'Technical Skills Weighting'!Q36+"`FU!$dE"</f>
        <v>#VALUE!</v>
      </c>
      <c r="HY66" t="e">
        <f>'Technical Skills Weighting'!R36+"`FU!$dF"</f>
        <v>#VALUE!</v>
      </c>
      <c r="HZ66" t="e">
        <f>'Technical Skills Weighting'!S36+"`FU!$dG"</f>
        <v>#VALUE!</v>
      </c>
      <c r="IA66" t="e">
        <f>'Technical Skills Weighting'!T36+"`FU!$dH"</f>
        <v>#VALUE!</v>
      </c>
      <c r="IB66" t="e">
        <f>'Technical Skills Weighting'!U36+"`FU!$dI"</f>
        <v>#VALUE!</v>
      </c>
      <c r="IC66" t="e">
        <f>'Technical Skills Weighting'!V36+"`FU!$dJ"</f>
        <v>#VALUE!</v>
      </c>
      <c r="ID66" t="e">
        <f>'Technical Skills Weighting'!W36+"`FU!$dK"</f>
        <v>#VALUE!</v>
      </c>
      <c r="IE66" t="e">
        <f>'Technical Skills Weighting'!X36+"`FU!$dL"</f>
        <v>#VALUE!</v>
      </c>
      <c r="IF66" t="e">
        <f>'Technical Skills Weighting'!Y36+"`FU!$dM"</f>
        <v>#VALUE!</v>
      </c>
      <c r="IG66" t="e">
        <f>'Technical Skills Weighting'!Z36+"`FU!$dN"</f>
        <v>#VALUE!</v>
      </c>
      <c r="IH66" t="e">
        <f>'Technical Skills Weighting'!AA36+"`FU!$dO"</f>
        <v>#VALUE!</v>
      </c>
      <c r="II66" t="e">
        <f>'Technical Skills Weighting'!AB36+"`FU!$dP"</f>
        <v>#VALUE!</v>
      </c>
      <c r="IJ66" t="e">
        <f>'Technical Skills Weighting'!AC36+"`FU!$dQ"</f>
        <v>#VALUE!</v>
      </c>
      <c r="IK66" t="e">
        <f>'Technical Skills Weighting'!AD36+"`FU!$dR"</f>
        <v>#VALUE!</v>
      </c>
      <c r="IL66" t="e">
        <f>'Technical Skills Weighting'!AE36+"`FU!$dS"</f>
        <v>#VALUE!</v>
      </c>
      <c r="IM66" t="e">
        <f>'Technical Skills Weighting'!AF36+"`FU!$dT"</f>
        <v>#VALUE!</v>
      </c>
      <c r="IN66" t="e">
        <f>'Technical Skills Weighting'!AG36+"`FU!$dU"</f>
        <v>#VALUE!</v>
      </c>
      <c r="IO66" t="e">
        <f>'Technical Skills Weighting'!AH36+"`FU!$dV"</f>
        <v>#VALUE!</v>
      </c>
      <c r="IP66" t="e">
        <f>'Technical Skills Weighting'!AI36+"`FU!$dW"</f>
        <v>#VALUE!</v>
      </c>
      <c r="IQ66" t="e">
        <f>'Technical Skills Weighting'!AJ36+"`FU!$dX"</f>
        <v>#VALUE!</v>
      </c>
      <c r="IR66" t="e">
        <f>'Technical Skills Weighting'!AK36+"`FU!$dY"</f>
        <v>#VALUE!</v>
      </c>
      <c r="IS66" t="e">
        <f>'Technical Skills Weighting'!AL36+"`FU!$dZ"</f>
        <v>#VALUE!</v>
      </c>
      <c r="IT66" t="e">
        <f>'Technical Skills Weighting'!AM36+"`FU!$d["</f>
        <v>#VALUE!</v>
      </c>
      <c r="IU66" t="e">
        <f>'Technical Skills Weighting'!AN36+"`FU!$d\"</f>
        <v>#VALUE!</v>
      </c>
      <c r="IV66" t="e">
        <f>'Technical Skills Weighting'!AO36+"`FU!$d]"</f>
        <v>#VALUE!</v>
      </c>
    </row>
    <row r="67" spans="6:256" x14ac:dyDescent="0.25">
      <c r="F67" t="e">
        <f>'Technical Skills Weighting'!AP36+"`FU!$d^"</f>
        <v>#VALUE!</v>
      </c>
      <c r="G67" t="e">
        <f>'Technical Skills Weighting'!AQ36+"`FU!$d_"</f>
        <v>#VALUE!</v>
      </c>
      <c r="H67" t="e">
        <f>'Technical Skills Weighting'!AR36+"`FU!$d`"</f>
        <v>#VALUE!</v>
      </c>
      <c r="I67" t="e">
        <f>'Technical Skills Weighting'!AS36+"`FU!$da"</f>
        <v>#VALUE!</v>
      </c>
      <c r="J67" t="e">
        <f>'Technical Skills Weighting'!AT36+"`FU!$db"</f>
        <v>#VALUE!</v>
      </c>
      <c r="K67" t="e">
        <f>'Technical Skills Weighting'!AU36+"`FU!$dc"</f>
        <v>#VALUE!</v>
      </c>
      <c r="L67" t="e">
        <f>'Technical Skills Weighting'!AV36+"`FU!$dd"</f>
        <v>#VALUE!</v>
      </c>
      <c r="M67" t="e">
        <f>'Technical Skills Weighting'!AW36+"`FU!$de"</f>
        <v>#VALUE!</v>
      </c>
      <c r="N67" t="e">
        <f>'Technical Skills Weighting'!AX36+"`FU!$df"</f>
        <v>#VALUE!</v>
      </c>
      <c r="O67" t="e">
        <f>'Technical Skills Weighting'!AY36+"`FU!$dg"</f>
        <v>#VALUE!</v>
      </c>
      <c r="P67" t="e">
        <f>'Technical Skills Weighting'!AZ36+"`FU!$dh"</f>
        <v>#VALUE!</v>
      </c>
      <c r="Q67" t="e">
        <f>'Technical Skills Weighting'!BA36+"`FU!$di"</f>
        <v>#VALUE!</v>
      </c>
      <c r="R67" t="e">
        <f>'Technical Skills Weighting'!BB36+"`FU!$dj"</f>
        <v>#VALUE!</v>
      </c>
      <c r="S67" t="e">
        <f>'Technical Skills Weighting'!BC36+"`FU!$dk"</f>
        <v>#VALUE!</v>
      </c>
      <c r="T67" t="e">
        <f>'Technical Skills Weighting'!BD36+"`FU!$dl"</f>
        <v>#VALUE!</v>
      </c>
      <c r="U67" t="e">
        <f>'Technical Skills Weighting'!BE36+"`FU!$dm"</f>
        <v>#VALUE!</v>
      </c>
      <c r="V67" t="e">
        <f>'Technical Skills Weighting'!BF36+"`FU!$dn"</f>
        <v>#VALUE!</v>
      </c>
      <c r="W67" t="e">
        <f>'Technical Skills Weighting'!BG36+"`FU!$do"</f>
        <v>#VALUE!</v>
      </c>
      <c r="X67" t="e">
        <f>'Technical Skills Weighting'!BH36+"`FU!$dp"</f>
        <v>#VALUE!</v>
      </c>
      <c r="Y67" t="e">
        <f>'Technical Skills Weighting'!BI36+"`FU!$dq"</f>
        <v>#VALUE!</v>
      </c>
      <c r="Z67" t="e">
        <f>'Technical Skills Weighting'!BJ36+"`FU!$dr"</f>
        <v>#VALUE!</v>
      </c>
      <c r="AA67" t="e">
        <f>'Technical Skills Weighting'!BK36+"`FU!$ds"</f>
        <v>#VALUE!</v>
      </c>
      <c r="AB67" t="e">
        <f>'Technical Skills Weighting'!BL36+"`FU!$dt"</f>
        <v>#VALUE!</v>
      </c>
      <c r="AC67" t="e">
        <f>'Technical Skills Weighting'!BM36+"`FU!$du"</f>
        <v>#VALUE!</v>
      </c>
      <c r="AD67" t="e">
        <f>'Technical Skills Weighting'!BN36+"`FU!$dv"</f>
        <v>#VALUE!</v>
      </c>
      <c r="AE67" t="e">
        <f>'Technical Skills Weighting'!BO36+"`FU!$dw"</f>
        <v>#VALUE!</v>
      </c>
      <c r="AF67" t="e">
        <f>'Technical Skills Weighting'!BP36+"`FU!$dx"</f>
        <v>#VALUE!</v>
      </c>
      <c r="AG67" t="e">
        <f>'Technical Skills Weighting'!BQ36+"`FU!$dy"</f>
        <v>#VALUE!</v>
      </c>
      <c r="AH67" t="e">
        <f>'Technical Skills Weighting'!BR36+"`FU!$dz"</f>
        <v>#VALUE!</v>
      </c>
      <c r="AI67" t="e">
        <f>'Technical Skills Weighting'!BS36+"`FU!$d{"</f>
        <v>#VALUE!</v>
      </c>
      <c r="AJ67" t="e">
        <f>'Technical Skills Weighting'!BT36+"`FU!$d|"</f>
        <v>#VALUE!</v>
      </c>
      <c r="AK67" t="e">
        <f>'Technical Skills Weighting'!BU36+"`FU!$d}"</f>
        <v>#VALUE!</v>
      </c>
      <c r="AL67" t="e">
        <f>'Technical Skills Weighting'!BV36+"`FU!$d~"</f>
        <v>#VALUE!</v>
      </c>
      <c r="AM67" t="e">
        <f>'Technical Skills Weighting'!BW36+"`FU!$e#"</f>
        <v>#VALUE!</v>
      </c>
      <c r="AN67" t="e">
        <f>'Technical Skills Weighting'!BX36+"`FU!$e$"</f>
        <v>#VALUE!</v>
      </c>
      <c r="AO67" t="e">
        <f>'Technical Skills Weighting'!BY36+"`FU!$e%"</f>
        <v>#VALUE!</v>
      </c>
      <c r="AP67" t="e">
        <f>'Technical Skills Weighting'!BZ36+"`FU!$e&amp;"</f>
        <v>#VALUE!</v>
      </c>
      <c r="AQ67" t="e">
        <f>'Technical Skills Weighting'!CA36+"`FU!$e'"</f>
        <v>#VALUE!</v>
      </c>
      <c r="AR67" t="e">
        <f>'Technical Skills Weighting'!CB36+"`FU!$e("</f>
        <v>#VALUE!</v>
      </c>
      <c r="AS67" t="e">
        <f>'Technical Skills Weighting'!CC36+"`FU!$e)"</f>
        <v>#VALUE!</v>
      </c>
      <c r="AT67" t="e">
        <f>'Technical Skills Weighting'!CD36+"`FU!$e."</f>
        <v>#VALUE!</v>
      </c>
      <c r="AU67" t="e">
        <f>'Technical Skills Weighting'!CE36+"`FU!$e/"</f>
        <v>#VALUE!</v>
      </c>
      <c r="AV67" t="e">
        <f>'Technical Skills Weighting'!CF36+"`FU!$e0"</f>
        <v>#VALUE!</v>
      </c>
      <c r="AW67" t="e">
        <f>'Technical Skills Weighting'!CG36+"`FU!$e1"</f>
        <v>#VALUE!</v>
      </c>
      <c r="AX67" t="e">
        <f>'Technical Skills Weighting'!CH36+"`FU!$e2"</f>
        <v>#VALUE!</v>
      </c>
      <c r="AY67" t="e">
        <f>'Technical Skills Weighting'!CI36+"`FU!$e3"</f>
        <v>#VALUE!</v>
      </c>
      <c r="AZ67" t="e">
        <f>'Technical Skills Weighting'!CJ36+"`FU!$e4"</f>
        <v>#VALUE!</v>
      </c>
      <c r="BA67" t="e">
        <f>'Technical Skills Weighting'!CK36+"`FU!$e5"</f>
        <v>#VALUE!</v>
      </c>
      <c r="BB67" t="e">
        <f>'Technical Skills Weighting'!CL36+"`FU!$e6"</f>
        <v>#VALUE!</v>
      </c>
      <c r="BC67" t="e">
        <f>'Technical Skills Weighting'!CM36+"`FU!$e7"</f>
        <v>#VALUE!</v>
      </c>
      <c r="BD67" t="e">
        <f>'Technical Skills Weighting'!CN36+"`FU!$e8"</f>
        <v>#VALUE!</v>
      </c>
      <c r="BE67" t="e">
        <f>'Technical Skills Weighting'!CO36+"`FU!$e9"</f>
        <v>#VALUE!</v>
      </c>
      <c r="BF67" t="e">
        <f>'Technical Skills Weighting'!CP36+"`FU!$e:"</f>
        <v>#VALUE!</v>
      </c>
      <c r="BG67" t="e">
        <f>'Technical Skills Weighting'!CQ36+"`FU!$e;"</f>
        <v>#VALUE!</v>
      </c>
      <c r="BH67" t="e">
        <f>'Technical Skills Weighting'!CR36+"`FU!$e&lt;"</f>
        <v>#VALUE!</v>
      </c>
      <c r="BI67" t="e">
        <f>'Technical Skills Weighting'!CS36+"`FU!$e="</f>
        <v>#VALUE!</v>
      </c>
      <c r="BJ67" t="e">
        <f>'Technical Skills Weighting'!CT36+"`FU!$e&gt;"</f>
        <v>#VALUE!</v>
      </c>
      <c r="BK67" t="e">
        <f>'Technical Skills Weighting'!CU36+"`FU!$e?"</f>
        <v>#VALUE!</v>
      </c>
      <c r="BL67" t="e">
        <f>'Technical Skills Weighting'!CV36+"`FU!$e@"</f>
        <v>#VALUE!</v>
      </c>
      <c r="BM67" t="e">
        <f>'Technical Skills Weighting'!CW36+"`FU!$eA"</f>
        <v>#VALUE!</v>
      </c>
      <c r="BN67" t="e">
        <f>'Technical Skills Weighting'!CX36+"`FU!$eB"</f>
        <v>#VALUE!</v>
      </c>
      <c r="BO67" t="e">
        <f>'Technical Skills Weighting'!CY36+"`FU!$eC"</f>
        <v>#VALUE!</v>
      </c>
      <c r="BP67" t="e">
        <f>'Technical Skills Weighting'!CZ36+"`FU!$eD"</f>
        <v>#VALUE!</v>
      </c>
      <c r="BQ67" t="e">
        <f>'Technical Skills Weighting'!DA36+"`FU!$eE"</f>
        <v>#VALUE!</v>
      </c>
      <c r="BR67" t="e">
        <f>'Technical Skills Weighting'!DB36+"`FU!$eF"</f>
        <v>#VALUE!</v>
      </c>
      <c r="BS67" t="e">
        <f>'Technical Skills Weighting'!DC36+"`FU!$eG"</f>
        <v>#VALUE!</v>
      </c>
      <c r="BT67" t="e">
        <f>'Technical Skills Weighting'!DD36+"`FU!$eH"</f>
        <v>#VALUE!</v>
      </c>
      <c r="BU67" t="e">
        <f>'Technical Skills Weighting'!DE36+"`FU!$eI"</f>
        <v>#VALUE!</v>
      </c>
      <c r="BV67" t="e">
        <f>'Technical Skills Weighting'!DF36+"`FU!$eJ"</f>
        <v>#VALUE!</v>
      </c>
      <c r="BW67" t="e">
        <f>'Technical Skills Weighting'!DG36+"`FU!$eK"</f>
        <v>#VALUE!</v>
      </c>
      <c r="BX67" t="e">
        <f>'Technical Skills Weighting'!DH36+"`FU!$eL"</f>
        <v>#VALUE!</v>
      </c>
      <c r="BY67" t="e">
        <f>'Technical Skills Weighting'!DI36+"`FU!$eM"</f>
        <v>#VALUE!</v>
      </c>
      <c r="BZ67" t="e">
        <f>'Technical Skills Weighting'!DJ36+"`FU!$eN"</f>
        <v>#VALUE!</v>
      </c>
      <c r="CA67" t="e">
        <f>'Technical Skills Weighting'!DK36+"`FU!$eO"</f>
        <v>#VALUE!</v>
      </c>
      <c r="CB67" t="e">
        <f>'Technical Skills Weighting'!DL36+"`FU!$eP"</f>
        <v>#VALUE!</v>
      </c>
      <c r="CC67" t="e">
        <f>'Technical Skills Weighting'!DM36+"`FU!$eQ"</f>
        <v>#VALUE!</v>
      </c>
      <c r="CD67" t="e">
        <f>'Technical Skills Weighting'!DN36+"`FU!$eR"</f>
        <v>#VALUE!</v>
      </c>
      <c r="CE67" t="e">
        <f>'Technical Skills Weighting'!DO36+"`FU!$eS"</f>
        <v>#VALUE!</v>
      </c>
      <c r="CF67" t="e">
        <f>'Technical Skills Weighting'!DP36+"`FU!$eT"</f>
        <v>#VALUE!</v>
      </c>
      <c r="CG67" t="e">
        <f>'Technical Skills Weighting'!DQ36+"`FU!$eU"</f>
        <v>#VALUE!</v>
      </c>
      <c r="CH67" t="e">
        <f>'Technical Skills Weighting'!DR36+"`FU!$eV"</f>
        <v>#VALUE!</v>
      </c>
      <c r="CI67" t="e">
        <f>'Technical Skills Weighting'!DS36+"`FU!$eW"</f>
        <v>#VALUE!</v>
      </c>
      <c r="CJ67" t="e">
        <f>'Technical Skills Weighting'!DT36+"`FU!$eX"</f>
        <v>#VALUE!</v>
      </c>
      <c r="CK67" t="e">
        <f>'Technical Skills Weighting'!DU36+"`FU!$eY"</f>
        <v>#VALUE!</v>
      </c>
      <c r="CL67" t="e">
        <f>'Technical Skills Weighting'!DV36+"`FU!$eZ"</f>
        <v>#VALUE!</v>
      </c>
      <c r="CM67" t="e">
        <f>'Technical Skills Weighting'!DW36+"`FU!$e["</f>
        <v>#VALUE!</v>
      </c>
      <c r="CN67" t="e">
        <f>'Technical Skills Weighting'!DX36+"`FU!$e\"</f>
        <v>#VALUE!</v>
      </c>
      <c r="CO67" t="e">
        <f>'Technical Skills Weighting'!DY36+"`FU!$e]"</f>
        <v>#VALUE!</v>
      </c>
      <c r="CP67" t="e">
        <f>'Technical Skills Weighting'!DZ36+"`FU!$e^"</f>
        <v>#VALUE!</v>
      </c>
      <c r="CQ67" t="e">
        <f>'Technical Skills Weighting'!EA36+"`FU!$e_"</f>
        <v>#VALUE!</v>
      </c>
      <c r="CR67" t="e">
        <f>'Technical Skills Weighting'!EB36+"`FU!$e`"</f>
        <v>#VALUE!</v>
      </c>
      <c r="CS67" t="e">
        <f>'Technical Skills Weighting'!EC36+"`FU!$ea"</f>
        <v>#VALUE!</v>
      </c>
      <c r="CT67" t="e">
        <f>'Technical Skills Weighting'!ED36+"`FU!$eb"</f>
        <v>#VALUE!</v>
      </c>
      <c r="CU67" t="e">
        <f>'Technical Skills Weighting'!EE36+"`FU!$ec"</f>
        <v>#VALUE!</v>
      </c>
      <c r="CV67" t="e">
        <f>'Technical Skills Weighting'!EF36+"`FU!$ed"</f>
        <v>#VALUE!</v>
      </c>
      <c r="CW67" t="e">
        <f>'Technical Skills Weighting'!EG36+"`FU!$ee"</f>
        <v>#VALUE!</v>
      </c>
      <c r="CX67" t="e">
        <f>'Technical Skills Weighting'!EH36+"`FU!$ef"</f>
        <v>#VALUE!</v>
      </c>
      <c r="CY67" t="e">
        <f>'Technical Skills Weighting'!EI36+"`FU!$eg"</f>
        <v>#VALUE!</v>
      </c>
      <c r="CZ67" t="e">
        <f>'Technical Skills Weighting'!EJ36+"`FU!$eh"</f>
        <v>#VALUE!</v>
      </c>
      <c r="DA67" t="e">
        <f>'Technical Skills Weighting'!EK36+"`FU!$ei"</f>
        <v>#VALUE!</v>
      </c>
      <c r="DB67" t="e">
        <f>'Technical Skills Weighting'!EL36+"`FU!$ej"</f>
        <v>#VALUE!</v>
      </c>
      <c r="DC67" t="e">
        <f>'Technical Skills Weighting'!EM36+"`FU!$ek"</f>
        <v>#VALUE!</v>
      </c>
      <c r="DD67" t="e">
        <f>'Technical Skills Weighting'!EN36+"`FU!$el"</f>
        <v>#VALUE!</v>
      </c>
      <c r="DE67" t="e">
        <f>'Technical Skills Weighting'!EO36+"`FU!$em"</f>
        <v>#VALUE!</v>
      </c>
      <c r="DF67" t="e">
        <f>'Technical Skills Weighting'!EP36+"`FU!$en"</f>
        <v>#VALUE!</v>
      </c>
      <c r="DG67" t="e">
        <f>'Technical Skills Weighting'!EQ36+"`FU!$eo"</f>
        <v>#VALUE!</v>
      </c>
      <c r="DH67" t="e">
        <f>'Technical Skills Weighting'!ER36+"`FU!$ep"</f>
        <v>#VALUE!</v>
      </c>
      <c r="DI67" t="e">
        <f>'Technical Skills Weighting'!ES36+"`FU!$eq"</f>
        <v>#VALUE!</v>
      </c>
      <c r="DJ67" t="e">
        <f>'Technical Skills Weighting'!ET36+"`FU!$er"</f>
        <v>#VALUE!</v>
      </c>
      <c r="DK67" t="e">
        <f>'Technical Skills Weighting'!EU36+"`FU!$es"</f>
        <v>#VALUE!</v>
      </c>
      <c r="DL67" t="e">
        <f>'Technical Skills Weighting'!EV36+"`FU!$et"</f>
        <v>#VALUE!</v>
      </c>
      <c r="DM67" t="e">
        <f>'Technical Skills Weighting'!EW36+"`FU!$eu"</f>
        <v>#VALUE!</v>
      </c>
      <c r="DN67" t="e">
        <f>'Technical Skills Weighting'!EX36+"`FU!$ev"</f>
        <v>#VALUE!</v>
      </c>
      <c r="DO67" t="e">
        <f>'Technical Skills Weighting'!EY36+"`FU!$ew"</f>
        <v>#VALUE!</v>
      </c>
      <c r="DP67" t="e">
        <f>'Technical Skills Weighting'!EZ36+"`FU!$ex"</f>
        <v>#VALUE!</v>
      </c>
      <c r="DQ67" t="e">
        <f>'Technical Skills Weighting'!FA36+"`FU!$ey"</f>
        <v>#VALUE!</v>
      </c>
      <c r="DR67" t="e">
        <f>'Technical Skills Weighting'!FB36+"`FU!$ez"</f>
        <v>#VALUE!</v>
      </c>
      <c r="DS67" t="e">
        <f>'Technical Skills Weighting'!FC36+"`FU!$e{"</f>
        <v>#VALUE!</v>
      </c>
      <c r="DT67" t="e">
        <f>'Technical Skills Weighting'!FD36+"`FU!$e|"</f>
        <v>#VALUE!</v>
      </c>
      <c r="DU67" t="e">
        <f>'Technical Skills Weighting'!FE36+"`FU!$e}"</f>
        <v>#VALUE!</v>
      </c>
      <c r="DV67" t="e">
        <f>'Technical Skills Weighting'!FF36+"`FU!$e~"</f>
        <v>#VALUE!</v>
      </c>
      <c r="DW67" t="e">
        <f>'Technical Skills Weighting'!FG36+"`FU!$f#"</f>
        <v>#VALUE!</v>
      </c>
      <c r="DX67" t="e">
        <f>'Technical Skills Weighting'!FH36+"`FU!$f$"</f>
        <v>#VALUE!</v>
      </c>
      <c r="DY67" t="e">
        <f>'Technical Skills Weighting'!FI36+"`FU!$f%"</f>
        <v>#VALUE!</v>
      </c>
      <c r="DZ67" t="e">
        <f>'Technical Skills Weighting'!FJ36+"`FU!$f&amp;"</f>
        <v>#VALUE!</v>
      </c>
      <c r="EA67" t="e">
        <f>'Technical Skills Weighting'!FK36+"`FU!$f'"</f>
        <v>#VALUE!</v>
      </c>
      <c r="EB67" t="e">
        <f>'Technical Skills Weighting'!FL36+"`FU!$f("</f>
        <v>#VALUE!</v>
      </c>
      <c r="EC67" t="e">
        <f>'Technical Skills Weighting'!FM36+"`FU!$f)"</f>
        <v>#VALUE!</v>
      </c>
      <c r="ED67" t="e">
        <f>'Technical Skills Weighting'!FN36+"`FU!$f."</f>
        <v>#VALUE!</v>
      </c>
      <c r="EE67" t="e">
        <f>'Technical Skills Weighting'!FO36+"`FU!$f/"</f>
        <v>#VALUE!</v>
      </c>
      <c r="EF67" t="e">
        <f>'Technical Skills Weighting'!FP36+"`FU!$f0"</f>
        <v>#VALUE!</v>
      </c>
      <c r="EG67" t="e">
        <f>'Technical Skills Weighting'!FQ36+"`FU!$f1"</f>
        <v>#VALUE!</v>
      </c>
      <c r="EH67" t="e">
        <f>'Technical Skills Weighting'!FR36+"`FU!$f2"</f>
        <v>#VALUE!</v>
      </c>
      <c r="EI67" t="e">
        <f>'Technical Skills Weighting'!FS36+"`FU!$f3"</f>
        <v>#VALUE!</v>
      </c>
      <c r="EJ67" t="e">
        <f>'Technical Skills Weighting'!FT36+"`FU!$f4"</f>
        <v>#VALUE!</v>
      </c>
      <c r="EK67" t="e">
        <f>'Technical Skills Weighting'!FU36+"`FU!$f5"</f>
        <v>#VALUE!</v>
      </c>
      <c r="EL67" t="e">
        <f>'Technical Skills Weighting'!FV36+"`FU!$f6"</f>
        <v>#VALUE!</v>
      </c>
      <c r="EM67" t="e">
        <f>'Technical Skills Weighting'!FW36+"`FU!$f7"</f>
        <v>#VALUE!</v>
      </c>
      <c r="EN67" t="e">
        <f>'Technical Skills Weighting'!FX36+"`FU!$f8"</f>
        <v>#VALUE!</v>
      </c>
      <c r="EO67" t="e">
        <f>'Technical Skills Weighting'!FY36+"`FU!$f9"</f>
        <v>#VALUE!</v>
      </c>
      <c r="EP67" t="e">
        <f>'Technical Skills Weighting'!FZ36+"`FU!$f:"</f>
        <v>#VALUE!</v>
      </c>
      <c r="EQ67" t="e">
        <f>'Technical Skills Weighting'!GA36+"`FU!$f;"</f>
        <v>#VALUE!</v>
      </c>
      <c r="ER67" t="e">
        <f>'Technical Skills Weighting'!GB36+"`FU!$f&lt;"</f>
        <v>#VALUE!</v>
      </c>
      <c r="ES67" t="e">
        <f>'Technical Skills Weighting'!GC36+"`FU!$f="</f>
        <v>#VALUE!</v>
      </c>
      <c r="ET67" t="e">
        <f>'Technical Skills Weighting'!GD36+"`FU!$f&gt;"</f>
        <v>#VALUE!</v>
      </c>
      <c r="EU67" t="e">
        <f>'Technical Skills Weighting'!GE36+"`FU!$f?"</f>
        <v>#VALUE!</v>
      </c>
      <c r="EV67" t="e">
        <f>'Technical Skills Weighting'!GF36+"`FU!$f@"</f>
        <v>#VALUE!</v>
      </c>
      <c r="EW67" t="e">
        <f>'Technical Skills Weighting'!GG36+"`FU!$fA"</f>
        <v>#VALUE!</v>
      </c>
      <c r="EX67" t="e">
        <f>'Technical Skills Weighting'!D37+"`FU!$fB"</f>
        <v>#VALUE!</v>
      </c>
      <c r="EY67" t="e">
        <f>'Technical Skills Weighting'!E37+"`FU!$fC"</f>
        <v>#VALUE!</v>
      </c>
      <c r="EZ67" t="e">
        <f>'Technical Skills Weighting'!F37+"`FU!$fD"</f>
        <v>#VALUE!</v>
      </c>
      <c r="FA67" t="e">
        <f>'Technical Skills Weighting'!G37+"`FU!$fE"</f>
        <v>#VALUE!</v>
      </c>
      <c r="FB67" t="e">
        <f>'Technical Skills Weighting'!A38+"`FU!$fF"</f>
        <v>#VALUE!</v>
      </c>
      <c r="FC67" t="e">
        <f>'Technical Skills Weighting'!D38+"`FU!$fG"</f>
        <v>#VALUE!</v>
      </c>
      <c r="FD67" t="e">
        <f>'Technical Skills Weighting'!E38+"`FU!$fH"</f>
        <v>#VALUE!</v>
      </c>
      <c r="FE67" t="e">
        <f>'Technical Skills Weighting'!F38+"`FU!$fI"</f>
        <v>#VALUE!</v>
      </c>
      <c r="FF67" t="e">
        <f>'Technical Skills Weighting'!G38+"`FU!$fJ"</f>
        <v>#VALUE!</v>
      </c>
      <c r="FG67" t="e">
        <f>'Technical Skills Weighting'!H38+"`FU!$fK"</f>
        <v>#VALUE!</v>
      </c>
      <c r="FH67" t="e">
        <f>'Technical Skills Weighting'!I38+"`FU!$fL"</f>
        <v>#VALUE!</v>
      </c>
      <c r="FI67" t="e">
        <f>'Technical Skills Weighting'!J38+"`FU!$fM"</f>
        <v>#VALUE!</v>
      </c>
      <c r="FJ67" t="e">
        <f>'Technical Skills Weighting'!K38+"`FU!$fN"</f>
        <v>#VALUE!</v>
      </c>
      <c r="FK67" t="e">
        <f>'Technical Skills Weighting'!L38+"`FU!$fO"</f>
        <v>#VALUE!</v>
      </c>
      <c r="FL67" t="e">
        <f>'Technical Skills Weighting'!M38+"`FU!$fP"</f>
        <v>#VALUE!</v>
      </c>
      <c r="FM67" t="e">
        <f>'Technical Skills Weighting'!N38+"`FU!$fQ"</f>
        <v>#VALUE!</v>
      </c>
      <c r="FN67" t="e">
        <f>'Technical Skills Weighting'!O38+"`FU!$fR"</f>
        <v>#VALUE!</v>
      </c>
      <c r="FO67" t="e">
        <f>'Technical Skills Weighting'!P38+"`FU!$fS"</f>
        <v>#VALUE!</v>
      </c>
      <c r="FP67" t="e">
        <f>'Technical Skills Weighting'!Q38+"`FU!$fT"</f>
        <v>#VALUE!</v>
      </c>
      <c r="FQ67" t="e">
        <f>'Technical Skills Weighting'!R38+"`FU!$fU"</f>
        <v>#VALUE!</v>
      </c>
      <c r="FR67" t="e">
        <f>'Technical Skills Weighting'!S38+"`FU!$fV"</f>
        <v>#VALUE!</v>
      </c>
      <c r="FS67" t="e">
        <f>'Technical Skills Weighting'!T38+"`FU!$fW"</f>
        <v>#VALUE!</v>
      </c>
      <c r="FT67" t="e">
        <f>'Technical Skills Weighting'!U38+"`FU!$fX"</f>
        <v>#VALUE!</v>
      </c>
      <c r="FU67" t="e">
        <f>'Technical Skills Weighting'!V38+"`FU!$fY"</f>
        <v>#VALUE!</v>
      </c>
      <c r="FV67" t="e">
        <f>'Technical Skills Weighting'!W38+"`FU!$fZ"</f>
        <v>#VALUE!</v>
      </c>
      <c r="FW67" t="e">
        <f>'Technical Skills Weighting'!X38+"`FU!$f["</f>
        <v>#VALUE!</v>
      </c>
      <c r="FX67" t="e">
        <f>'Technical Skills Weighting'!Y38+"`FU!$f\"</f>
        <v>#VALUE!</v>
      </c>
      <c r="FY67" t="e">
        <f>'Technical Skills Weighting'!Z38+"`FU!$f]"</f>
        <v>#VALUE!</v>
      </c>
      <c r="FZ67" t="e">
        <f>'Technical Skills Weighting'!AA38+"`FU!$f^"</f>
        <v>#VALUE!</v>
      </c>
      <c r="GA67" t="e">
        <f>'Technical Skills Weighting'!AB38+"`FU!$f_"</f>
        <v>#VALUE!</v>
      </c>
      <c r="GB67" t="e">
        <f>'Technical Skills Weighting'!AC38+"`FU!$f`"</f>
        <v>#VALUE!</v>
      </c>
      <c r="GC67" t="e">
        <f>'Technical Skills Weighting'!AD38+"`FU!$fa"</f>
        <v>#VALUE!</v>
      </c>
      <c r="GD67" t="e">
        <f>'Technical Skills Weighting'!AE38+"`FU!$fb"</f>
        <v>#VALUE!</v>
      </c>
      <c r="GE67" t="e">
        <f>'Technical Skills Weighting'!AF38+"`FU!$fc"</f>
        <v>#VALUE!</v>
      </c>
      <c r="GF67" t="e">
        <f>'Technical Skills Weighting'!AG38+"`FU!$fd"</f>
        <v>#VALUE!</v>
      </c>
      <c r="GG67" t="e">
        <f>'Technical Skills Weighting'!AH38+"`FU!$fe"</f>
        <v>#VALUE!</v>
      </c>
      <c r="GH67" t="e">
        <f>'Technical Skills Weighting'!AI38+"`FU!$ff"</f>
        <v>#VALUE!</v>
      </c>
      <c r="GI67" t="e">
        <f>'Technical Skills Weighting'!AJ38+"`FU!$fg"</f>
        <v>#VALUE!</v>
      </c>
      <c r="GJ67" t="e">
        <f>'Technical Skills Weighting'!AK38+"`FU!$fh"</f>
        <v>#VALUE!</v>
      </c>
      <c r="GK67" t="e">
        <f>'Technical Skills Weighting'!AL38+"`FU!$fi"</f>
        <v>#VALUE!</v>
      </c>
      <c r="GL67" t="e">
        <f>'Technical Skills Weighting'!AM38+"`FU!$fj"</f>
        <v>#VALUE!</v>
      </c>
      <c r="GM67" t="e">
        <f>'Technical Skills Weighting'!AN38+"`FU!$fk"</f>
        <v>#VALUE!</v>
      </c>
      <c r="GN67" t="e">
        <f>'Technical Skills Weighting'!AO38+"`FU!$fl"</f>
        <v>#VALUE!</v>
      </c>
      <c r="GO67" t="e">
        <f>'Technical Skills Weighting'!AP38+"`FU!$fm"</f>
        <v>#VALUE!</v>
      </c>
      <c r="GP67" t="e">
        <f>'Technical Skills Weighting'!AQ38+"`FU!$fn"</f>
        <v>#VALUE!</v>
      </c>
      <c r="GQ67" t="e">
        <f>'Technical Skills Weighting'!AR38+"`FU!$fo"</f>
        <v>#VALUE!</v>
      </c>
      <c r="GR67" t="e">
        <f>'Technical Skills Weighting'!AS38+"`FU!$fp"</f>
        <v>#VALUE!</v>
      </c>
      <c r="GS67" t="e">
        <f>'Technical Skills Weighting'!AT38+"`FU!$fq"</f>
        <v>#VALUE!</v>
      </c>
      <c r="GT67" t="e">
        <f>'Technical Skills Weighting'!AU38+"`FU!$fr"</f>
        <v>#VALUE!</v>
      </c>
      <c r="GU67" t="e">
        <f>'Technical Skills Weighting'!AV38+"`FU!$fs"</f>
        <v>#VALUE!</v>
      </c>
      <c r="GV67" t="e">
        <f>'Technical Skills Weighting'!AW38+"`FU!$ft"</f>
        <v>#VALUE!</v>
      </c>
      <c r="GW67" t="e">
        <f>'Technical Skills Weighting'!AX38+"`FU!$fu"</f>
        <v>#VALUE!</v>
      </c>
      <c r="GX67" t="e">
        <f>'Technical Skills Weighting'!AY38+"`FU!$fv"</f>
        <v>#VALUE!</v>
      </c>
      <c r="GY67" t="e">
        <f>'Technical Skills Weighting'!AZ38+"`FU!$fw"</f>
        <v>#VALUE!</v>
      </c>
      <c r="GZ67" t="e">
        <f>'Technical Skills Weighting'!BA38+"`FU!$fx"</f>
        <v>#VALUE!</v>
      </c>
      <c r="HA67" t="e">
        <f>'Technical Skills Weighting'!BB38+"`FU!$fy"</f>
        <v>#VALUE!</v>
      </c>
      <c r="HB67" t="e">
        <f>'Technical Skills Weighting'!BC38+"`FU!$fz"</f>
        <v>#VALUE!</v>
      </c>
      <c r="HC67" t="e">
        <f>'Technical Skills Weighting'!BD38+"`FU!$f{"</f>
        <v>#VALUE!</v>
      </c>
      <c r="HD67" t="e">
        <f>'Technical Skills Weighting'!BE38+"`FU!$f|"</f>
        <v>#VALUE!</v>
      </c>
      <c r="HE67" t="e">
        <f>'Technical Skills Weighting'!BF38+"`FU!$f}"</f>
        <v>#VALUE!</v>
      </c>
      <c r="HF67" t="e">
        <f>'Technical Skills Weighting'!BG38+"`FU!$f~"</f>
        <v>#VALUE!</v>
      </c>
      <c r="HG67" t="e">
        <f>'Technical Skills Weighting'!BH38+"`FU!$g#"</f>
        <v>#VALUE!</v>
      </c>
      <c r="HH67" t="e">
        <f>'Technical Skills Weighting'!BI38+"`FU!$g$"</f>
        <v>#VALUE!</v>
      </c>
      <c r="HI67" t="e">
        <f>'Technical Skills Weighting'!BJ38+"`FU!$g%"</f>
        <v>#VALUE!</v>
      </c>
      <c r="HJ67" t="e">
        <f>'Technical Skills Weighting'!BK38+"`FU!$g&amp;"</f>
        <v>#VALUE!</v>
      </c>
      <c r="HK67" t="e">
        <f>'Technical Skills Weighting'!BL38+"`FU!$g'"</f>
        <v>#VALUE!</v>
      </c>
      <c r="HL67" t="e">
        <f>'Technical Skills Weighting'!BM38+"`FU!$g("</f>
        <v>#VALUE!</v>
      </c>
      <c r="HM67" t="e">
        <f>'Technical Skills Weighting'!BN38+"`FU!$g)"</f>
        <v>#VALUE!</v>
      </c>
      <c r="HN67" t="e">
        <f>'Technical Skills Weighting'!BO38+"`FU!$g."</f>
        <v>#VALUE!</v>
      </c>
      <c r="HO67" t="e">
        <f>'Technical Skills Weighting'!BP38+"`FU!$g/"</f>
        <v>#VALUE!</v>
      </c>
      <c r="HP67" t="e">
        <f>'Technical Skills Weighting'!BQ38+"`FU!$g0"</f>
        <v>#VALUE!</v>
      </c>
      <c r="HQ67" t="e">
        <f>'Technical Skills Weighting'!BR38+"`FU!$g1"</f>
        <v>#VALUE!</v>
      </c>
      <c r="HR67" t="e">
        <f>'Technical Skills Weighting'!BS38+"`FU!$g2"</f>
        <v>#VALUE!</v>
      </c>
      <c r="HS67" t="e">
        <f>'Technical Skills Weighting'!BT38+"`FU!$g3"</f>
        <v>#VALUE!</v>
      </c>
      <c r="HT67" t="e">
        <f>'Technical Skills Weighting'!BU38+"`FU!$g4"</f>
        <v>#VALUE!</v>
      </c>
      <c r="HU67" t="e">
        <f>'Technical Skills Weighting'!BV38+"`FU!$g5"</f>
        <v>#VALUE!</v>
      </c>
      <c r="HV67" t="e">
        <f>'Technical Skills Weighting'!BW38+"`FU!$g6"</f>
        <v>#VALUE!</v>
      </c>
      <c r="HW67" t="e">
        <f>'Technical Skills Weighting'!BX38+"`FU!$g7"</f>
        <v>#VALUE!</v>
      </c>
      <c r="HX67" t="e">
        <f>'Technical Skills Weighting'!BY38+"`FU!$g8"</f>
        <v>#VALUE!</v>
      </c>
      <c r="HY67" t="e">
        <f>'Technical Skills Weighting'!BZ38+"`FU!$g9"</f>
        <v>#VALUE!</v>
      </c>
      <c r="HZ67" t="e">
        <f>'Technical Skills Weighting'!CA38+"`FU!$g:"</f>
        <v>#VALUE!</v>
      </c>
      <c r="IA67" t="e">
        <f>'Technical Skills Weighting'!CB38+"`FU!$g;"</f>
        <v>#VALUE!</v>
      </c>
      <c r="IB67" t="e">
        <f>'Technical Skills Weighting'!CC38+"`FU!$g&lt;"</f>
        <v>#VALUE!</v>
      </c>
      <c r="IC67" t="e">
        <f>'Technical Skills Weighting'!CD38+"`FU!$g="</f>
        <v>#VALUE!</v>
      </c>
      <c r="ID67" t="e">
        <f>'Technical Skills Weighting'!CE38+"`FU!$g&gt;"</f>
        <v>#VALUE!</v>
      </c>
      <c r="IE67" t="e">
        <f>'Technical Skills Weighting'!CF38+"`FU!$g?"</f>
        <v>#VALUE!</v>
      </c>
      <c r="IF67" t="e">
        <f>'Technical Skills Weighting'!CG38+"`FU!$g@"</f>
        <v>#VALUE!</v>
      </c>
      <c r="IG67" t="e">
        <f>'Technical Skills Weighting'!CH38+"`FU!$gA"</f>
        <v>#VALUE!</v>
      </c>
      <c r="IH67" t="e">
        <f>'Technical Skills Weighting'!CI38+"`FU!$gB"</f>
        <v>#VALUE!</v>
      </c>
      <c r="II67" t="e">
        <f>'Technical Skills Weighting'!CJ38+"`FU!$gC"</f>
        <v>#VALUE!</v>
      </c>
      <c r="IJ67" t="e">
        <f>'Technical Skills Weighting'!CK38+"`FU!$gD"</f>
        <v>#VALUE!</v>
      </c>
      <c r="IK67" t="e">
        <f>'Technical Skills Weighting'!CL38+"`FU!$gE"</f>
        <v>#VALUE!</v>
      </c>
      <c r="IL67" t="e">
        <f>'Technical Skills Weighting'!CM38+"`FU!$gF"</f>
        <v>#VALUE!</v>
      </c>
      <c r="IM67" t="e">
        <f>'Technical Skills Weighting'!CN38+"`FU!$gG"</f>
        <v>#VALUE!</v>
      </c>
      <c r="IN67" t="e">
        <f>'Technical Skills Weighting'!CO38+"`FU!$gH"</f>
        <v>#VALUE!</v>
      </c>
      <c r="IO67" t="e">
        <f>'Technical Skills Weighting'!CP38+"`FU!$gI"</f>
        <v>#VALUE!</v>
      </c>
      <c r="IP67" t="e">
        <f>'Technical Skills Weighting'!CQ38+"`FU!$gJ"</f>
        <v>#VALUE!</v>
      </c>
      <c r="IQ67" t="e">
        <f>'Technical Skills Weighting'!CR38+"`FU!$gK"</f>
        <v>#VALUE!</v>
      </c>
      <c r="IR67" t="e">
        <f>'Technical Skills Weighting'!CS38+"`FU!$gL"</f>
        <v>#VALUE!</v>
      </c>
      <c r="IS67" t="e">
        <f>'Technical Skills Weighting'!CT38+"`FU!$gM"</f>
        <v>#VALUE!</v>
      </c>
      <c r="IT67" t="e">
        <f>'Technical Skills Weighting'!CU38+"`FU!$gN"</f>
        <v>#VALUE!</v>
      </c>
      <c r="IU67" t="e">
        <f>'Technical Skills Weighting'!CV38+"`FU!$gO"</f>
        <v>#VALUE!</v>
      </c>
      <c r="IV67" t="e">
        <f>'Technical Skills Weighting'!CW38+"`FU!$gP"</f>
        <v>#VALUE!</v>
      </c>
    </row>
    <row r="68" spans="6:256" x14ac:dyDescent="0.25">
      <c r="F68" t="e">
        <f>'Technical Skills Weighting'!CX38+"`FU!$gQ"</f>
        <v>#VALUE!</v>
      </c>
      <c r="G68" t="e">
        <f>'Technical Skills Weighting'!CY38+"`FU!$gR"</f>
        <v>#VALUE!</v>
      </c>
      <c r="H68" t="e">
        <f>'Technical Skills Weighting'!CZ38+"`FU!$gS"</f>
        <v>#VALUE!</v>
      </c>
      <c r="I68" t="e">
        <f>'Technical Skills Weighting'!DA38+"`FU!$gT"</f>
        <v>#VALUE!</v>
      </c>
      <c r="J68" t="e">
        <f>'Technical Skills Weighting'!DB38+"`FU!$gU"</f>
        <v>#VALUE!</v>
      </c>
      <c r="K68" t="e">
        <f>'Technical Skills Weighting'!DC38+"`FU!$gV"</f>
        <v>#VALUE!</v>
      </c>
      <c r="L68" t="e">
        <f>'Technical Skills Weighting'!DD38+"`FU!$gW"</f>
        <v>#VALUE!</v>
      </c>
      <c r="M68" t="e">
        <f>'Technical Skills Weighting'!DE38+"`FU!$gX"</f>
        <v>#VALUE!</v>
      </c>
      <c r="N68" t="e">
        <f>'Technical Skills Weighting'!DF38+"`FU!$gY"</f>
        <v>#VALUE!</v>
      </c>
      <c r="O68" t="e">
        <f>'Technical Skills Weighting'!DG38+"`FU!$gZ"</f>
        <v>#VALUE!</v>
      </c>
      <c r="P68" t="e">
        <f>'Technical Skills Weighting'!DH38+"`FU!$g["</f>
        <v>#VALUE!</v>
      </c>
      <c r="Q68" t="e">
        <f>'Technical Skills Weighting'!DI38+"`FU!$g\"</f>
        <v>#VALUE!</v>
      </c>
      <c r="R68" t="e">
        <f>'Technical Skills Weighting'!DJ38+"`FU!$g]"</f>
        <v>#VALUE!</v>
      </c>
      <c r="S68" t="e">
        <f>'Technical Skills Weighting'!DK38+"`FU!$g^"</f>
        <v>#VALUE!</v>
      </c>
      <c r="T68" t="e">
        <f>'Technical Skills Weighting'!DL38+"`FU!$g_"</f>
        <v>#VALUE!</v>
      </c>
      <c r="U68" t="e">
        <f>'Technical Skills Weighting'!DM38+"`FU!$g`"</f>
        <v>#VALUE!</v>
      </c>
      <c r="V68" t="e">
        <f>'Technical Skills Weighting'!DN38+"`FU!$ga"</f>
        <v>#VALUE!</v>
      </c>
      <c r="W68" t="e">
        <f>'Technical Skills Weighting'!DO38+"`FU!$gb"</f>
        <v>#VALUE!</v>
      </c>
      <c r="X68" t="e">
        <f>'Technical Skills Weighting'!DP38+"`FU!$gc"</f>
        <v>#VALUE!</v>
      </c>
      <c r="Y68" t="e">
        <f>'Technical Skills Weighting'!DQ38+"`FU!$gd"</f>
        <v>#VALUE!</v>
      </c>
      <c r="Z68" t="e">
        <f>'Technical Skills Weighting'!DR38+"`FU!$ge"</f>
        <v>#VALUE!</v>
      </c>
      <c r="AA68" t="e">
        <f>'Technical Skills Weighting'!DS38+"`FU!$gf"</f>
        <v>#VALUE!</v>
      </c>
      <c r="AB68" t="e">
        <f>'Technical Skills Weighting'!DT38+"`FU!$gg"</f>
        <v>#VALUE!</v>
      </c>
      <c r="AC68" t="e">
        <f>'Technical Skills Weighting'!DU38+"`FU!$gh"</f>
        <v>#VALUE!</v>
      </c>
      <c r="AD68" t="e">
        <f>'Technical Skills Weighting'!DV38+"`FU!$gi"</f>
        <v>#VALUE!</v>
      </c>
      <c r="AE68" t="e">
        <f>'Technical Skills Weighting'!DW38+"`FU!$gj"</f>
        <v>#VALUE!</v>
      </c>
      <c r="AF68" t="e">
        <f>'Technical Skills Weighting'!DX38+"`FU!$gk"</f>
        <v>#VALUE!</v>
      </c>
      <c r="AG68" t="e">
        <f>'Technical Skills Weighting'!DY38+"`FU!$gl"</f>
        <v>#VALUE!</v>
      </c>
      <c r="AH68" t="e">
        <f>'Technical Skills Weighting'!DZ38+"`FU!$gm"</f>
        <v>#VALUE!</v>
      </c>
      <c r="AI68" t="e">
        <f>'Technical Skills Weighting'!EA38+"`FU!$gn"</f>
        <v>#VALUE!</v>
      </c>
      <c r="AJ68" t="e">
        <f>'Technical Skills Weighting'!EB38+"`FU!$go"</f>
        <v>#VALUE!</v>
      </c>
      <c r="AK68" t="e">
        <f>'Technical Skills Weighting'!EC38+"`FU!$gp"</f>
        <v>#VALUE!</v>
      </c>
      <c r="AL68" t="e">
        <f>'Technical Skills Weighting'!ED38+"`FU!$gq"</f>
        <v>#VALUE!</v>
      </c>
      <c r="AM68" t="e">
        <f>'Technical Skills Weighting'!EE38+"`FU!$gr"</f>
        <v>#VALUE!</v>
      </c>
      <c r="AN68" t="e">
        <f>'Technical Skills Weighting'!EF38+"`FU!$gs"</f>
        <v>#VALUE!</v>
      </c>
      <c r="AO68" t="e">
        <f>'Technical Skills Weighting'!EG38+"`FU!$gt"</f>
        <v>#VALUE!</v>
      </c>
      <c r="AP68" t="e">
        <f>'Technical Skills Weighting'!EH38+"`FU!$gu"</f>
        <v>#VALUE!</v>
      </c>
      <c r="AQ68" t="e">
        <f>'Technical Skills Weighting'!EI38+"`FU!$gv"</f>
        <v>#VALUE!</v>
      </c>
      <c r="AR68" t="e">
        <f>'Technical Skills Weighting'!EJ38+"`FU!$gw"</f>
        <v>#VALUE!</v>
      </c>
      <c r="AS68" t="e">
        <f>'Technical Skills Weighting'!EK38+"`FU!$gx"</f>
        <v>#VALUE!</v>
      </c>
      <c r="AT68" t="e">
        <f>'Technical Skills Weighting'!EL38+"`FU!$gy"</f>
        <v>#VALUE!</v>
      </c>
      <c r="AU68" t="e">
        <f>'Technical Skills Weighting'!EM38+"`FU!$gz"</f>
        <v>#VALUE!</v>
      </c>
      <c r="AV68" t="e">
        <f>'Technical Skills Weighting'!EN38+"`FU!$g{"</f>
        <v>#VALUE!</v>
      </c>
      <c r="AW68" t="e">
        <f>'Technical Skills Weighting'!EO38+"`FU!$g|"</f>
        <v>#VALUE!</v>
      </c>
      <c r="AX68" t="e">
        <f>'Technical Skills Weighting'!EP38+"`FU!$g}"</f>
        <v>#VALUE!</v>
      </c>
      <c r="AY68" t="e">
        <f>'Technical Skills Weighting'!EQ38+"`FU!$g~"</f>
        <v>#VALUE!</v>
      </c>
      <c r="AZ68" t="e">
        <f>'Technical Skills Weighting'!ER38+"`FU!$h#"</f>
        <v>#VALUE!</v>
      </c>
      <c r="BA68" t="e">
        <f>'Technical Skills Weighting'!ES38+"`FU!$h$"</f>
        <v>#VALUE!</v>
      </c>
      <c r="BB68" t="e">
        <f>'Technical Skills Weighting'!ET38+"`FU!$h%"</f>
        <v>#VALUE!</v>
      </c>
      <c r="BC68" t="e">
        <f>'Technical Skills Weighting'!EU38+"`FU!$h&amp;"</f>
        <v>#VALUE!</v>
      </c>
      <c r="BD68" t="e">
        <f>'Technical Skills Weighting'!EV38+"`FU!$h'"</f>
        <v>#VALUE!</v>
      </c>
      <c r="BE68" t="e">
        <f>'Technical Skills Weighting'!EW38+"`FU!$h("</f>
        <v>#VALUE!</v>
      </c>
      <c r="BF68" t="e">
        <f>'Technical Skills Weighting'!EX38+"`FU!$h)"</f>
        <v>#VALUE!</v>
      </c>
      <c r="BG68" t="e">
        <f>'Technical Skills Weighting'!EY38+"`FU!$h."</f>
        <v>#VALUE!</v>
      </c>
      <c r="BH68" t="e">
        <f>'Technical Skills Weighting'!EZ38+"`FU!$h/"</f>
        <v>#VALUE!</v>
      </c>
      <c r="BI68" t="e">
        <f>'Technical Skills Weighting'!FA38+"`FU!$h0"</f>
        <v>#VALUE!</v>
      </c>
      <c r="BJ68" t="e">
        <f>'Technical Skills Weighting'!FB38+"`FU!$h1"</f>
        <v>#VALUE!</v>
      </c>
      <c r="BK68" t="e">
        <f>'Technical Skills Weighting'!FC38+"`FU!$h2"</f>
        <v>#VALUE!</v>
      </c>
      <c r="BL68" t="e">
        <f>'Technical Skills Weighting'!FD38+"`FU!$h3"</f>
        <v>#VALUE!</v>
      </c>
      <c r="BM68" t="e">
        <f>'Technical Skills Weighting'!FE38+"`FU!$h4"</f>
        <v>#VALUE!</v>
      </c>
      <c r="BN68" t="e">
        <f>'Technical Skills Weighting'!FF38+"`FU!$h5"</f>
        <v>#VALUE!</v>
      </c>
      <c r="BO68" t="e">
        <f>'Technical Skills Weighting'!FG38+"`FU!$h6"</f>
        <v>#VALUE!</v>
      </c>
      <c r="BP68" t="e">
        <f>'Technical Skills Weighting'!FH38+"`FU!$h7"</f>
        <v>#VALUE!</v>
      </c>
      <c r="BQ68" t="e">
        <f>'Technical Skills Weighting'!FI38+"`FU!$h8"</f>
        <v>#VALUE!</v>
      </c>
      <c r="BR68" t="e">
        <f>'Technical Skills Weighting'!FJ38+"`FU!$h9"</f>
        <v>#VALUE!</v>
      </c>
      <c r="BS68" t="e">
        <f>'Technical Skills Weighting'!FK38+"`FU!$h:"</f>
        <v>#VALUE!</v>
      </c>
      <c r="BT68" t="e">
        <f>'Technical Skills Weighting'!FL38+"`FU!$h;"</f>
        <v>#VALUE!</v>
      </c>
      <c r="BU68" t="e">
        <f>'Technical Skills Weighting'!FM38+"`FU!$h&lt;"</f>
        <v>#VALUE!</v>
      </c>
      <c r="BV68" t="e">
        <f>'Technical Skills Weighting'!FN38+"`FU!$h="</f>
        <v>#VALUE!</v>
      </c>
      <c r="BW68" t="e">
        <f>'Technical Skills Weighting'!FO38+"`FU!$h&gt;"</f>
        <v>#VALUE!</v>
      </c>
      <c r="BX68" t="e">
        <f>'Technical Skills Weighting'!FP38+"`FU!$h?"</f>
        <v>#VALUE!</v>
      </c>
      <c r="BY68" t="e">
        <f>'Technical Skills Weighting'!FQ38+"`FU!$h@"</f>
        <v>#VALUE!</v>
      </c>
      <c r="BZ68" t="e">
        <f>'Technical Skills Weighting'!FR38+"`FU!$hA"</f>
        <v>#VALUE!</v>
      </c>
      <c r="CA68" t="e">
        <f>'Technical Skills Weighting'!FS38+"`FU!$hB"</f>
        <v>#VALUE!</v>
      </c>
      <c r="CB68" t="e">
        <f>'Technical Skills Weighting'!FT38+"`FU!$hC"</f>
        <v>#VALUE!</v>
      </c>
      <c r="CC68" t="e">
        <f>'Technical Skills Weighting'!FU38+"`FU!$hD"</f>
        <v>#VALUE!</v>
      </c>
      <c r="CD68" t="e">
        <f>'Technical Skills Weighting'!FV38+"`FU!$hE"</f>
        <v>#VALUE!</v>
      </c>
      <c r="CE68" t="e">
        <f>'Technical Skills Weighting'!FW38+"`FU!$hF"</f>
        <v>#VALUE!</v>
      </c>
      <c r="CF68" t="e">
        <f>'Technical Skills Weighting'!FX38+"`FU!$hG"</f>
        <v>#VALUE!</v>
      </c>
      <c r="CG68" t="e">
        <f>'Technical Skills Weighting'!FY38+"`FU!$hH"</f>
        <v>#VALUE!</v>
      </c>
      <c r="CH68" t="e">
        <f>'Technical Skills Weighting'!FZ38+"`FU!$hI"</f>
        <v>#VALUE!</v>
      </c>
      <c r="CI68" t="e">
        <f>'Technical Skills Weighting'!GA38+"`FU!$hJ"</f>
        <v>#VALUE!</v>
      </c>
      <c r="CJ68" t="e">
        <f>'Technical Skills Weighting'!GB38+"`FU!$hK"</f>
        <v>#VALUE!</v>
      </c>
      <c r="CK68" t="e">
        <f>'Technical Skills Weighting'!GC38+"`FU!$hL"</f>
        <v>#VALUE!</v>
      </c>
      <c r="CL68" t="e">
        <f>'Technical Skills Weighting'!GD38+"`FU!$hM"</f>
        <v>#VALUE!</v>
      </c>
      <c r="CM68" t="e">
        <f>'Technical Skills Weighting'!GE38+"`FU!$hN"</f>
        <v>#VALUE!</v>
      </c>
      <c r="CN68" t="e">
        <f>'Technical Skills Weighting'!GF38+"`FU!$hO"</f>
        <v>#VALUE!</v>
      </c>
      <c r="CO68" t="e">
        <f>'Technical Skills Weighting'!GG38+"`FU!$hP"</f>
        <v>#VALUE!</v>
      </c>
      <c r="CP68" t="e">
        <f>'Technical Skills Weighting'!D39+"`FU!$hQ"</f>
        <v>#VALUE!</v>
      </c>
      <c r="CQ68" t="e">
        <f>'Technical Skills Weighting'!E39+"`FU!$hR"</f>
        <v>#VALUE!</v>
      </c>
      <c r="CR68" t="e">
        <f>'Technical Skills Weighting'!F39+"`FU!$hS"</f>
        <v>#VALUE!</v>
      </c>
      <c r="CS68" t="e">
        <f>'Technical Skills Weighting'!G39+"`FU!$hT"</f>
        <v>#VALUE!</v>
      </c>
      <c r="CT68" t="e">
        <f>'Technical Skills Weighting'!A40+"`FU!$hU"</f>
        <v>#VALUE!</v>
      </c>
      <c r="CU68" t="e">
        <f>'Technical Skills Weighting'!D40+"`FU!$hV"</f>
        <v>#VALUE!</v>
      </c>
      <c r="CV68" t="e">
        <f>'Technical Skills Weighting'!E40+"`FU!$hW"</f>
        <v>#VALUE!</v>
      </c>
      <c r="CW68" t="e">
        <f>'Technical Skills Weighting'!F40+"`FU!$hX"</f>
        <v>#VALUE!</v>
      </c>
      <c r="CX68" t="e">
        <f>'Technical Skills Weighting'!G40+"`FU!$hY"</f>
        <v>#VALUE!</v>
      </c>
      <c r="CY68" t="e">
        <f>'Technical Skills Weighting'!H40+"`FU!$hZ"</f>
        <v>#VALUE!</v>
      </c>
      <c r="CZ68" t="e">
        <f>'Technical Skills Weighting'!I40+"`FU!$h["</f>
        <v>#VALUE!</v>
      </c>
      <c r="DA68" t="e">
        <f>'Technical Skills Weighting'!J40+"`FU!$h\"</f>
        <v>#VALUE!</v>
      </c>
      <c r="DB68" t="e">
        <f>'Technical Skills Weighting'!K40+"`FU!$h]"</f>
        <v>#VALUE!</v>
      </c>
      <c r="DC68" t="e">
        <f>'Technical Skills Weighting'!L40+"`FU!$h^"</f>
        <v>#VALUE!</v>
      </c>
      <c r="DD68" t="e">
        <f>'Technical Skills Weighting'!M40+"`FU!$h_"</f>
        <v>#VALUE!</v>
      </c>
      <c r="DE68" t="e">
        <f>'Technical Skills Weighting'!N40+"`FU!$h`"</f>
        <v>#VALUE!</v>
      </c>
      <c r="DF68" t="e">
        <f>'Technical Skills Weighting'!O40+"`FU!$ha"</f>
        <v>#VALUE!</v>
      </c>
      <c r="DG68" t="e">
        <f>'Technical Skills Weighting'!P40+"`FU!$hb"</f>
        <v>#VALUE!</v>
      </c>
      <c r="DH68" t="e">
        <f>'Technical Skills Weighting'!Q40+"`FU!$hc"</f>
        <v>#VALUE!</v>
      </c>
      <c r="DI68" t="e">
        <f>'Technical Skills Weighting'!R40+"`FU!$hd"</f>
        <v>#VALUE!</v>
      </c>
      <c r="DJ68" t="e">
        <f>'Technical Skills Weighting'!S40+"`FU!$he"</f>
        <v>#VALUE!</v>
      </c>
      <c r="DK68" t="e">
        <f>'Technical Skills Weighting'!T40+"`FU!$hf"</f>
        <v>#VALUE!</v>
      </c>
      <c r="DL68" t="e">
        <f>'Technical Skills Weighting'!U40+"`FU!$hg"</f>
        <v>#VALUE!</v>
      </c>
      <c r="DM68" t="e">
        <f>'Technical Skills Weighting'!V40+"`FU!$hh"</f>
        <v>#VALUE!</v>
      </c>
      <c r="DN68" t="e">
        <f>'Technical Skills Weighting'!W40+"`FU!$hi"</f>
        <v>#VALUE!</v>
      </c>
      <c r="DO68" t="e">
        <f>'Technical Skills Weighting'!X40+"`FU!$hj"</f>
        <v>#VALUE!</v>
      </c>
      <c r="DP68" t="e">
        <f>'Technical Skills Weighting'!Y40+"`FU!$hk"</f>
        <v>#VALUE!</v>
      </c>
      <c r="DQ68" t="e">
        <f>'Technical Skills Weighting'!Z40+"`FU!$hl"</f>
        <v>#VALUE!</v>
      </c>
      <c r="DR68" t="e">
        <f>'Technical Skills Weighting'!AA40+"`FU!$hm"</f>
        <v>#VALUE!</v>
      </c>
      <c r="DS68" t="e">
        <f>'Technical Skills Weighting'!AB40+"`FU!$hn"</f>
        <v>#VALUE!</v>
      </c>
      <c r="DT68" t="e">
        <f>'Technical Skills Weighting'!AC40+"`FU!$ho"</f>
        <v>#VALUE!</v>
      </c>
      <c r="DU68" t="e">
        <f>'Technical Skills Weighting'!AD40+"`FU!$hp"</f>
        <v>#VALUE!</v>
      </c>
      <c r="DV68" t="e">
        <f>'Technical Skills Weighting'!AE40+"`FU!$hq"</f>
        <v>#VALUE!</v>
      </c>
      <c r="DW68" t="e">
        <f>'Technical Skills Weighting'!AF40+"`FU!$hr"</f>
        <v>#VALUE!</v>
      </c>
      <c r="DX68" t="e">
        <f>'Technical Skills Weighting'!AG40+"`FU!$hs"</f>
        <v>#VALUE!</v>
      </c>
      <c r="DY68" t="e">
        <f>'Technical Skills Weighting'!AH40+"`FU!$ht"</f>
        <v>#VALUE!</v>
      </c>
      <c r="DZ68" t="e">
        <f>'Technical Skills Weighting'!AI40+"`FU!$hu"</f>
        <v>#VALUE!</v>
      </c>
      <c r="EA68" t="e">
        <f>'Technical Skills Weighting'!AJ40+"`FU!$hv"</f>
        <v>#VALUE!</v>
      </c>
      <c r="EB68" t="e">
        <f>'Technical Skills Weighting'!AK40+"`FU!$hw"</f>
        <v>#VALUE!</v>
      </c>
      <c r="EC68" t="e">
        <f>'Technical Skills Weighting'!AL40+"`FU!$hx"</f>
        <v>#VALUE!</v>
      </c>
      <c r="ED68" t="e">
        <f>'Technical Skills Weighting'!AM40+"`FU!$hy"</f>
        <v>#VALUE!</v>
      </c>
      <c r="EE68" t="e">
        <f>'Technical Skills Weighting'!AN40+"`FU!$hz"</f>
        <v>#VALUE!</v>
      </c>
      <c r="EF68" t="e">
        <f>'Technical Skills Weighting'!AO40+"`FU!$h{"</f>
        <v>#VALUE!</v>
      </c>
      <c r="EG68" t="e">
        <f>'Technical Skills Weighting'!AP40+"`FU!$h|"</f>
        <v>#VALUE!</v>
      </c>
      <c r="EH68" t="e">
        <f>'Technical Skills Weighting'!AQ40+"`FU!$h}"</f>
        <v>#VALUE!</v>
      </c>
      <c r="EI68" t="e">
        <f>'Technical Skills Weighting'!AR40+"`FU!$h~"</f>
        <v>#VALUE!</v>
      </c>
      <c r="EJ68" t="e">
        <f>'Technical Skills Weighting'!AS40+"`FU!$i#"</f>
        <v>#VALUE!</v>
      </c>
      <c r="EK68" t="e">
        <f>'Technical Skills Weighting'!AT40+"`FU!$i$"</f>
        <v>#VALUE!</v>
      </c>
      <c r="EL68" t="e">
        <f>'Technical Skills Weighting'!AU40+"`FU!$i%"</f>
        <v>#VALUE!</v>
      </c>
      <c r="EM68" t="e">
        <f>'Technical Skills Weighting'!AV40+"`FU!$i&amp;"</f>
        <v>#VALUE!</v>
      </c>
      <c r="EN68" t="e">
        <f>'Technical Skills Weighting'!AW40+"`FU!$i'"</f>
        <v>#VALUE!</v>
      </c>
      <c r="EO68" t="e">
        <f>'Technical Skills Weighting'!AX40+"`FU!$i("</f>
        <v>#VALUE!</v>
      </c>
      <c r="EP68" t="e">
        <f>'Technical Skills Weighting'!AY40+"`FU!$i)"</f>
        <v>#VALUE!</v>
      </c>
      <c r="EQ68" t="e">
        <f>'Technical Skills Weighting'!AZ40+"`FU!$i."</f>
        <v>#VALUE!</v>
      </c>
      <c r="ER68" t="e">
        <f>'Technical Skills Weighting'!BA40+"`FU!$i/"</f>
        <v>#VALUE!</v>
      </c>
      <c r="ES68" t="e">
        <f>'Technical Skills Weighting'!BB40+"`FU!$i0"</f>
        <v>#VALUE!</v>
      </c>
      <c r="ET68" t="e">
        <f>'Technical Skills Weighting'!BC40+"`FU!$i1"</f>
        <v>#VALUE!</v>
      </c>
      <c r="EU68" t="e">
        <f>'Technical Skills Weighting'!BD40+"`FU!$i2"</f>
        <v>#VALUE!</v>
      </c>
      <c r="EV68" t="e">
        <f>'Technical Skills Weighting'!BE40+"`FU!$i3"</f>
        <v>#VALUE!</v>
      </c>
      <c r="EW68" t="e">
        <f>'Technical Skills Weighting'!BF40+"`FU!$i4"</f>
        <v>#VALUE!</v>
      </c>
      <c r="EX68" t="e">
        <f>'Technical Skills Weighting'!BG40+"`FU!$i5"</f>
        <v>#VALUE!</v>
      </c>
      <c r="EY68" t="e">
        <f>'Technical Skills Weighting'!BH40+"`FU!$i6"</f>
        <v>#VALUE!</v>
      </c>
      <c r="EZ68" t="e">
        <f>'Technical Skills Weighting'!BI40+"`FU!$i7"</f>
        <v>#VALUE!</v>
      </c>
      <c r="FA68" t="e">
        <f>'Technical Skills Weighting'!BJ40+"`FU!$i8"</f>
        <v>#VALUE!</v>
      </c>
      <c r="FB68" t="e">
        <f>'Technical Skills Weighting'!BK40+"`FU!$i9"</f>
        <v>#VALUE!</v>
      </c>
      <c r="FC68" t="e">
        <f>'Technical Skills Weighting'!BL40+"`FU!$i:"</f>
        <v>#VALUE!</v>
      </c>
      <c r="FD68" t="e">
        <f>'Technical Skills Weighting'!BM40+"`FU!$i;"</f>
        <v>#VALUE!</v>
      </c>
      <c r="FE68" t="e">
        <f>'Technical Skills Weighting'!BN40+"`FU!$i&lt;"</f>
        <v>#VALUE!</v>
      </c>
      <c r="FF68" t="e">
        <f>'Technical Skills Weighting'!BO40+"`FU!$i="</f>
        <v>#VALUE!</v>
      </c>
      <c r="FG68" t="e">
        <f>'Technical Skills Weighting'!BP40+"`FU!$i&gt;"</f>
        <v>#VALUE!</v>
      </c>
      <c r="FH68" t="e">
        <f>'Technical Skills Weighting'!BQ40+"`FU!$i?"</f>
        <v>#VALUE!</v>
      </c>
      <c r="FI68" t="e">
        <f>'Technical Skills Weighting'!BR40+"`FU!$i@"</f>
        <v>#VALUE!</v>
      </c>
      <c r="FJ68" t="e">
        <f>'Technical Skills Weighting'!BS40+"`FU!$iA"</f>
        <v>#VALUE!</v>
      </c>
      <c r="FK68" t="e">
        <f>'Technical Skills Weighting'!BT40+"`FU!$iB"</f>
        <v>#VALUE!</v>
      </c>
      <c r="FL68" t="e">
        <f>'Technical Skills Weighting'!BU40+"`FU!$iC"</f>
        <v>#VALUE!</v>
      </c>
      <c r="FM68" t="e">
        <f>'Technical Skills Weighting'!BV40+"`FU!$iD"</f>
        <v>#VALUE!</v>
      </c>
      <c r="FN68" t="e">
        <f>'Technical Skills Weighting'!BW40+"`FU!$iE"</f>
        <v>#VALUE!</v>
      </c>
      <c r="FO68" t="e">
        <f>'Technical Skills Weighting'!BX40+"`FU!$iF"</f>
        <v>#VALUE!</v>
      </c>
      <c r="FP68" t="e">
        <f>'Technical Skills Weighting'!BY40+"`FU!$iG"</f>
        <v>#VALUE!</v>
      </c>
      <c r="FQ68" t="e">
        <f>'Technical Skills Weighting'!BZ40+"`FU!$iH"</f>
        <v>#VALUE!</v>
      </c>
      <c r="FR68" t="e">
        <f>'Technical Skills Weighting'!CA40+"`FU!$iI"</f>
        <v>#VALUE!</v>
      </c>
      <c r="FS68" t="e">
        <f>'Technical Skills Weighting'!CB40+"`FU!$iJ"</f>
        <v>#VALUE!</v>
      </c>
      <c r="FT68" t="e">
        <f>'Technical Skills Weighting'!CC40+"`FU!$iK"</f>
        <v>#VALUE!</v>
      </c>
      <c r="FU68" t="e">
        <f>'Technical Skills Weighting'!CD40+"`FU!$iL"</f>
        <v>#VALUE!</v>
      </c>
      <c r="FV68" t="e">
        <f>'Technical Skills Weighting'!CE40+"`FU!$iM"</f>
        <v>#VALUE!</v>
      </c>
      <c r="FW68" t="e">
        <f>'Technical Skills Weighting'!CF40+"`FU!$iN"</f>
        <v>#VALUE!</v>
      </c>
      <c r="FX68" t="e">
        <f>'Technical Skills Weighting'!CG40+"`FU!$iO"</f>
        <v>#VALUE!</v>
      </c>
      <c r="FY68" t="e">
        <f>'Technical Skills Weighting'!CH40+"`FU!$iP"</f>
        <v>#VALUE!</v>
      </c>
      <c r="FZ68" t="e">
        <f>'Technical Skills Weighting'!CI40+"`FU!$iQ"</f>
        <v>#VALUE!</v>
      </c>
      <c r="GA68" t="e">
        <f>'Technical Skills Weighting'!CJ40+"`FU!$iR"</f>
        <v>#VALUE!</v>
      </c>
      <c r="GB68" t="e">
        <f>'Technical Skills Weighting'!CK40+"`FU!$iS"</f>
        <v>#VALUE!</v>
      </c>
      <c r="GC68" t="e">
        <f>'Technical Skills Weighting'!CL40+"`FU!$iT"</f>
        <v>#VALUE!</v>
      </c>
      <c r="GD68" t="e">
        <f>'Technical Skills Weighting'!CM40+"`FU!$iU"</f>
        <v>#VALUE!</v>
      </c>
      <c r="GE68" t="e">
        <f>'Technical Skills Weighting'!CN40+"`FU!$iV"</f>
        <v>#VALUE!</v>
      </c>
      <c r="GF68" t="e">
        <f>'Technical Skills Weighting'!CO40+"`FU!$iW"</f>
        <v>#VALUE!</v>
      </c>
      <c r="GG68" t="e">
        <f>'Technical Skills Weighting'!CP40+"`FU!$iX"</f>
        <v>#VALUE!</v>
      </c>
      <c r="GH68" t="e">
        <f>'Technical Skills Weighting'!CQ40+"`FU!$iY"</f>
        <v>#VALUE!</v>
      </c>
      <c r="GI68" t="e">
        <f>'Technical Skills Weighting'!CR40+"`FU!$iZ"</f>
        <v>#VALUE!</v>
      </c>
      <c r="GJ68" t="e">
        <f>'Technical Skills Weighting'!CS40+"`FU!$i["</f>
        <v>#VALUE!</v>
      </c>
      <c r="GK68" t="e">
        <f>'Technical Skills Weighting'!CT40+"`FU!$i\"</f>
        <v>#VALUE!</v>
      </c>
      <c r="GL68" t="e">
        <f>'Technical Skills Weighting'!CU40+"`FU!$i]"</f>
        <v>#VALUE!</v>
      </c>
      <c r="GM68" t="e">
        <f>'Technical Skills Weighting'!CV40+"`FU!$i^"</f>
        <v>#VALUE!</v>
      </c>
      <c r="GN68" t="e">
        <f>'Technical Skills Weighting'!CW40+"`FU!$i_"</f>
        <v>#VALUE!</v>
      </c>
      <c r="GO68" t="e">
        <f>'Technical Skills Weighting'!CX40+"`FU!$i`"</f>
        <v>#VALUE!</v>
      </c>
      <c r="GP68" t="e">
        <f>'Technical Skills Weighting'!CY40+"`FU!$ia"</f>
        <v>#VALUE!</v>
      </c>
      <c r="GQ68" t="e">
        <f>'Technical Skills Weighting'!CZ40+"`FU!$ib"</f>
        <v>#VALUE!</v>
      </c>
      <c r="GR68" t="e">
        <f>'Technical Skills Weighting'!DA40+"`FU!$ic"</f>
        <v>#VALUE!</v>
      </c>
      <c r="GS68" t="e">
        <f>'Technical Skills Weighting'!DB40+"`FU!$id"</f>
        <v>#VALUE!</v>
      </c>
      <c r="GT68" t="e">
        <f>'Technical Skills Weighting'!DC40+"`FU!$ie"</f>
        <v>#VALUE!</v>
      </c>
      <c r="GU68" t="e">
        <f>'Technical Skills Weighting'!DD40+"`FU!$if"</f>
        <v>#VALUE!</v>
      </c>
      <c r="GV68" t="e">
        <f>'Technical Skills Weighting'!DE40+"`FU!$ig"</f>
        <v>#VALUE!</v>
      </c>
      <c r="GW68" t="e">
        <f>'Technical Skills Weighting'!DF40+"`FU!$ih"</f>
        <v>#VALUE!</v>
      </c>
      <c r="GX68" t="e">
        <f>'Technical Skills Weighting'!DG40+"`FU!$ii"</f>
        <v>#VALUE!</v>
      </c>
      <c r="GY68" t="e">
        <f>'Technical Skills Weighting'!DH40+"`FU!$ij"</f>
        <v>#VALUE!</v>
      </c>
      <c r="GZ68" t="e">
        <f>'Technical Skills Weighting'!DI40+"`FU!$ik"</f>
        <v>#VALUE!</v>
      </c>
      <c r="HA68" t="e">
        <f>'Technical Skills Weighting'!DJ40+"`FU!$il"</f>
        <v>#VALUE!</v>
      </c>
      <c r="HB68" t="e">
        <f>'Technical Skills Weighting'!DK40+"`FU!$im"</f>
        <v>#VALUE!</v>
      </c>
      <c r="HC68" t="e">
        <f>'Technical Skills Weighting'!DL40+"`FU!$in"</f>
        <v>#VALUE!</v>
      </c>
      <c r="HD68" t="e">
        <f>'Technical Skills Weighting'!DM40+"`FU!$io"</f>
        <v>#VALUE!</v>
      </c>
      <c r="HE68" t="e">
        <f>'Technical Skills Weighting'!DN40+"`FU!$ip"</f>
        <v>#VALUE!</v>
      </c>
      <c r="HF68" t="e">
        <f>'Technical Skills Weighting'!DO40+"`FU!$iq"</f>
        <v>#VALUE!</v>
      </c>
      <c r="HG68" t="e">
        <f>'Technical Skills Weighting'!DP40+"`FU!$ir"</f>
        <v>#VALUE!</v>
      </c>
      <c r="HH68" t="e">
        <f>'Technical Skills Weighting'!DQ40+"`FU!$is"</f>
        <v>#VALUE!</v>
      </c>
      <c r="HI68" t="e">
        <f>'Technical Skills Weighting'!DR40+"`FU!$it"</f>
        <v>#VALUE!</v>
      </c>
      <c r="HJ68" t="e">
        <f>'Technical Skills Weighting'!DS40+"`FU!$iu"</f>
        <v>#VALUE!</v>
      </c>
      <c r="HK68" t="e">
        <f>'Technical Skills Weighting'!DT40+"`FU!$iv"</f>
        <v>#VALUE!</v>
      </c>
      <c r="HL68" t="e">
        <f>'Technical Skills Weighting'!DU40+"`FU!$iw"</f>
        <v>#VALUE!</v>
      </c>
      <c r="HM68" t="e">
        <f>'Technical Skills Weighting'!DV40+"`FU!$ix"</f>
        <v>#VALUE!</v>
      </c>
      <c r="HN68" t="e">
        <f>'Technical Skills Weighting'!DW40+"`FU!$iy"</f>
        <v>#VALUE!</v>
      </c>
      <c r="HO68" t="e">
        <f>'Technical Skills Weighting'!DX40+"`FU!$iz"</f>
        <v>#VALUE!</v>
      </c>
      <c r="HP68" t="e">
        <f>'Technical Skills Weighting'!DY40+"`FU!$i{"</f>
        <v>#VALUE!</v>
      </c>
      <c r="HQ68" t="e">
        <f>'Technical Skills Weighting'!DZ40+"`FU!$i|"</f>
        <v>#VALUE!</v>
      </c>
      <c r="HR68" t="e">
        <f>'Technical Skills Weighting'!EA40+"`FU!$i}"</f>
        <v>#VALUE!</v>
      </c>
      <c r="HS68" t="e">
        <f>'Technical Skills Weighting'!EB40+"`FU!$i~"</f>
        <v>#VALUE!</v>
      </c>
      <c r="HT68" t="e">
        <f>'Technical Skills Weighting'!EC40+"`FU!$j#"</f>
        <v>#VALUE!</v>
      </c>
      <c r="HU68" t="e">
        <f>'Technical Skills Weighting'!ED40+"`FU!$j$"</f>
        <v>#VALUE!</v>
      </c>
      <c r="HV68" t="e">
        <f>'Technical Skills Weighting'!EE40+"`FU!$j%"</f>
        <v>#VALUE!</v>
      </c>
      <c r="HW68" t="e">
        <f>'Technical Skills Weighting'!EF40+"`FU!$j&amp;"</f>
        <v>#VALUE!</v>
      </c>
      <c r="HX68" t="e">
        <f>'Technical Skills Weighting'!EG40+"`FU!$j'"</f>
        <v>#VALUE!</v>
      </c>
      <c r="HY68" t="e">
        <f>'Technical Skills Weighting'!EH40+"`FU!$j("</f>
        <v>#VALUE!</v>
      </c>
      <c r="HZ68" t="e">
        <f>'Technical Skills Weighting'!EI40+"`FU!$j)"</f>
        <v>#VALUE!</v>
      </c>
      <c r="IA68" t="e">
        <f>'Technical Skills Weighting'!EJ40+"`FU!$j."</f>
        <v>#VALUE!</v>
      </c>
      <c r="IB68" t="e">
        <f>'Technical Skills Weighting'!EK40+"`FU!$j/"</f>
        <v>#VALUE!</v>
      </c>
      <c r="IC68" t="e">
        <f>'Technical Skills Weighting'!EL40+"`FU!$j0"</f>
        <v>#VALUE!</v>
      </c>
      <c r="ID68" t="e">
        <f>'Technical Skills Weighting'!EM40+"`FU!$j1"</f>
        <v>#VALUE!</v>
      </c>
      <c r="IE68" t="e">
        <f>'Technical Skills Weighting'!EN40+"`FU!$j2"</f>
        <v>#VALUE!</v>
      </c>
      <c r="IF68" t="e">
        <f>'Technical Skills Weighting'!EO40+"`FU!$j3"</f>
        <v>#VALUE!</v>
      </c>
      <c r="IG68" t="e">
        <f>'Technical Skills Weighting'!EP40+"`FU!$j4"</f>
        <v>#VALUE!</v>
      </c>
      <c r="IH68" t="e">
        <f>'Technical Skills Weighting'!EQ40+"`FU!$j5"</f>
        <v>#VALUE!</v>
      </c>
      <c r="II68" t="e">
        <f>'Technical Skills Weighting'!ER40+"`FU!$j6"</f>
        <v>#VALUE!</v>
      </c>
      <c r="IJ68" t="e">
        <f>'Technical Skills Weighting'!ES40+"`FU!$j7"</f>
        <v>#VALUE!</v>
      </c>
      <c r="IK68" t="e">
        <f>'Technical Skills Weighting'!ET40+"`FU!$j8"</f>
        <v>#VALUE!</v>
      </c>
      <c r="IL68" t="e">
        <f>'Technical Skills Weighting'!EU40+"`FU!$j9"</f>
        <v>#VALUE!</v>
      </c>
      <c r="IM68" t="e">
        <f>'Technical Skills Weighting'!EV40+"`FU!$j:"</f>
        <v>#VALUE!</v>
      </c>
      <c r="IN68" t="e">
        <f>'Technical Skills Weighting'!EW40+"`FU!$j;"</f>
        <v>#VALUE!</v>
      </c>
      <c r="IO68" t="e">
        <f>'Technical Skills Weighting'!EX40+"`FU!$j&lt;"</f>
        <v>#VALUE!</v>
      </c>
      <c r="IP68" t="e">
        <f>'Technical Skills Weighting'!EY40+"`FU!$j="</f>
        <v>#VALUE!</v>
      </c>
      <c r="IQ68" t="e">
        <f>'Technical Skills Weighting'!EZ40+"`FU!$j&gt;"</f>
        <v>#VALUE!</v>
      </c>
      <c r="IR68" t="e">
        <f>'Technical Skills Weighting'!FA40+"`FU!$j?"</f>
        <v>#VALUE!</v>
      </c>
      <c r="IS68" t="e">
        <f>'Technical Skills Weighting'!FB40+"`FU!$j@"</f>
        <v>#VALUE!</v>
      </c>
      <c r="IT68" t="e">
        <f>'Technical Skills Weighting'!FC40+"`FU!$jA"</f>
        <v>#VALUE!</v>
      </c>
      <c r="IU68" t="e">
        <f>'Technical Skills Weighting'!FD40+"`FU!$jB"</f>
        <v>#VALUE!</v>
      </c>
      <c r="IV68" t="e">
        <f>'Technical Skills Weighting'!FE40+"`FU!$jC"</f>
        <v>#VALUE!</v>
      </c>
    </row>
    <row r="69" spans="6:256" x14ac:dyDescent="0.25">
      <c r="F69" t="e">
        <f>'Technical Skills Weighting'!FF40+"`FU!$jD"</f>
        <v>#VALUE!</v>
      </c>
      <c r="G69" t="e">
        <f>'Technical Skills Weighting'!FG40+"`FU!$jE"</f>
        <v>#VALUE!</v>
      </c>
      <c r="H69" t="e">
        <f>'Technical Skills Weighting'!FH40+"`FU!$jF"</f>
        <v>#VALUE!</v>
      </c>
      <c r="I69" t="e">
        <f>'Technical Skills Weighting'!FI40+"`FU!$jG"</f>
        <v>#VALUE!</v>
      </c>
      <c r="J69" t="e">
        <f>'Technical Skills Weighting'!FJ40+"`FU!$jH"</f>
        <v>#VALUE!</v>
      </c>
      <c r="K69" t="e">
        <f>'Technical Skills Weighting'!FK40+"`FU!$jI"</f>
        <v>#VALUE!</v>
      </c>
      <c r="L69" t="e">
        <f>'Technical Skills Weighting'!FL40+"`FU!$jJ"</f>
        <v>#VALUE!</v>
      </c>
      <c r="M69" t="e">
        <f>'Technical Skills Weighting'!FM40+"`FU!$jK"</f>
        <v>#VALUE!</v>
      </c>
      <c r="N69" t="e">
        <f>'Technical Skills Weighting'!FN40+"`FU!$jL"</f>
        <v>#VALUE!</v>
      </c>
      <c r="O69" t="e">
        <f>'Technical Skills Weighting'!FO40+"`FU!$jM"</f>
        <v>#VALUE!</v>
      </c>
      <c r="P69" t="e">
        <f>'Technical Skills Weighting'!FP40+"`FU!$jN"</f>
        <v>#VALUE!</v>
      </c>
      <c r="Q69" t="e">
        <f>'Technical Skills Weighting'!FQ40+"`FU!$jO"</f>
        <v>#VALUE!</v>
      </c>
      <c r="R69" t="e">
        <f>'Technical Skills Weighting'!FR40+"`FU!$jP"</f>
        <v>#VALUE!</v>
      </c>
      <c r="S69" t="e">
        <f>'Technical Skills Weighting'!FS40+"`FU!$jQ"</f>
        <v>#VALUE!</v>
      </c>
      <c r="T69" t="e">
        <f>'Technical Skills Weighting'!FT40+"`FU!$jR"</f>
        <v>#VALUE!</v>
      </c>
      <c r="U69" t="e">
        <f>'Technical Skills Weighting'!FU40+"`FU!$jS"</f>
        <v>#VALUE!</v>
      </c>
      <c r="V69" t="e">
        <f>'Technical Skills Weighting'!FV40+"`FU!$jT"</f>
        <v>#VALUE!</v>
      </c>
      <c r="W69" t="e">
        <f>'Technical Skills Weighting'!FW40+"`FU!$jU"</f>
        <v>#VALUE!</v>
      </c>
      <c r="X69" t="e">
        <f>'Technical Skills Weighting'!FX40+"`FU!$jV"</f>
        <v>#VALUE!</v>
      </c>
      <c r="Y69" t="e">
        <f>'Technical Skills Weighting'!FY40+"`FU!$jW"</f>
        <v>#VALUE!</v>
      </c>
      <c r="Z69" t="e">
        <f>'Technical Skills Weighting'!FZ40+"`FU!$jX"</f>
        <v>#VALUE!</v>
      </c>
      <c r="AA69" t="e">
        <f>'Technical Skills Weighting'!GA40+"`FU!$jY"</f>
        <v>#VALUE!</v>
      </c>
      <c r="AB69" t="e">
        <f>'Technical Skills Weighting'!GB40+"`FU!$jZ"</f>
        <v>#VALUE!</v>
      </c>
      <c r="AC69" t="e">
        <f>'Technical Skills Weighting'!GC40+"`FU!$j["</f>
        <v>#VALUE!</v>
      </c>
      <c r="AD69" t="e">
        <f>'Technical Skills Weighting'!GD40+"`FU!$j\"</f>
        <v>#VALUE!</v>
      </c>
      <c r="AE69" t="e">
        <f>'Technical Skills Weighting'!GE40+"`FU!$j]"</f>
        <v>#VALUE!</v>
      </c>
      <c r="AF69" t="e">
        <f>'Technical Skills Weighting'!GF40+"`FU!$j^"</f>
        <v>#VALUE!</v>
      </c>
      <c r="AG69" t="e">
        <f>'Technical Skills Weighting'!GG40+"`FU!$j_"</f>
        <v>#VALUE!</v>
      </c>
      <c r="AH69" t="e">
        <f>'Technical Skills Weighting'!D41+"`FU!$j`"</f>
        <v>#VALUE!</v>
      </c>
      <c r="AI69" t="e">
        <f>'Technical Skills Weighting'!E41+"`FU!$ja"</f>
        <v>#VALUE!</v>
      </c>
      <c r="AJ69" t="e">
        <f>'Technical Skills Weighting'!F41+"`FU!$jb"</f>
        <v>#VALUE!</v>
      </c>
      <c r="AK69" t="e">
        <f>'Technical Skills Weighting'!G41+"`FU!$jc"</f>
        <v>#VALUE!</v>
      </c>
      <c r="AL69" t="e">
        <f>'Technical Skills Weighting'!A42+"`FU!$jd"</f>
        <v>#VALUE!</v>
      </c>
      <c r="AM69" t="e">
        <f>'Technical Skills Weighting'!D42+"`FU!$je"</f>
        <v>#VALUE!</v>
      </c>
      <c r="AN69" t="e">
        <f>'Technical Skills Weighting'!F42+"`FU!$jf"</f>
        <v>#VALUE!</v>
      </c>
      <c r="AO69" t="e">
        <f>'Technical Skills Weighting'!#REF!+"`FU!$jg"</f>
        <v>#REF!</v>
      </c>
      <c r="AP69" t="e">
        <f>'Technical Skills Weighting'!G42+"`FU!$jh"</f>
        <v>#VALUE!</v>
      </c>
      <c r="AQ69" t="e">
        <f>'Technical Skills Weighting'!H42+"`FU!$ji"</f>
        <v>#VALUE!</v>
      </c>
      <c r="AR69" t="e">
        <f>'Technical Skills Weighting'!I42+"`FU!$jj"</f>
        <v>#VALUE!</v>
      </c>
      <c r="AS69" t="e">
        <f>'Technical Skills Weighting'!J42+"`FU!$jk"</f>
        <v>#VALUE!</v>
      </c>
      <c r="AT69" t="e">
        <f>'Technical Skills Weighting'!K42+"`FU!$jl"</f>
        <v>#VALUE!</v>
      </c>
      <c r="AU69" t="e">
        <f>'Technical Skills Weighting'!L42+"`FU!$jm"</f>
        <v>#VALUE!</v>
      </c>
      <c r="AV69" t="e">
        <f>'Technical Skills Weighting'!M42+"`FU!$jn"</f>
        <v>#VALUE!</v>
      </c>
      <c r="AW69" t="e">
        <f>'Technical Skills Weighting'!N42+"`FU!$jo"</f>
        <v>#VALUE!</v>
      </c>
      <c r="AX69" t="e">
        <f>'Technical Skills Weighting'!O42+"`FU!$jp"</f>
        <v>#VALUE!</v>
      </c>
      <c r="AY69" t="e">
        <f>'Technical Skills Weighting'!P42+"`FU!$jq"</f>
        <v>#VALUE!</v>
      </c>
      <c r="AZ69" t="e">
        <f>'Technical Skills Weighting'!Q42+"`FU!$jr"</f>
        <v>#VALUE!</v>
      </c>
      <c r="BA69" t="e">
        <f>'Technical Skills Weighting'!R42+"`FU!$js"</f>
        <v>#VALUE!</v>
      </c>
      <c r="BB69" t="e">
        <f>'Technical Skills Weighting'!S42+"`FU!$jt"</f>
        <v>#VALUE!</v>
      </c>
      <c r="BC69" t="e">
        <f>'Technical Skills Weighting'!T42+"`FU!$ju"</f>
        <v>#VALUE!</v>
      </c>
      <c r="BD69" t="e">
        <f>'Technical Skills Weighting'!U42+"`FU!$jv"</f>
        <v>#VALUE!</v>
      </c>
      <c r="BE69" t="e">
        <f>'Technical Skills Weighting'!V42+"`FU!$jw"</f>
        <v>#VALUE!</v>
      </c>
      <c r="BF69" t="e">
        <f>'Technical Skills Weighting'!W42+"`FU!$jx"</f>
        <v>#VALUE!</v>
      </c>
      <c r="BG69" t="e">
        <f>'Technical Skills Weighting'!X42+"`FU!$jy"</f>
        <v>#VALUE!</v>
      </c>
      <c r="BH69" t="e">
        <f>'Technical Skills Weighting'!Y42+"`FU!$jz"</f>
        <v>#VALUE!</v>
      </c>
      <c r="BI69" t="e">
        <f>'Technical Skills Weighting'!Z42+"`FU!$j{"</f>
        <v>#VALUE!</v>
      </c>
      <c r="BJ69" t="e">
        <f>'Technical Skills Weighting'!AA42+"`FU!$j|"</f>
        <v>#VALUE!</v>
      </c>
      <c r="BK69" t="e">
        <f>'Technical Skills Weighting'!AB42+"`FU!$j}"</f>
        <v>#VALUE!</v>
      </c>
      <c r="BL69" t="e">
        <f>'Technical Skills Weighting'!AC42+"`FU!$j~"</f>
        <v>#VALUE!</v>
      </c>
      <c r="BM69" t="e">
        <f>'Technical Skills Weighting'!AD42+"`FU!$k#"</f>
        <v>#VALUE!</v>
      </c>
      <c r="BN69" t="e">
        <f>'Technical Skills Weighting'!AE42+"`FU!$k$"</f>
        <v>#VALUE!</v>
      </c>
      <c r="BO69" t="e">
        <f>'Technical Skills Weighting'!AF42+"`FU!$k%"</f>
        <v>#VALUE!</v>
      </c>
      <c r="BP69" t="e">
        <f>'Technical Skills Weighting'!AG42+"`FU!$k&amp;"</f>
        <v>#VALUE!</v>
      </c>
      <c r="BQ69" t="e">
        <f>'Technical Skills Weighting'!AH42+"`FU!$k'"</f>
        <v>#VALUE!</v>
      </c>
      <c r="BR69" t="e">
        <f>'Technical Skills Weighting'!AI42+"`FU!$k("</f>
        <v>#VALUE!</v>
      </c>
      <c r="BS69" t="e">
        <f>'Technical Skills Weighting'!AJ42+"`FU!$k)"</f>
        <v>#VALUE!</v>
      </c>
      <c r="BT69" t="e">
        <f>'Technical Skills Weighting'!AK42+"`FU!$k."</f>
        <v>#VALUE!</v>
      </c>
      <c r="BU69" t="e">
        <f>'Technical Skills Weighting'!AL42+"`FU!$k/"</f>
        <v>#VALUE!</v>
      </c>
      <c r="BV69" t="e">
        <f>'Technical Skills Weighting'!AM42+"`FU!$k0"</f>
        <v>#VALUE!</v>
      </c>
      <c r="BW69" t="e">
        <f>'Technical Skills Weighting'!AN42+"`FU!$k1"</f>
        <v>#VALUE!</v>
      </c>
      <c r="BX69" t="e">
        <f>'Technical Skills Weighting'!AO42+"`FU!$k2"</f>
        <v>#VALUE!</v>
      </c>
      <c r="BY69" t="e">
        <f>'Technical Skills Weighting'!AP42+"`FU!$k3"</f>
        <v>#VALUE!</v>
      </c>
      <c r="BZ69" t="e">
        <f>'Technical Skills Weighting'!AQ42+"`FU!$k4"</f>
        <v>#VALUE!</v>
      </c>
      <c r="CA69" t="e">
        <f>'Technical Skills Weighting'!AR42+"`FU!$k5"</f>
        <v>#VALUE!</v>
      </c>
      <c r="CB69" t="e">
        <f>'Technical Skills Weighting'!AS42+"`FU!$k6"</f>
        <v>#VALUE!</v>
      </c>
      <c r="CC69" t="e">
        <f>'Technical Skills Weighting'!AT42+"`FU!$k7"</f>
        <v>#VALUE!</v>
      </c>
      <c r="CD69" t="e">
        <f>'Technical Skills Weighting'!AU42+"`FU!$k8"</f>
        <v>#VALUE!</v>
      </c>
      <c r="CE69" t="e">
        <f>'Technical Skills Weighting'!AV42+"`FU!$k9"</f>
        <v>#VALUE!</v>
      </c>
      <c r="CF69" t="e">
        <f>'Technical Skills Weighting'!AW42+"`FU!$k:"</f>
        <v>#VALUE!</v>
      </c>
      <c r="CG69" t="e">
        <f>'Technical Skills Weighting'!AX42+"`FU!$k;"</f>
        <v>#VALUE!</v>
      </c>
      <c r="CH69" t="e">
        <f>'Technical Skills Weighting'!AY42+"`FU!$k&lt;"</f>
        <v>#VALUE!</v>
      </c>
      <c r="CI69" t="e">
        <f>'Technical Skills Weighting'!AZ42+"`FU!$k="</f>
        <v>#VALUE!</v>
      </c>
      <c r="CJ69" t="e">
        <f>'Technical Skills Weighting'!BA42+"`FU!$k&gt;"</f>
        <v>#VALUE!</v>
      </c>
      <c r="CK69" t="e">
        <f>'Technical Skills Weighting'!BB42+"`FU!$k?"</f>
        <v>#VALUE!</v>
      </c>
      <c r="CL69" t="e">
        <f>'Technical Skills Weighting'!BC42+"`FU!$k@"</f>
        <v>#VALUE!</v>
      </c>
      <c r="CM69" t="e">
        <f>'Technical Skills Weighting'!BD42+"`FU!$kA"</f>
        <v>#VALUE!</v>
      </c>
      <c r="CN69" t="e">
        <f>'Technical Skills Weighting'!BE42+"`FU!$kB"</f>
        <v>#VALUE!</v>
      </c>
      <c r="CO69" t="e">
        <f>'Technical Skills Weighting'!BF42+"`FU!$kC"</f>
        <v>#VALUE!</v>
      </c>
      <c r="CP69" t="e">
        <f>'Technical Skills Weighting'!BG42+"`FU!$kD"</f>
        <v>#VALUE!</v>
      </c>
      <c r="CQ69" t="e">
        <f>'Technical Skills Weighting'!BH42+"`FU!$kE"</f>
        <v>#VALUE!</v>
      </c>
      <c r="CR69" t="e">
        <f>'Technical Skills Weighting'!BI42+"`FU!$kF"</f>
        <v>#VALUE!</v>
      </c>
      <c r="CS69" t="e">
        <f>'Technical Skills Weighting'!BJ42+"`FU!$kG"</f>
        <v>#VALUE!</v>
      </c>
      <c r="CT69" t="e">
        <f>'Technical Skills Weighting'!BK42+"`FU!$kH"</f>
        <v>#VALUE!</v>
      </c>
      <c r="CU69" t="e">
        <f>'Technical Skills Weighting'!BL42+"`FU!$kI"</f>
        <v>#VALUE!</v>
      </c>
      <c r="CV69" t="e">
        <f>'Technical Skills Weighting'!BM42+"`FU!$kJ"</f>
        <v>#VALUE!</v>
      </c>
      <c r="CW69" t="e">
        <f>'Technical Skills Weighting'!BN42+"`FU!$kK"</f>
        <v>#VALUE!</v>
      </c>
      <c r="CX69" t="e">
        <f>'Technical Skills Weighting'!BO42+"`FU!$kL"</f>
        <v>#VALUE!</v>
      </c>
      <c r="CY69" t="e">
        <f>'Technical Skills Weighting'!BP42+"`FU!$kM"</f>
        <v>#VALUE!</v>
      </c>
      <c r="CZ69" t="e">
        <f>'Technical Skills Weighting'!BQ42+"`FU!$kN"</f>
        <v>#VALUE!</v>
      </c>
      <c r="DA69" t="e">
        <f>'Technical Skills Weighting'!BR42+"`FU!$kO"</f>
        <v>#VALUE!</v>
      </c>
      <c r="DB69" t="e">
        <f>'Technical Skills Weighting'!BS42+"`FU!$kP"</f>
        <v>#VALUE!</v>
      </c>
      <c r="DC69" t="e">
        <f>'Technical Skills Weighting'!BT42+"`FU!$kQ"</f>
        <v>#VALUE!</v>
      </c>
      <c r="DD69" t="e">
        <f>'Technical Skills Weighting'!BU42+"`FU!$kR"</f>
        <v>#VALUE!</v>
      </c>
      <c r="DE69" t="e">
        <f>'Technical Skills Weighting'!BV42+"`FU!$kS"</f>
        <v>#VALUE!</v>
      </c>
      <c r="DF69" t="e">
        <f>'Technical Skills Weighting'!BW42+"`FU!$kT"</f>
        <v>#VALUE!</v>
      </c>
      <c r="DG69" t="e">
        <f>'Technical Skills Weighting'!BX42+"`FU!$kU"</f>
        <v>#VALUE!</v>
      </c>
      <c r="DH69" t="e">
        <f>'Technical Skills Weighting'!BY42+"`FU!$kV"</f>
        <v>#VALUE!</v>
      </c>
      <c r="DI69" t="e">
        <f>'Technical Skills Weighting'!BZ42+"`FU!$kW"</f>
        <v>#VALUE!</v>
      </c>
      <c r="DJ69" t="e">
        <f>'Technical Skills Weighting'!CA42+"`FU!$kX"</f>
        <v>#VALUE!</v>
      </c>
      <c r="DK69" t="e">
        <f>'Technical Skills Weighting'!CB42+"`FU!$kY"</f>
        <v>#VALUE!</v>
      </c>
      <c r="DL69" t="e">
        <f>'Technical Skills Weighting'!CC42+"`FU!$kZ"</f>
        <v>#VALUE!</v>
      </c>
      <c r="DM69" t="e">
        <f>'Technical Skills Weighting'!CD42+"`FU!$k["</f>
        <v>#VALUE!</v>
      </c>
      <c r="DN69" t="e">
        <f>'Technical Skills Weighting'!CE42+"`FU!$k\"</f>
        <v>#VALUE!</v>
      </c>
      <c r="DO69" t="e">
        <f>'Technical Skills Weighting'!CF42+"`FU!$k]"</f>
        <v>#VALUE!</v>
      </c>
      <c r="DP69" t="e">
        <f>'Technical Skills Weighting'!CG42+"`FU!$k^"</f>
        <v>#VALUE!</v>
      </c>
      <c r="DQ69" t="e">
        <f>'Technical Skills Weighting'!CH42+"`FU!$k_"</f>
        <v>#VALUE!</v>
      </c>
      <c r="DR69" t="e">
        <f>'Technical Skills Weighting'!CI42+"`FU!$k`"</f>
        <v>#VALUE!</v>
      </c>
      <c r="DS69" t="e">
        <f>'Technical Skills Weighting'!CJ42+"`FU!$ka"</f>
        <v>#VALUE!</v>
      </c>
      <c r="DT69" t="e">
        <f>'Technical Skills Weighting'!CK42+"`FU!$kb"</f>
        <v>#VALUE!</v>
      </c>
      <c r="DU69" t="e">
        <f>'Technical Skills Weighting'!CL42+"`FU!$kc"</f>
        <v>#VALUE!</v>
      </c>
      <c r="DV69" t="e">
        <f>'Technical Skills Weighting'!CM42+"`FU!$kd"</f>
        <v>#VALUE!</v>
      </c>
      <c r="DW69" t="e">
        <f>'Technical Skills Weighting'!CN42+"`FU!$ke"</f>
        <v>#VALUE!</v>
      </c>
      <c r="DX69" t="e">
        <f>'Technical Skills Weighting'!CO42+"`FU!$kf"</f>
        <v>#VALUE!</v>
      </c>
      <c r="DY69" t="e">
        <f>'Technical Skills Weighting'!CP42+"`FU!$kg"</f>
        <v>#VALUE!</v>
      </c>
      <c r="DZ69" t="e">
        <f>'Technical Skills Weighting'!CQ42+"`FU!$kh"</f>
        <v>#VALUE!</v>
      </c>
      <c r="EA69" t="e">
        <f>'Technical Skills Weighting'!CR42+"`FU!$ki"</f>
        <v>#VALUE!</v>
      </c>
      <c r="EB69" t="e">
        <f>'Technical Skills Weighting'!CS42+"`FU!$kj"</f>
        <v>#VALUE!</v>
      </c>
      <c r="EC69" t="e">
        <f>'Technical Skills Weighting'!CT42+"`FU!$kk"</f>
        <v>#VALUE!</v>
      </c>
      <c r="ED69" t="e">
        <f>'Technical Skills Weighting'!CU42+"`FU!$kl"</f>
        <v>#VALUE!</v>
      </c>
      <c r="EE69" t="e">
        <f>'Technical Skills Weighting'!CV42+"`FU!$km"</f>
        <v>#VALUE!</v>
      </c>
      <c r="EF69" t="e">
        <f>'Technical Skills Weighting'!CW42+"`FU!$kn"</f>
        <v>#VALUE!</v>
      </c>
      <c r="EG69" t="e">
        <f>'Technical Skills Weighting'!CX42+"`FU!$ko"</f>
        <v>#VALUE!</v>
      </c>
      <c r="EH69" t="e">
        <f>'Technical Skills Weighting'!CY42+"`FU!$kp"</f>
        <v>#VALUE!</v>
      </c>
      <c r="EI69" t="e">
        <f>'Technical Skills Weighting'!CZ42+"`FU!$kq"</f>
        <v>#VALUE!</v>
      </c>
      <c r="EJ69" t="e">
        <f>'Technical Skills Weighting'!DA42+"`FU!$kr"</f>
        <v>#VALUE!</v>
      </c>
      <c r="EK69" t="e">
        <f>'Technical Skills Weighting'!DB42+"`FU!$ks"</f>
        <v>#VALUE!</v>
      </c>
      <c r="EL69" t="e">
        <f>'Technical Skills Weighting'!DC42+"`FU!$kt"</f>
        <v>#VALUE!</v>
      </c>
      <c r="EM69" t="e">
        <f>'Technical Skills Weighting'!DD42+"`FU!$ku"</f>
        <v>#VALUE!</v>
      </c>
      <c r="EN69" t="e">
        <f>'Technical Skills Weighting'!DE42+"`FU!$kv"</f>
        <v>#VALUE!</v>
      </c>
      <c r="EO69" t="e">
        <f>'Technical Skills Weighting'!DF42+"`FU!$kw"</f>
        <v>#VALUE!</v>
      </c>
      <c r="EP69" t="e">
        <f>'Technical Skills Weighting'!DG42+"`FU!$kx"</f>
        <v>#VALUE!</v>
      </c>
      <c r="EQ69" t="e">
        <f>'Technical Skills Weighting'!DH42+"`FU!$ky"</f>
        <v>#VALUE!</v>
      </c>
      <c r="ER69" t="e">
        <f>'Technical Skills Weighting'!DI42+"`FU!$kz"</f>
        <v>#VALUE!</v>
      </c>
      <c r="ES69" t="e">
        <f>'Technical Skills Weighting'!DJ42+"`FU!$k{"</f>
        <v>#VALUE!</v>
      </c>
      <c r="ET69" t="e">
        <f>'Technical Skills Weighting'!DK42+"`FU!$k|"</f>
        <v>#VALUE!</v>
      </c>
      <c r="EU69" t="e">
        <f>'Technical Skills Weighting'!DL42+"`FU!$k}"</f>
        <v>#VALUE!</v>
      </c>
      <c r="EV69" t="e">
        <f>'Technical Skills Weighting'!DM42+"`FU!$k~"</f>
        <v>#VALUE!</v>
      </c>
      <c r="EW69" t="e">
        <f>'Technical Skills Weighting'!DN42+"`FU!$l#"</f>
        <v>#VALUE!</v>
      </c>
      <c r="EX69" t="e">
        <f>'Technical Skills Weighting'!DO42+"`FU!$l$"</f>
        <v>#VALUE!</v>
      </c>
      <c r="EY69" t="e">
        <f>'Technical Skills Weighting'!DP42+"`FU!$l%"</f>
        <v>#VALUE!</v>
      </c>
      <c r="EZ69" t="e">
        <f>'Technical Skills Weighting'!DQ42+"`FU!$l&amp;"</f>
        <v>#VALUE!</v>
      </c>
      <c r="FA69" t="e">
        <f>'Technical Skills Weighting'!DR42+"`FU!$l'"</f>
        <v>#VALUE!</v>
      </c>
      <c r="FB69" t="e">
        <f>'Technical Skills Weighting'!DS42+"`FU!$l("</f>
        <v>#VALUE!</v>
      </c>
      <c r="FC69" t="e">
        <f>'Technical Skills Weighting'!DT42+"`FU!$l)"</f>
        <v>#VALUE!</v>
      </c>
      <c r="FD69" t="e">
        <f>'Technical Skills Weighting'!DU42+"`FU!$l."</f>
        <v>#VALUE!</v>
      </c>
      <c r="FE69" t="e">
        <f>'Technical Skills Weighting'!DV42+"`FU!$l/"</f>
        <v>#VALUE!</v>
      </c>
      <c r="FF69" t="e">
        <f>'Technical Skills Weighting'!DW42+"`FU!$l0"</f>
        <v>#VALUE!</v>
      </c>
      <c r="FG69" t="e">
        <f>'Technical Skills Weighting'!DX42+"`FU!$l1"</f>
        <v>#VALUE!</v>
      </c>
      <c r="FH69" t="e">
        <f>'Technical Skills Weighting'!DY42+"`FU!$l2"</f>
        <v>#VALUE!</v>
      </c>
      <c r="FI69" t="e">
        <f>'Technical Skills Weighting'!DZ42+"`FU!$l3"</f>
        <v>#VALUE!</v>
      </c>
      <c r="FJ69" t="e">
        <f>'Technical Skills Weighting'!EA42+"`FU!$l4"</f>
        <v>#VALUE!</v>
      </c>
      <c r="FK69" t="e">
        <f>'Technical Skills Weighting'!EB42+"`FU!$l5"</f>
        <v>#VALUE!</v>
      </c>
      <c r="FL69" t="e">
        <f>'Technical Skills Weighting'!EC42+"`FU!$l6"</f>
        <v>#VALUE!</v>
      </c>
      <c r="FM69" t="e">
        <f>'Technical Skills Weighting'!ED42+"`FU!$l7"</f>
        <v>#VALUE!</v>
      </c>
      <c r="FN69" t="e">
        <f>'Technical Skills Weighting'!EE42+"`FU!$l8"</f>
        <v>#VALUE!</v>
      </c>
      <c r="FO69" t="e">
        <f>'Technical Skills Weighting'!EF42+"`FU!$l9"</f>
        <v>#VALUE!</v>
      </c>
      <c r="FP69" t="e">
        <f>'Technical Skills Weighting'!EG42+"`FU!$l:"</f>
        <v>#VALUE!</v>
      </c>
      <c r="FQ69" t="e">
        <f>'Technical Skills Weighting'!EH42+"`FU!$l;"</f>
        <v>#VALUE!</v>
      </c>
      <c r="FR69" t="e">
        <f>'Technical Skills Weighting'!EI42+"`FU!$l&lt;"</f>
        <v>#VALUE!</v>
      </c>
      <c r="FS69" t="e">
        <f>'Technical Skills Weighting'!EJ42+"`FU!$l="</f>
        <v>#VALUE!</v>
      </c>
      <c r="FT69" t="e">
        <f>'Technical Skills Weighting'!EK42+"`FU!$l&gt;"</f>
        <v>#VALUE!</v>
      </c>
      <c r="FU69" t="e">
        <f>'Technical Skills Weighting'!EL42+"`FU!$l?"</f>
        <v>#VALUE!</v>
      </c>
      <c r="FV69" t="e">
        <f>'Technical Skills Weighting'!EM42+"`FU!$l@"</f>
        <v>#VALUE!</v>
      </c>
      <c r="FW69" t="e">
        <f>'Technical Skills Weighting'!EN42+"`FU!$lA"</f>
        <v>#VALUE!</v>
      </c>
      <c r="FX69" t="e">
        <f>'Technical Skills Weighting'!EO42+"`FU!$lB"</f>
        <v>#VALUE!</v>
      </c>
      <c r="FY69" t="e">
        <f>'Technical Skills Weighting'!EP42+"`FU!$lC"</f>
        <v>#VALUE!</v>
      </c>
      <c r="FZ69" t="e">
        <f>'Technical Skills Weighting'!EQ42+"`FU!$lD"</f>
        <v>#VALUE!</v>
      </c>
      <c r="GA69" t="e">
        <f>'Technical Skills Weighting'!ER42+"`FU!$lE"</f>
        <v>#VALUE!</v>
      </c>
      <c r="GB69" t="e">
        <f>'Technical Skills Weighting'!ES42+"`FU!$lF"</f>
        <v>#VALUE!</v>
      </c>
      <c r="GC69" t="e">
        <f>'Technical Skills Weighting'!ET42+"`FU!$lG"</f>
        <v>#VALUE!</v>
      </c>
      <c r="GD69" t="e">
        <f>'Technical Skills Weighting'!EU42+"`FU!$lH"</f>
        <v>#VALUE!</v>
      </c>
      <c r="GE69" t="e">
        <f>'Technical Skills Weighting'!EV42+"`FU!$lI"</f>
        <v>#VALUE!</v>
      </c>
      <c r="GF69" t="e">
        <f>'Technical Skills Weighting'!EW42+"`FU!$lJ"</f>
        <v>#VALUE!</v>
      </c>
      <c r="GG69" t="e">
        <f>'Technical Skills Weighting'!EX42+"`FU!$lK"</f>
        <v>#VALUE!</v>
      </c>
      <c r="GH69" t="e">
        <f>'Technical Skills Weighting'!EY42+"`FU!$lL"</f>
        <v>#VALUE!</v>
      </c>
      <c r="GI69" t="e">
        <f>'Technical Skills Weighting'!EZ42+"`FU!$lM"</f>
        <v>#VALUE!</v>
      </c>
      <c r="GJ69" t="e">
        <f>'Technical Skills Weighting'!FA42+"`FU!$lN"</f>
        <v>#VALUE!</v>
      </c>
      <c r="GK69" t="e">
        <f>'Technical Skills Weighting'!FB42+"`FU!$lO"</f>
        <v>#VALUE!</v>
      </c>
      <c r="GL69" t="e">
        <f>'Technical Skills Weighting'!FC42+"`FU!$lP"</f>
        <v>#VALUE!</v>
      </c>
      <c r="GM69" t="e">
        <f>'Technical Skills Weighting'!FD42+"`FU!$lQ"</f>
        <v>#VALUE!</v>
      </c>
      <c r="GN69" t="e">
        <f>'Technical Skills Weighting'!FE42+"`FU!$lR"</f>
        <v>#VALUE!</v>
      </c>
      <c r="GO69" t="e">
        <f>'Technical Skills Weighting'!FF42+"`FU!$lS"</f>
        <v>#VALUE!</v>
      </c>
      <c r="GP69" t="e">
        <f>'Technical Skills Weighting'!FG42+"`FU!$lT"</f>
        <v>#VALUE!</v>
      </c>
      <c r="GQ69" t="e">
        <f>'Technical Skills Weighting'!FH42+"`FU!$lU"</f>
        <v>#VALUE!</v>
      </c>
      <c r="GR69" t="e">
        <f>'Technical Skills Weighting'!FI42+"`FU!$lV"</f>
        <v>#VALUE!</v>
      </c>
      <c r="GS69" t="e">
        <f>'Technical Skills Weighting'!FJ42+"`FU!$lW"</f>
        <v>#VALUE!</v>
      </c>
      <c r="GT69" t="e">
        <f>'Technical Skills Weighting'!FK42+"`FU!$lX"</f>
        <v>#VALUE!</v>
      </c>
      <c r="GU69" t="e">
        <f>'Technical Skills Weighting'!FL42+"`FU!$lY"</f>
        <v>#VALUE!</v>
      </c>
      <c r="GV69" t="e">
        <f>'Technical Skills Weighting'!FM42+"`FU!$lZ"</f>
        <v>#VALUE!</v>
      </c>
      <c r="GW69" t="e">
        <f>'Technical Skills Weighting'!FN42+"`FU!$l["</f>
        <v>#VALUE!</v>
      </c>
      <c r="GX69" t="e">
        <f>'Technical Skills Weighting'!FO42+"`FU!$l\"</f>
        <v>#VALUE!</v>
      </c>
      <c r="GY69" t="e">
        <f>'Technical Skills Weighting'!FP42+"`FU!$l]"</f>
        <v>#VALUE!</v>
      </c>
      <c r="GZ69" t="e">
        <f>'Technical Skills Weighting'!FQ42+"`FU!$l^"</f>
        <v>#VALUE!</v>
      </c>
      <c r="HA69" t="e">
        <f>'Technical Skills Weighting'!FR42+"`FU!$l_"</f>
        <v>#VALUE!</v>
      </c>
      <c r="HB69" t="e">
        <f>'Technical Skills Weighting'!FS42+"`FU!$l`"</f>
        <v>#VALUE!</v>
      </c>
      <c r="HC69" t="e">
        <f>'Technical Skills Weighting'!FT42+"`FU!$la"</f>
        <v>#VALUE!</v>
      </c>
      <c r="HD69" t="e">
        <f>'Technical Skills Weighting'!FU42+"`FU!$lb"</f>
        <v>#VALUE!</v>
      </c>
      <c r="HE69" t="e">
        <f>'Technical Skills Weighting'!FV42+"`FU!$lc"</f>
        <v>#VALUE!</v>
      </c>
      <c r="HF69" t="e">
        <f>'Technical Skills Weighting'!FW42+"`FU!$ld"</f>
        <v>#VALUE!</v>
      </c>
      <c r="HG69" t="e">
        <f>'Technical Skills Weighting'!FX42+"`FU!$le"</f>
        <v>#VALUE!</v>
      </c>
      <c r="HH69" t="e">
        <f>'Technical Skills Weighting'!FY42+"`FU!$lf"</f>
        <v>#VALUE!</v>
      </c>
      <c r="HI69" t="e">
        <f>'Technical Skills Weighting'!FZ42+"`FU!$lg"</f>
        <v>#VALUE!</v>
      </c>
      <c r="HJ69" t="e">
        <f>'Technical Skills Weighting'!GA42+"`FU!$lh"</f>
        <v>#VALUE!</v>
      </c>
      <c r="HK69" t="e">
        <f>'Technical Skills Weighting'!GB42+"`FU!$li"</f>
        <v>#VALUE!</v>
      </c>
      <c r="HL69" t="e">
        <f>'Technical Skills Weighting'!GC42+"`FU!$lj"</f>
        <v>#VALUE!</v>
      </c>
      <c r="HM69" t="e">
        <f>'Technical Skills Weighting'!GD42+"`FU!$lk"</f>
        <v>#VALUE!</v>
      </c>
      <c r="HN69" t="e">
        <f>'Technical Skills Weighting'!GE42+"`FU!$ll"</f>
        <v>#VALUE!</v>
      </c>
      <c r="HO69" t="e">
        <f>'Technical Skills Weighting'!GF42+"`FU!$lm"</f>
        <v>#VALUE!</v>
      </c>
      <c r="HP69" t="e">
        <f>'Technical Skills Weighting'!GG42+"`FU!$ln"</f>
        <v>#VALUE!</v>
      </c>
      <c r="HQ69" t="e">
        <f>'Technical Skills Weighting'!#REF!+"`FU!$lo"</f>
        <v>#REF!</v>
      </c>
      <c r="HR69" t="e">
        <f>'Technical Skills Weighting'!D43+"`FU!$lp"</f>
        <v>#VALUE!</v>
      </c>
      <c r="HS69" t="e">
        <f>'Technical Skills Weighting'!F43+"`FU!$lq"</f>
        <v>#VALUE!</v>
      </c>
      <c r="HT69" t="e">
        <f>'Technical Skills Weighting'!#REF!+"`FU!$lr"</f>
        <v>#REF!</v>
      </c>
      <c r="HU69" t="e">
        <f>'Technical Skills Weighting'!G43+"`FU!$ls"</f>
        <v>#VALUE!</v>
      </c>
      <c r="HV69" t="e">
        <f>'Technical Skills Weighting'!A44+"`FU!$lt"</f>
        <v>#VALUE!</v>
      </c>
      <c r="HW69" t="e">
        <f>'Technical Skills Weighting'!D44+"`FU!$lu"</f>
        <v>#VALUE!</v>
      </c>
      <c r="HX69" t="e">
        <f>'Technical Skills Weighting'!E44+"`FU!$lv"</f>
        <v>#VALUE!</v>
      </c>
      <c r="HY69" t="e">
        <f>'Technical Skills Weighting'!F44+"`FU!$lw"</f>
        <v>#VALUE!</v>
      </c>
      <c r="HZ69" t="e">
        <f>'Technical Skills Weighting'!G44+"`FU!$lx"</f>
        <v>#VALUE!</v>
      </c>
      <c r="IA69" t="e">
        <f>'Technical Skills Weighting'!H44+"`FU!$ly"</f>
        <v>#VALUE!</v>
      </c>
      <c r="IB69" t="e">
        <f>'Technical Skills Weighting'!I44+"`FU!$lz"</f>
        <v>#VALUE!</v>
      </c>
      <c r="IC69" t="e">
        <f>'Technical Skills Weighting'!J44+"`FU!$l{"</f>
        <v>#VALUE!</v>
      </c>
      <c r="ID69" t="e">
        <f>'Technical Skills Weighting'!K44+"`FU!$l|"</f>
        <v>#VALUE!</v>
      </c>
      <c r="IE69" t="e">
        <f>'Technical Skills Weighting'!L44+"`FU!$l}"</f>
        <v>#VALUE!</v>
      </c>
      <c r="IF69" t="e">
        <f>'Technical Skills Weighting'!M44+"`FU!$l~"</f>
        <v>#VALUE!</v>
      </c>
      <c r="IG69" t="e">
        <f>'Technical Skills Weighting'!N44+"`FU!$m#"</f>
        <v>#VALUE!</v>
      </c>
      <c r="IH69" t="e">
        <f>'Technical Skills Weighting'!O44+"`FU!$m$"</f>
        <v>#VALUE!</v>
      </c>
      <c r="II69" t="e">
        <f>'Technical Skills Weighting'!P44+"`FU!$m%"</f>
        <v>#VALUE!</v>
      </c>
      <c r="IJ69" t="e">
        <f>'Technical Skills Weighting'!Q44+"`FU!$m&amp;"</f>
        <v>#VALUE!</v>
      </c>
      <c r="IK69" t="e">
        <f>'Technical Skills Weighting'!R44+"`FU!$m'"</f>
        <v>#VALUE!</v>
      </c>
      <c r="IL69" t="e">
        <f>'Technical Skills Weighting'!S44+"`FU!$m("</f>
        <v>#VALUE!</v>
      </c>
      <c r="IM69" t="e">
        <f>'Technical Skills Weighting'!T44+"`FU!$m)"</f>
        <v>#VALUE!</v>
      </c>
      <c r="IN69" t="e">
        <f>'Technical Skills Weighting'!U44+"`FU!$m."</f>
        <v>#VALUE!</v>
      </c>
      <c r="IO69" t="e">
        <f>'Technical Skills Weighting'!V44+"`FU!$m/"</f>
        <v>#VALUE!</v>
      </c>
      <c r="IP69" t="e">
        <f>'Technical Skills Weighting'!W44+"`FU!$m0"</f>
        <v>#VALUE!</v>
      </c>
      <c r="IQ69" t="e">
        <f>'Technical Skills Weighting'!X44+"`FU!$m1"</f>
        <v>#VALUE!</v>
      </c>
      <c r="IR69" t="e">
        <f>'Technical Skills Weighting'!Y44+"`FU!$m2"</f>
        <v>#VALUE!</v>
      </c>
      <c r="IS69" t="e">
        <f>'Technical Skills Weighting'!Z44+"`FU!$m3"</f>
        <v>#VALUE!</v>
      </c>
      <c r="IT69" t="e">
        <f>'Technical Skills Weighting'!AA44+"`FU!$m4"</f>
        <v>#VALUE!</v>
      </c>
      <c r="IU69" t="e">
        <f>'Technical Skills Weighting'!AB44+"`FU!$m5"</f>
        <v>#VALUE!</v>
      </c>
      <c r="IV69" t="e">
        <f>'Technical Skills Weighting'!AC44+"`FU!$m6"</f>
        <v>#VALUE!</v>
      </c>
    </row>
    <row r="70" spans="6:256" x14ac:dyDescent="0.25">
      <c r="F70" t="e">
        <f>'Technical Skills Weighting'!AD44+"`FU!$m7"</f>
        <v>#VALUE!</v>
      </c>
      <c r="G70" t="e">
        <f>'Technical Skills Weighting'!AE44+"`FU!$m8"</f>
        <v>#VALUE!</v>
      </c>
      <c r="H70" t="e">
        <f>'Technical Skills Weighting'!AF44+"`FU!$m9"</f>
        <v>#VALUE!</v>
      </c>
      <c r="I70" t="e">
        <f>'Technical Skills Weighting'!AG44+"`FU!$m:"</f>
        <v>#VALUE!</v>
      </c>
      <c r="J70" t="e">
        <f>'Technical Skills Weighting'!AH44+"`FU!$m;"</f>
        <v>#VALUE!</v>
      </c>
      <c r="K70" t="e">
        <f>'Technical Skills Weighting'!AI44+"`FU!$m&lt;"</f>
        <v>#VALUE!</v>
      </c>
      <c r="L70" t="e">
        <f>'Technical Skills Weighting'!AJ44+"`FU!$m="</f>
        <v>#VALUE!</v>
      </c>
      <c r="M70" t="e">
        <f>'Technical Skills Weighting'!AK44+"`FU!$m&gt;"</f>
        <v>#VALUE!</v>
      </c>
      <c r="N70" t="e">
        <f>'Technical Skills Weighting'!AL44+"`FU!$m?"</f>
        <v>#VALUE!</v>
      </c>
      <c r="O70" t="e">
        <f>'Technical Skills Weighting'!AM44+"`FU!$m@"</f>
        <v>#VALUE!</v>
      </c>
      <c r="P70" t="e">
        <f>'Technical Skills Weighting'!AN44+"`FU!$mA"</f>
        <v>#VALUE!</v>
      </c>
      <c r="Q70" t="e">
        <f>'Technical Skills Weighting'!AO44+"`FU!$mB"</f>
        <v>#VALUE!</v>
      </c>
      <c r="R70" t="e">
        <f>'Technical Skills Weighting'!AP44+"`FU!$mC"</f>
        <v>#VALUE!</v>
      </c>
      <c r="S70" t="e">
        <f>'Technical Skills Weighting'!AQ44+"`FU!$mD"</f>
        <v>#VALUE!</v>
      </c>
      <c r="T70" t="e">
        <f>'Technical Skills Weighting'!AR44+"`FU!$mE"</f>
        <v>#VALUE!</v>
      </c>
      <c r="U70" t="e">
        <f>'Technical Skills Weighting'!AS44+"`FU!$mF"</f>
        <v>#VALUE!</v>
      </c>
      <c r="V70" t="e">
        <f>'Technical Skills Weighting'!AT44+"`FU!$mG"</f>
        <v>#VALUE!</v>
      </c>
      <c r="W70" t="e">
        <f>'Technical Skills Weighting'!AU44+"`FU!$mH"</f>
        <v>#VALUE!</v>
      </c>
      <c r="X70" t="e">
        <f>'Technical Skills Weighting'!AV44+"`FU!$mI"</f>
        <v>#VALUE!</v>
      </c>
      <c r="Y70" t="e">
        <f>'Technical Skills Weighting'!AW44+"`FU!$mJ"</f>
        <v>#VALUE!</v>
      </c>
      <c r="Z70" t="e">
        <f>'Technical Skills Weighting'!AX44+"`FU!$mK"</f>
        <v>#VALUE!</v>
      </c>
      <c r="AA70" t="e">
        <f>'Technical Skills Weighting'!AY44+"`FU!$mL"</f>
        <v>#VALUE!</v>
      </c>
      <c r="AB70" t="e">
        <f>'Technical Skills Weighting'!AZ44+"`FU!$mM"</f>
        <v>#VALUE!</v>
      </c>
      <c r="AC70" t="e">
        <f>'Technical Skills Weighting'!BA44+"`FU!$mN"</f>
        <v>#VALUE!</v>
      </c>
      <c r="AD70" t="e">
        <f>'Technical Skills Weighting'!BB44+"`FU!$mO"</f>
        <v>#VALUE!</v>
      </c>
      <c r="AE70" t="e">
        <f>'Technical Skills Weighting'!BC44+"`FU!$mP"</f>
        <v>#VALUE!</v>
      </c>
      <c r="AF70" t="e">
        <f>'Technical Skills Weighting'!BD44+"`FU!$mQ"</f>
        <v>#VALUE!</v>
      </c>
      <c r="AG70" t="e">
        <f>'Technical Skills Weighting'!BE44+"`FU!$mR"</f>
        <v>#VALUE!</v>
      </c>
      <c r="AH70" t="e">
        <f>'Technical Skills Weighting'!BF44+"`FU!$mS"</f>
        <v>#VALUE!</v>
      </c>
      <c r="AI70" t="e">
        <f>'Technical Skills Weighting'!BG44+"`FU!$mT"</f>
        <v>#VALUE!</v>
      </c>
      <c r="AJ70" t="e">
        <f>'Technical Skills Weighting'!BH44+"`FU!$mU"</f>
        <v>#VALUE!</v>
      </c>
      <c r="AK70" t="e">
        <f>'Technical Skills Weighting'!BI44+"`FU!$mV"</f>
        <v>#VALUE!</v>
      </c>
      <c r="AL70" t="e">
        <f>'Technical Skills Weighting'!BJ44+"`FU!$mW"</f>
        <v>#VALUE!</v>
      </c>
      <c r="AM70" t="e">
        <f>'Technical Skills Weighting'!BK44+"`FU!$mX"</f>
        <v>#VALUE!</v>
      </c>
      <c r="AN70" t="e">
        <f>'Technical Skills Weighting'!BL44+"`FU!$mY"</f>
        <v>#VALUE!</v>
      </c>
      <c r="AO70" t="e">
        <f>'Technical Skills Weighting'!BM44+"`FU!$mZ"</f>
        <v>#VALUE!</v>
      </c>
      <c r="AP70" t="e">
        <f>'Technical Skills Weighting'!BN44+"`FU!$m["</f>
        <v>#VALUE!</v>
      </c>
      <c r="AQ70" t="e">
        <f>'Technical Skills Weighting'!BO44+"`FU!$m\"</f>
        <v>#VALUE!</v>
      </c>
      <c r="AR70" t="e">
        <f>'Technical Skills Weighting'!BP44+"`FU!$m]"</f>
        <v>#VALUE!</v>
      </c>
      <c r="AS70" t="e">
        <f>'Technical Skills Weighting'!BQ44+"`FU!$m^"</f>
        <v>#VALUE!</v>
      </c>
      <c r="AT70" t="e">
        <f>'Technical Skills Weighting'!BR44+"`FU!$m_"</f>
        <v>#VALUE!</v>
      </c>
      <c r="AU70" t="e">
        <f>'Technical Skills Weighting'!BS44+"`FU!$m`"</f>
        <v>#VALUE!</v>
      </c>
      <c r="AV70" t="e">
        <f>'Technical Skills Weighting'!BT44+"`FU!$ma"</f>
        <v>#VALUE!</v>
      </c>
      <c r="AW70" t="e">
        <f>'Technical Skills Weighting'!BU44+"`FU!$mb"</f>
        <v>#VALUE!</v>
      </c>
      <c r="AX70" t="e">
        <f>'Technical Skills Weighting'!BV44+"`FU!$mc"</f>
        <v>#VALUE!</v>
      </c>
      <c r="AY70" t="e">
        <f>'Technical Skills Weighting'!BW44+"`FU!$md"</f>
        <v>#VALUE!</v>
      </c>
      <c r="AZ70" t="e">
        <f>'Technical Skills Weighting'!BX44+"`FU!$me"</f>
        <v>#VALUE!</v>
      </c>
      <c r="BA70" t="e">
        <f>'Technical Skills Weighting'!BY44+"`FU!$mf"</f>
        <v>#VALUE!</v>
      </c>
      <c r="BB70" t="e">
        <f>'Technical Skills Weighting'!BZ44+"`FU!$mg"</f>
        <v>#VALUE!</v>
      </c>
      <c r="BC70" t="e">
        <f>'Technical Skills Weighting'!CA44+"`FU!$mh"</f>
        <v>#VALUE!</v>
      </c>
      <c r="BD70" t="e">
        <f>'Technical Skills Weighting'!CB44+"`FU!$mi"</f>
        <v>#VALUE!</v>
      </c>
      <c r="BE70" t="e">
        <f>'Technical Skills Weighting'!CC44+"`FU!$mj"</f>
        <v>#VALUE!</v>
      </c>
      <c r="BF70" t="e">
        <f>'Technical Skills Weighting'!CD44+"`FU!$mk"</f>
        <v>#VALUE!</v>
      </c>
      <c r="BG70" t="e">
        <f>'Technical Skills Weighting'!CE44+"`FU!$ml"</f>
        <v>#VALUE!</v>
      </c>
      <c r="BH70" t="e">
        <f>'Technical Skills Weighting'!CF44+"`FU!$mm"</f>
        <v>#VALUE!</v>
      </c>
      <c r="BI70" t="e">
        <f>'Technical Skills Weighting'!CG44+"`FU!$mn"</f>
        <v>#VALUE!</v>
      </c>
      <c r="BJ70" t="e">
        <f>'Technical Skills Weighting'!CH44+"`FU!$mo"</f>
        <v>#VALUE!</v>
      </c>
      <c r="BK70" t="e">
        <f>'Technical Skills Weighting'!CI44+"`FU!$mp"</f>
        <v>#VALUE!</v>
      </c>
      <c r="BL70" t="e">
        <f>'Technical Skills Weighting'!CJ44+"`FU!$mq"</f>
        <v>#VALUE!</v>
      </c>
      <c r="BM70" t="e">
        <f>'Technical Skills Weighting'!CK44+"`FU!$mr"</f>
        <v>#VALUE!</v>
      </c>
      <c r="BN70" t="e">
        <f>'Technical Skills Weighting'!CL44+"`FU!$ms"</f>
        <v>#VALUE!</v>
      </c>
      <c r="BO70" t="e">
        <f>'Technical Skills Weighting'!CM44+"`FU!$mt"</f>
        <v>#VALUE!</v>
      </c>
      <c r="BP70" t="e">
        <f>'Technical Skills Weighting'!CN44+"`FU!$mu"</f>
        <v>#VALUE!</v>
      </c>
      <c r="BQ70" t="e">
        <f>'Technical Skills Weighting'!CO44+"`FU!$mv"</f>
        <v>#VALUE!</v>
      </c>
      <c r="BR70" t="e">
        <f>'Technical Skills Weighting'!CP44+"`FU!$mw"</f>
        <v>#VALUE!</v>
      </c>
      <c r="BS70" t="e">
        <f>'Technical Skills Weighting'!CQ44+"`FU!$mx"</f>
        <v>#VALUE!</v>
      </c>
      <c r="BT70" t="e">
        <f>'Technical Skills Weighting'!CR44+"`FU!$my"</f>
        <v>#VALUE!</v>
      </c>
      <c r="BU70" t="e">
        <f>'Technical Skills Weighting'!CS44+"`FU!$mz"</f>
        <v>#VALUE!</v>
      </c>
      <c r="BV70" t="e">
        <f>'Technical Skills Weighting'!CT44+"`FU!$m{"</f>
        <v>#VALUE!</v>
      </c>
      <c r="BW70" t="e">
        <f>'Technical Skills Weighting'!CU44+"`FU!$m|"</f>
        <v>#VALUE!</v>
      </c>
      <c r="BX70" t="e">
        <f>'Technical Skills Weighting'!CV44+"`FU!$m}"</f>
        <v>#VALUE!</v>
      </c>
      <c r="BY70" t="e">
        <f>'Technical Skills Weighting'!CW44+"`FU!$m~"</f>
        <v>#VALUE!</v>
      </c>
      <c r="BZ70" t="e">
        <f>'Technical Skills Weighting'!CX44+"`FU!$n#"</f>
        <v>#VALUE!</v>
      </c>
      <c r="CA70" t="e">
        <f>'Technical Skills Weighting'!CY44+"`FU!$n$"</f>
        <v>#VALUE!</v>
      </c>
      <c r="CB70" t="e">
        <f>'Technical Skills Weighting'!CZ44+"`FU!$n%"</f>
        <v>#VALUE!</v>
      </c>
      <c r="CC70" t="e">
        <f>'Technical Skills Weighting'!DA44+"`FU!$n&amp;"</f>
        <v>#VALUE!</v>
      </c>
      <c r="CD70" t="e">
        <f>'Technical Skills Weighting'!DB44+"`FU!$n'"</f>
        <v>#VALUE!</v>
      </c>
      <c r="CE70" t="e">
        <f>'Technical Skills Weighting'!DC44+"`FU!$n("</f>
        <v>#VALUE!</v>
      </c>
      <c r="CF70" t="e">
        <f>'Technical Skills Weighting'!DD44+"`FU!$n)"</f>
        <v>#VALUE!</v>
      </c>
      <c r="CG70" t="e">
        <f>'Technical Skills Weighting'!DE44+"`FU!$n."</f>
        <v>#VALUE!</v>
      </c>
      <c r="CH70" t="e">
        <f>'Technical Skills Weighting'!DF44+"`FU!$n/"</f>
        <v>#VALUE!</v>
      </c>
      <c r="CI70" t="e">
        <f>'Technical Skills Weighting'!DG44+"`FU!$n0"</f>
        <v>#VALUE!</v>
      </c>
      <c r="CJ70" t="e">
        <f>'Technical Skills Weighting'!DH44+"`FU!$n1"</f>
        <v>#VALUE!</v>
      </c>
      <c r="CK70" t="e">
        <f>'Technical Skills Weighting'!DI44+"`FU!$n2"</f>
        <v>#VALUE!</v>
      </c>
      <c r="CL70" t="e">
        <f>'Technical Skills Weighting'!DJ44+"`FU!$n3"</f>
        <v>#VALUE!</v>
      </c>
      <c r="CM70" t="e">
        <f>'Technical Skills Weighting'!DK44+"`FU!$n4"</f>
        <v>#VALUE!</v>
      </c>
      <c r="CN70" t="e">
        <f>'Technical Skills Weighting'!DL44+"`FU!$n5"</f>
        <v>#VALUE!</v>
      </c>
      <c r="CO70" t="e">
        <f>'Technical Skills Weighting'!DM44+"`FU!$n6"</f>
        <v>#VALUE!</v>
      </c>
      <c r="CP70" t="e">
        <f>'Technical Skills Weighting'!DN44+"`FU!$n7"</f>
        <v>#VALUE!</v>
      </c>
      <c r="CQ70" t="e">
        <f>'Technical Skills Weighting'!DO44+"`FU!$n8"</f>
        <v>#VALUE!</v>
      </c>
      <c r="CR70" t="e">
        <f>'Technical Skills Weighting'!DP44+"`FU!$n9"</f>
        <v>#VALUE!</v>
      </c>
      <c r="CS70" t="e">
        <f>'Technical Skills Weighting'!DQ44+"`FU!$n:"</f>
        <v>#VALUE!</v>
      </c>
      <c r="CT70" t="e">
        <f>'Technical Skills Weighting'!DR44+"`FU!$n;"</f>
        <v>#VALUE!</v>
      </c>
      <c r="CU70" t="e">
        <f>'Technical Skills Weighting'!DS44+"`FU!$n&lt;"</f>
        <v>#VALUE!</v>
      </c>
      <c r="CV70" t="e">
        <f>'Technical Skills Weighting'!DT44+"`FU!$n="</f>
        <v>#VALUE!</v>
      </c>
      <c r="CW70" t="e">
        <f>'Technical Skills Weighting'!DU44+"`FU!$n&gt;"</f>
        <v>#VALUE!</v>
      </c>
      <c r="CX70" t="e">
        <f>'Technical Skills Weighting'!DV44+"`FU!$n?"</f>
        <v>#VALUE!</v>
      </c>
      <c r="CY70" t="e">
        <f>'Technical Skills Weighting'!DW44+"`FU!$n@"</f>
        <v>#VALUE!</v>
      </c>
      <c r="CZ70" t="e">
        <f>'Technical Skills Weighting'!DX44+"`FU!$nA"</f>
        <v>#VALUE!</v>
      </c>
      <c r="DA70" t="e">
        <f>'Technical Skills Weighting'!DY44+"`FU!$nB"</f>
        <v>#VALUE!</v>
      </c>
      <c r="DB70" t="e">
        <f>'Technical Skills Weighting'!DZ44+"`FU!$nC"</f>
        <v>#VALUE!</v>
      </c>
      <c r="DC70" t="e">
        <f>'Technical Skills Weighting'!EA44+"`FU!$nD"</f>
        <v>#VALUE!</v>
      </c>
      <c r="DD70" t="e">
        <f>'Technical Skills Weighting'!EB44+"`FU!$nE"</f>
        <v>#VALUE!</v>
      </c>
      <c r="DE70" t="e">
        <f>'Technical Skills Weighting'!EC44+"`FU!$nF"</f>
        <v>#VALUE!</v>
      </c>
      <c r="DF70" t="e">
        <f>'Technical Skills Weighting'!ED44+"`FU!$nG"</f>
        <v>#VALUE!</v>
      </c>
      <c r="DG70" t="e">
        <f>'Technical Skills Weighting'!EE44+"`FU!$nH"</f>
        <v>#VALUE!</v>
      </c>
      <c r="DH70" t="e">
        <f>'Technical Skills Weighting'!EF44+"`FU!$nI"</f>
        <v>#VALUE!</v>
      </c>
      <c r="DI70" t="e">
        <f>'Technical Skills Weighting'!EG44+"`FU!$nJ"</f>
        <v>#VALUE!</v>
      </c>
      <c r="DJ70" t="e">
        <f>'Technical Skills Weighting'!EH44+"`FU!$nK"</f>
        <v>#VALUE!</v>
      </c>
      <c r="DK70" t="e">
        <f>'Technical Skills Weighting'!EI44+"`FU!$nL"</f>
        <v>#VALUE!</v>
      </c>
      <c r="DL70" t="e">
        <f>'Technical Skills Weighting'!EJ44+"`FU!$nM"</f>
        <v>#VALUE!</v>
      </c>
      <c r="DM70" t="e">
        <f>'Technical Skills Weighting'!EK44+"`FU!$nN"</f>
        <v>#VALUE!</v>
      </c>
      <c r="DN70" t="e">
        <f>'Technical Skills Weighting'!EL44+"`FU!$nO"</f>
        <v>#VALUE!</v>
      </c>
      <c r="DO70" t="e">
        <f>'Technical Skills Weighting'!EM44+"`FU!$nP"</f>
        <v>#VALUE!</v>
      </c>
      <c r="DP70" t="e">
        <f>'Technical Skills Weighting'!EN44+"`FU!$nQ"</f>
        <v>#VALUE!</v>
      </c>
      <c r="DQ70" t="e">
        <f>'Technical Skills Weighting'!EO44+"`FU!$nR"</f>
        <v>#VALUE!</v>
      </c>
      <c r="DR70" t="e">
        <f>'Technical Skills Weighting'!EP44+"`FU!$nS"</f>
        <v>#VALUE!</v>
      </c>
      <c r="DS70" t="e">
        <f>'Technical Skills Weighting'!EQ44+"`FU!$nT"</f>
        <v>#VALUE!</v>
      </c>
      <c r="DT70" t="e">
        <f>'Technical Skills Weighting'!ER44+"`FU!$nU"</f>
        <v>#VALUE!</v>
      </c>
      <c r="DU70" t="e">
        <f>'Technical Skills Weighting'!ES44+"`FU!$nV"</f>
        <v>#VALUE!</v>
      </c>
      <c r="DV70" t="e">
        <f>'Technical Skills Weighting'!ET44+"`FU!$nW"</f>
        <v>#VALUE!</v>
      </c>
      <c r="DW70" t="e">
        <f>'Technical Skills Weighting'!EU44+"`FU!$nX"</f>
        <v>#VALUE!</v>
      </c>
      <c r="DX70" t="e">
        <f>'Technical Skills Weighting'!EV44+"`FU!$nY"</f>
        <v>#VALUE!</v>
      </c>
      <c r="DY70" t="e">
        <f>'Technical Skills Weighting'!EW44+"`FU!$nZ"</f>
        <v>#VALUE!</v>
      </c>
      <c r="DZ70" t="e">
        <f>'Technical Skills Weighting'!EX44+"`FU!$n["</f>
        <v>#VALUE!</v>
      </c>
      <c r="EA70" t="e">
        <f>'Technical Skills Weighting'!EY44+"`FU!$n\"</f>
        <v>#VALUE!</v>
      </c>
      <c r="EB70" t="e">
        <f>'Technical Skills Weighting'!EZ44+"`FU!$n]"</f>
        <v>#VALUE!</v>
      </c>
      <c r="EC70" t="e">
        <f>'Technical Skills Weighting'!FA44+"`FU!$n^"</f>
        <v>#VALUE!</v>
      </c>
      <c r="ED70" t="e">
        <f>'Technical Skills Weighting'!FB44+"`FU!$n_"</f>
        <v>#VALUE!</v>
      </c>
      <c r="EE70" t="e">
        <f>'Technical Skills Weighting'!FC44+"`FU!$n`"</f>
        <v>#VALUE!</v>
      </c>
      <c r="EF70" t="e">
        <f>'Technical Skills Weighting'!FD44+"`FU!$na"</f>
        <v>#VALUE!</v>
      </c>
      <c r="EG70" t="e">
        <f>'Technical Skills Weighting'!FE44+"`FU!$nb"</f>
        <v>#VALUE!</v>
      </c>
      <c r="EH70" t="e">
        <f>'Technical Skills Weighting'!FF44+"`FU!$nc"</f>
        <v>#VALUE!</v>
      </c>
      <c r="EI70" t="e">
        <f>'Technical Skills Weighting'!FG44+"`FU!$nd"</f>
        <v>#VALUE!</v>
      </c>
      <c r="EJ70" t="e">
        <f>'Technical Skills Weighting'!FH44+"`FU!$ne"</f>
        <v>#VALUE!</v>
      </c>
      <c r="EK70" t="e">
        <f>'Technical Skills Weighting'!FI44+"`FU!$nf"</f>
        <v>#VALUE!</v>
      </c>
      <c r="EL70" t="e">
        <f>'Technical Skills Weighting'!FJ44+"`FU!$ng"</f>
        <v>#VALUE!</v>
      </c>
      <c r="EM70" t="e">
        <f>'Technical Skills Weighting'!FK44+"`FU!$nh"</f>
        <v>#VALUE!</v>
      </c>
      <c r="EN70" t="e">
        <f>'Technical Skills Weighting'!FL44+"`FU!$ni"</f>
        <v>#VALUE!</v>
      </c>
      <c r="EO70" t="e">
        <f>'Technical Skills Weighting'!FM44+"`FU!$nj"</f>
        <v>#VALUE!</v>
      </c>
      <c r="EP70" t="e">
        <f>'Technical Skills Weighting'!FN44+"`FU!$nk"</f>
        <v>#VALUE!</v>
      </c>
      <c r="EQ70" t="e">
        <f>'Technical Skills Weighting'!FO44+"`FU!$nl"</f>
        <v>#VALUE!</v>
      </c>
      <c r="ER70" t="e">
        <f>'Technical Skills Weighting'!FP44+"`FU!$nm"</f>
        <v>#VALUE!</v>
      </c>
      <c r="ES70" t="e">
        <f>'Technical Skills Weighting'!FQ44+"`FU!$nn"</f>
        <v>#VALUE!</v>
      </c>
      <c r="ET70" t="e">
        <f>'Technical Skills Weighting'!FR44+"`FU!$no"</f>
        <v>#VALUE!</v>
      </c>
      <c r="EU70" t="e">
        <f>'Technical Skills Weighting'!FS44+"`FU!$np"</f>
        <v>#VALUE!</v>
      </c>
      <c r="EV70" t="e">
        <f>'Technical Skills Weighting'!FT44+"`FU!$nq"</f>
        <v>#VALUE!</v>
      </c>
      <c r="EW70" t="e">
        <f>'Technical Skills Weighting'!FU44+"`FU!$nr"</f>
        <v>#VALUE!</v>
      </c>
      <c r="EX70" t="e">
        <f>'Technical Skills Weighting'!FV44+"`FU!$ns"</f>
        <v>#VALUE!</v>
      </c>
      <c r="EY70" t="e">
        <f>'Technical Skills Weighting'!FW44+"`FU!$nt"</f>
        <v>#VALUE!</v>
      </c>
      <c r="EZ70" t="e">
        <f>'Technical Skills Weighting'!FX44+"`FU!$nu"</f>
        <v>#VALUE!</v>
      </c>
      <c r="FA70" t="e">
        <f>'Technical Skills Weighting'!FY44+"`FU!$nv"</f>
        <v>#VALUE!</v>
      </c>
      <c r="FB70" t="e">
        <f>'Technical Skills Weighting'!FZ44+"`FU!$nw"</f>
        <v>#VALUE!</v>
      </c>
      <c r="FC70" t="e">
        <f>'Technical Skills Weighting'!GA44+"`FU!$nx"</f>
        <v>#VALUE!</v>
      </c>
      <c r="FD70" t="e">
        <f>'Technical Skills Weighting'!GB44+"`FU!$ny"</f>
        <v>#VALUE!</v>
      </c>
      <c r="FE70" t="e">
        <f>'Technical Skills Weighting'!GC44+"`FU!$nz"</f>
        <v>#VALUE!</v>
      </c>
      <c r="FF70" t="e">
        <f>'Technical Skills Weighting'!GD44+"`FU!$n{"</f>
        <v>#VALUE!</v>
      </c>
      <c r="FG70" t="e">
        <f>'Technical Skills Weighting'!GE44+"`FU!$n|"</f>
        <v>#VALUE!</v>
      </c>
      <c r="FH70" t="e">
        <f>'Technical Skills Weighting'!GF44+"`FU!$n}"</f>
        <v>#VALUE!</v>
      </c>
      <c r="FI70" t="e">
        <f>'Technical Skills Weighting'!GG44+"`FU!$n~"</f>
        <v>#VALUE!</v>
      </c>
      <c r="FJ70" t="e">
        <f>'Technical Skills Weighting'!D45+"`FU!$o#"</f>
        <v>#VALUE!</v>
      </c>
      <c r="FK70" t="e">
        <f>'Technical Skills Weighting'!E45+"`FU!$o$"</f>
        <v>#VALUE!</v>
      </c>
      <c r="FL70" t="e">
        <f>'Technical Skills Weighting'!F45+"`FU!$o%"</f>
        <v>#VALUE!</v>
      </c>
      <c r="FM70" t="e">
        <f>'Technical Skills Weighting'!G45+"`FU!$o&amp;"</f>
        <v>#VALUE!</v>
      </c>
      <c r="FN70" t="e">
        <f>'Technical Skills Weighting'!A46+"`FU!$o'"</f>
        <v>#VALUE!</v>
      </c>
      <c r="FO70" t="e">
        <f>'Technical Skills Weighting'!D46+"`FU!$o("</f>
        <v>#VALUE!</v>
      </c>
      <c r="FP70" t="e">
        <f>'Technical Skills Weighting'!E46+"`FU!$o)"</f>
        <v>#VALUE!</v>
      </c>
      <c r="FQ70" t="e">
        <f>'Technical Skills Weighting'!F46+"`FU!$o."</f>
        <v>#VALUE!</v>
      </c>
      <c r="FR70" t="e">
        <f>'Technical Skills Weighting'!G46+"`FU!$o/"</f>
        <v>#VALUE!</v>
      </c>
      <c r="FS70" t="e">
        <f>'Technical Skills Weighting'!H46+"`FU!$o0"</f>
        <v>#VALUE!</v>
      </c>
      <c r="FT70" t="e">
        <f>'Technical Skills Weighting'!I46+"`FU!$o1"</f>
        <v>#VALUE!</v>
      </c>
      <c r="FU70" t="e">
        <f>'Technical Skills Weighting'!J46+"`FU!$o2"</f>
        <v>#VALUE!</v>
      </c>
      <c r="FV70" t="e">
        <f>'Technical Skills Weighting'!K46+"`FU!$o3"</f>
        <v>#VALUE!</v>
      </c>
      <c r="FW70" t="e">
        <f>'Technical Skills Weighting'!L46+"`FU!$o4"</f>
        <v>#VALUE!</v>
      </c>
      <c r="FX70" t="e">
        <f>'Technical Skills Weighting'!M46+"`FU!$o5"</f>
        <v>#VALUE!</v>
      </c>
      <c r="FY70" t="e">
        <f>'Technical Skills Weighting'!N46+"`FU!$o6"</f>
        <v>#VALUE!</v>
      </c>
      <c r="FZ70" t="e">
        <f>'Technical Skills Weighting'!O46+"`FU!$o7"</f>
        <v>#VALUE!</v>
      </c>
      <c r="GA70" t="e">
        <f>'Technical Skills Weighting'!P46+"`FU!$o8"</f>
        <v>#VALUE!</v>
      </c>
      <c r="GB70" t="e">
        <f>'Technical Skills Weighting'!Q46+"`FU!$o9"</f>
        <v>#VALUE!</v>
      </c>
      <c r="GC70" t="e">
        <f>'Technical Skills Weighting'!R46+"`FU!$o:"</f>
        <v>#VALUE!</v>
      </c>
      <c r="GD70" t="e">
        <f>'Technical Skills Weighting'!S46+"`FU!$o;"</f>
        <v>#VALUE!</v>
      </c>
      <c r="GE70" t="e">
        <f>'Technical Skills Weighting'!T46+"`FU!$o&lt;"</f>
        <v>#VALUE!</v>
      </c>
      <c r="GF70" t="e">
        <f>'Technical Skills Weighting'!U46+"`FU!$o="</f>
        <v>#VALUE!</v>
      </c>
      <c r="GG70" t="e">
        <f>'Technical Skills Weighting'!V46+"`FU!$o&gt;"</f>
        <v>#VALUE!</v>
      </c>
      <c r="GH70" t="e">
        <f>'Technical Skills Weighting'!W46+"`FU!$o?"</f>
        <v>#VALUE!</v>
      </c>
      <c r="GI70" t="e">
        <f>'Technical Skills Weighting'!X46+"`FU!$o@"</f>
        <v>#VALUE!</v>
      </c>
      <c r="GJ70" t="e">
        <f>'Technical Skills Weighting'!Y46+"`FU!$oA"</f>
        <v>#VALUE!</v>
      </c>
      <c r="GK70" t="e">
        <f>'Technical Skills Weighting'!Z46+"`FU!$oB"</f>
        <v>#VALUE!</v>
      </c>
      <c r="GL70" t="e">
        <f>'Technical Skills Weighting'!AA46+"`FU!$oC"</f>
        <v>#VALUE!</v>
      </c>
      <c r="GM70" t="e">
        <f>'Technical Skills Weighting'!AB46+"`FU!$oD"</f>
        <v>#VALUE!</v>
      </c>
      <c r="GN70" t="e">
        <f>'Technical Skills Weighting'!AC46+"`FU!$oE"</f>
        <v>#VALUE!</v>
      </c>
      <c r="GO70" t="e">
        <f>'Technical Skills Weighting'!AD46+"`FU!$oF"</f>
        <v>#VALUE!</v>
      </c>
      <c r="GP70" t="e">
        <f>'Technical Skills Weighting'!AE46+"`FU!$oG"</f>
        <v>#VALUE!</v>
      </c>
      <c r="GQ70" t="e">
        <f>'Technical Skills Weighting'!AF46+"`FU!$oH"</f>
        <v>#VALUE!</v>
      </c>
      <c r="GR70" t="e">
        <f>'Technical Skills Weighting'!AG46+"`FU!$oI"</f>
        <v>#VALUE!</v>
      </c>
      <c r="GS70" t="e">
        <f>'Technical Skills Weighting'!AH46+"`FU!$oJ"</f>
        <v>#VALUE!</v>
      </c>
      <c r="GT70" t="e">
        <f>'Technical Skills Weighting'!AI46+"`FU!$oK"</f>
        <v>#VALUE!</v>
      </c>
      <c r="GU70" t="e">
        <f>'Technical Skills Weighting'!AJ46+"`FU!$oL"</f>
        <v>#VALUE!</v>
      </c>
      <c r="GV70" t="e">
        <f>'Technical Skills Weighting'!AK46+"`FU!$oM"</f>
        <v>#VALUE!</v>
      </c>
      <c r="GW70" t="e">
        <f>'Technical Skills Weighting'!AL46+"`FU!$oN"</f>
        <v>#VALUE!</v>
      </c>
      <c r="GX70" t="e">
        <f>'Technical Skills Weighting'!AM46+"`FU!$oO"</f>
        <v>#VALUE!</v>
      </c>
      <c r="GY70" t="e">
        <f>'Technical Skills Weighting'!AN46+"`FU!$oP"</f>
        <v>#VALUE!</v>
      </c>
      <c r="GZ70" t="e">
        <f>'Technical Skills Weighting'!AO46+"`FU!$oQ"</f>
        <v>#VALUE!</v>
      </c>
      <c r="HA70" t="e">
        <f>'Technical Skills Weighting'!AP46+"`FU!$oR"</f>
        <v>#VALUE!</v>
      </c>
      <c r="HB70" t="e">
        <f>'Technical Skills Weighting'!AQ46+"`FU!$oS"</f>
        <v>#VALUE!</v>
      </c>
      <c r="HC70" t="e">
        <f>'Technical Skills Weighting'!AR46+"`FU!$oT"</f>
        <v>#VALUE!</v>
      </c>
      <c r="HD70" t="e">
        <f>'Technical Skills Weighting'!AS46+"`FU!$oU"</f>
        <v>#VALUE!</v>
      </c>
      <c r="HE70" t="e">
        <f>'Technical Skills Weighting'!AT46+"`FU!$oV"</f>
        <v>#VALUE!</v>
      </c>
      <c r="HF70" t="e">
        <f>'Technical Skills Weighting'!AU46+"`FU!$oW"</f>
        <v>#VALUE!</v>
      </c>
      <c r="HG70" t="e">
        <f>'Technical Skills Weighting'!AV46+"`FU!$oX"</f>
        <v>#VALUE!</v>
      </c>
      <c r="HH70" t="e">
        <f>'Technical Skills Weighting'!AW46+"`FU!$oY"</f>
        <v>#VALUE!</v>
      </c>
      <c r="HI70" t="e">
        <f>'Technical Skills Weighting'!AX46+"`FU!$oZ"</f>
        <v>#VALUE!</v>
      </c>
      <c r="HJ70" t="e">
        <f>'Technical Skills Weighting'!AY46+"`FU!$o["</f>
        <v>#VALUE!</v>
      </c>
      <c r="HK70" t="e">
        <f>'Technical Skills Weighting'!AZ46+"`FU!$o\"</f>
        <v>#VALUE!</v>
      </c>
      <c r="HL70" t="e">
        <f>'Technical Skills Weighting'!BA46+"`FU!$o]"</f>
        <v>#VALUE!</v>
      </c>
      <c r="HM70" t="e">
        <f>'Technical Skills Weighting'!BB46+"`FU!$o^"</f>
        <v>#VALUE!</v>
      </c>
      <c r="HN70" t="e">
        <f>'Technical Skills Weighting'!BC46+"`FU!$o_"</f>
        <v>#VALUE!</v>
      </c>
      <c r="HO70" t="e">
        <f>'Technical Skills Weighting'!BD46+"`FU!$o`"</f>
        <v>#VALUE!</v>
      </c>
      <c r="HP70" t="e">
        <f>'Technical Skills Weighting'!BE46+"`FU!$oa"</f>
        <v>#VALUE!</v>
      </c>
      <c r="HQ70" t="e">
        <f>'Technical Skills Weighting'!BF46+"`FU!$ob"</f>
        <v>#VALUE!</v>
      </c>
      <c r="HR70" t="e">
        <f>'Technical Skills Weighting'!BG46+"`FU!$oc"</f>
        <v>#VALUE!</v>
      </c>
      <c r="HS70" t="e">
        <f>'Technical Skills Weighting'!BH46+"`FU!$od"</f>
        <v>#VALUE!</v>
      </c>
      <c r="HT70" t="e">
        <f>'Technical Skills Weighting'!BI46+"`FU!$oe"</f>
        <v>#VALUE!</v>
      </c>
      <c r="HU70" t="e">
        <f>'Technical Skills Weighting'!BJ46+"`FU!$of"</f>
        <v>#VALUE!</v>
      </c>
      <c r="HV70" t="e">
        <f>'Technical Skills Weighting'!BK46+"`FU!$og"</f>
        <v>#VALUE!</v>
      </c>
      <c r="HW70" t="e">
        <f>'Technical Skills Weighting'!BL46+"`FU!$oh"</f>
        <v>#VALUE!</v>
      </c>
      <c r="HX70" t="e">
        <f>'Technical Skills Weighting'!BM46+"`FU!$oi"</f>
        <v>#VALUE!</v>
      </c>
      <c r="HY70" t="e">
        <f>'Technical Skills Weighting'!BN46+"`FU!$oj"</f>
        <v>#VALUE!</v>
      </c>
      <c r="HZ70" t="e">
        <f>'Technical Skills Weighting'!BO46+"`FU!$ok"</f>
        <v>#VALUE!</v>
      </c>
      <c r="IA70" t="e">
        <f>'Technical Skills Weighting'!BP46+"`FU!$ol"</f>
        <v>#VALUE!</v>
      </c>
      <c r="IB70" t="e">
        <f>'Technical Skills Weighting'!BQ46+"`FU!$om"</f>
        <v>#VALUE!</v>
      </c>
      <c r="IC70" t="e">
        <f>'Technical Skills Weighting'!BR46+"`FU!$on"</f>
        <v>#VALUE!</v>
      </c>
      <c r="ID70" t="e">
        <f>'Technical Skills Weighting'!BS46+"`FU!$oo"</f>
        <v>#VALUE!</v>
      </c>
      <c r="IE70" t="e">
        <f>'Technical Skills Weighting'!BT46+"`FU!$op"</f>
        <v>#VALUE!</v>
      </c>
      <c r="IF70" t="e">
        <f>'Technical Skills Weighting'!BU46+"`FU!$oq"</f>
        <v>#VALUE!</v>
      </c>
      <c r="IG70" t="e">
        <f>'Technical Skills Weighting'!BV46+"`FU!$or"</f>
        <v>#VALUE!</v>
      </c>
      <c r="IH70" t="e">
        <f>'Technical Skills Weighting'!BW46+"`FU!$os"</f>
        <v>#VALUE!</v>
      </c>
      <c r="II70" t="e">
        <f>'Technical Skills Weighting'!BX46+"`FU!$ot"</f>
        <v>#VALUE!</v>
      </c>
      <c r="IJ70" t="e">
        <f>'Technical Skills Weighting'!BY46+"`FU!$ou"</f>
        <v>#VALUE!</v>
      </c>
      <c r="IK70" t="e">
        <f>'Technical Skills Weighting'!BZ46+"`FU!$ov"</f>
        <v>#VALUE!</v>
      </c>
      <c r="IL70" t="e">
        <f>'Technical Skills Weighting'!CA46+"`FU!$ow"</f>
        <v>#VALUE!</v>
      </c>
      <c r="IM70" t="e">
        <f>'Technical Skills Weighting'!CB46+"`FU!$ox"</f>
        <v>#VALUE!</v>
      </c>
      <c r="IN70" t="e">
        <f>'Technical Skills Weighting'!CC46+"`FU!$oy"</f>
        <v>#VALUE!</v>
      </c>
      <c r="IO70" t="e">
        <f>'Technical Skills Weighting'!CD46+"`FU!$oz"</f>
        <v>#VALUE!</v>
      </c>
      <c r="IP70" t="e">
        <f>'Technical Skills Weighting'!CE46+"`FU!$o{"</f>
        <v>#VALUE!</v>
      </c>
      <c r="IQ70" t="e">
        <f>'Technical Skills Weighting'!CF46+"`FU!$o|"</f>
        <v>#VALUE!</v>
      </c>
      <c r="IR70" t="e">
        <f>'Technical Skills Weighting'!CG46+"`FU!$o}"</f>
        <v>#VALUE!</v>
      </c>
      <c r="IS70" t="e">
        <f>'Technical Skills Weighting'!CH46+"`FU!$o~"</f>
        <v>#VALUE!</v>
      </c>
      <c r="IT70" t="e">
        <f>'Technical Skills Weighting'!CI46+"`FU!$p#"</f>
        <v>#VALUE!</v>
      </c>
      <c r="IU70" t="e">
        <f>'Technical Skills Weighting'!CJ46+"`FU!$p$"</f>
        <v>#VALUE!</v>
      </c>
      <c r="IV70" t="e">
        <f>'Technical Skills Weighting'!CK46+"`FU!$p%"</f>
        <v>#VALUE!</v>
      </c>
    </row>
    <row r="71" spans="6:256" x14ac:dyDescent="0.25">
      <c r="F71" t="e">
        <f>'Technical Skills Weighting'!CL46+"`FU!$p&amp;"</f>
        <v>#VALUE!</v>
      </c>
      <c r="G71" t="e">
        <f>'Technical Skills Weighting'!CM46+"`FU!$p'"</f>
        <v>#VALUE!</v>
      </c>
      <c r="H71" t="e">
        <f>'Technical Skills Weighting'!CN46+"`FU!$p("</f>
        <v>#VALUE!</v>
      </c>
      <c r="I71" t="e">
        <f>'Technical Skills Weighting'!CO46+"`FU!$p)"</f>
        <v>#VALUE!</v>
      </c>
      <c r="J71" t="e">
        <f>'Technical Skills Weighting'!CP46+"`FU!$p."</f>
        <v>#VALUE!</v>
      </c>
      <c r="K71" t="e">
        <f>'Technical Skills Weighting'!CQ46+"`FU!$p/"</f>
        <v>#VALUE!</v>
      </c>
      <c r="L71" t="e">
        <f>'Technical Skills Weighting'!CR46+"`FU!$p0"</f>
        <v>#VALUE!</v>
      </c>
      <c r="M71" t="e">
        <f>'Technical Skills Weighting'!CS46+"`FU!$p1"</f>
        <v>#VALUE!</v>
      </c>
      <c r="N71" t="e">
        <f>'Technical Skills Weighting'!CT46+"`FU!$p2"</f>
        <v>#VALUE!</v>
      </c>
      <c r="O71" t="e">
        <f>'Technical Skills Weighting'!CU46+"`FU!$p3"</f>
        <v>#VALUE!</v>
      </c>
      <c r="P71" t="e">
        <f>'Technical Skills Weighting'!CV46+"`FU!$p4"</f>
        <v>#VALUE!</v>
      </c>
      <c r="Q71" t="e">
        <f>'Technical Skills Weighting'!CW46+"`FU!$p5"</f>
        <v>#VALUE!</v>
      </c>
      <c r="R71" t="e">
        <f>'Technical Skills Weighting'!CX46+"`FU!$p6"</f>
        <v>#VALUE!</v>
      </c>
      <c r="S71" t="e">
        <f>'Technical Skills Weighting'!CY46+"`FU!$p7"</f>
        <v>#VALUE!</v>
      </c>
      <c r="T71" t="e">
        <f>'Technical Skills Weighting'!CZ46+"`FU!$p8"</f>
        <v>#VALUE!</v>
      </c>
      <c r="U71" t="e">
        <f>'Technical Skills Weighting'!DA46+"`FU!$p9"</f>
        <v>#VALUE!</v>
      </c>
      <c r="V71" t="e">
        <f>'Technical Skills Weighting'!DB46+"`FU!$p:"</f>
        <v>#VALUE!</v>
      </c>
      <c r="W71" t="e">
        <f>'Technical Skills Weighting'!DC46+"`FU!$p;"</f>
        <v>#VALUE!</v>
      </c>
      <c r="X71" t="e">
        <f>'Technical Skills Weighting'!DD46+"`FU!$p&lt;"</f>
        <v>#VALUE!</v>
      </c>
      <c r="Y71" t="e">
        <f>'Technical Skills Weighting'!DE46+"`FU!$p="</f>
        <v>#VALUE!</v>
      </c>
      <c r="Z71" t="e">
        <f>'Technical Skills Weighting'!DF46+"`FU!$p&gt;"</f>
        <v>#VALUE!</v>
      </c>
      <c r="AA71" t="e">
        <f>'Technical Skills Weighting'!DG46+"`FU!$p?"</f>
        <v>#VALUE!</v>
      </c>
      <c r="AB71" t="e">
        <f>'Technical Skills Weighting'!DH46+"`FU!$p@"</f>
        <v>#VALUE!</v>
      </c>
      <c r="AC71" t="e">
        <f>'Technical Skills Weighting'!DI46+"`FU!$pA"</f>
        <v>#VALUE!</v>
      </c>
      <c r="AD71" t="e">
        <f>'Technical Skills Weighting'!DJ46+"`FU!$pB"</f>
        <v>#VALUE!</v>
      </c>
      <c r="AE71" t="e">
        <f>'Technical Skills Weighting'!DK46+"`FU!$pC"</f>
        <v>#VALUE!</v>
      </c>
      <c r="AF71" t="e">
        <f>'Technical Skills Weighting'!DL46+"`FU!$pD"</f>
        <v>#VALUE!</v>
      </c>
      <c r="AG71" t="e">
        <f>'Technical Skills Weighting'!DM46+"`FU!$pE"</f>
        <v>#VALUE!</v>
      </c>
      <c r="AH71" t="e">
        <f>'Technical Skills Weighting'!DN46+"`FU!$pF"</f>
        <v>#VALUE!</v>
      </c>
      <c r="AI71" t="e">
        <f>'Technical Skills Weighting'!DO46+"`FU!$pG"</f>
        <v>#VALUE!</v>
      </c>
      <c r="AJ71" t="e">
        <f>'Technical Skills Weighting'!DP46+"`FU!$pH"</f>
        <v>#VALUE!</v>
      </c>
      <c r="AK71" t="e">
        <f>'Technical Skills Weighting'!DQ46+"`FU!$pI"</f>
        <v>#VALUE!</v>
      </c>
      <c r="AL71" t="e">
        <f>'Technical Skills Weighting'!DR46+"`FU!$pJ"</f>
        <v>#VALUE!</v>
      </c>
      <c r="AM71" t="e">
        <f>'Technical Skills Weighting'!DS46+"`FU!$pK"</f>
        <v>#VALUE!</v>
      </c>
      <c r="AN71" t="e">
        <f>'Technical Skills Weighting'!DT46+"`FU!$pL"</f>
        <v>#VALUE!</v>
      </c>
      <c r="AO71" t="e">
        <f>'Technical Skills Weighting'!DU46+"`FU!$pM"</f>
        <v>#VALUE!</v>
      </c>
      <c r="AP71" t="e">
        <f>'Technical Skills Weighting'!DV46+"`FU!$pN"</f>
        <v>#VALUE!</v>
      </c>
      <c r="AQ71" t="e">
        <f>'Technical Skills Weighting'!DW46+"`FU!$pO"</f>
        <v>#VALUE!</v>
      </c>
      <c r="AR71" t="e">
        <f>'Technical Skills Weighting'!DX46+"`FU!$pP"</f>
        <v>#VALUE!</v>
      </c>
      <c r="AS71" t="e">
        <f>'Technical Skills Weighting'!DY46+"`FU!$pQ"</f>
        <v>#VALUE!</v>
      </c>
      <c r="AT71" t="e">
        <f>'Technical Skills Weighting'!DZ46+"`FU!$pR"</f>
        <v>#VALUE!</v>
      </c>
      <c r="AU71" t="e">
        <f>'Technical Skills Weighting'!EA46+"`FU!$pS"</f>
        <v>#VALUE!</v>
      </c>
      <c r="AV71" t="e">
        <f>'Technical Skills Weighting'!EB46+"`FU!$pT"</f>
        <v>#VALUE!</v>
      </c>
      <c r="AW71" t="e">
        <f>'Technical Skills Weighting'!EC46+"`FU!$pU"</f>
        <v>#VALUE!</v>
      </c>
      <c r="AX71" t="e">
        <f>'Technical Skills Weighting'!ED46+"`FU!$pV"</f>
        <v>#VALUE!</v>
      </c>
      <c r="AY71" t="e">
        <f>'Technical Skills Weighting'!EE46+"`FU!$pW"</f>
        <v>#VALUE!</v>
      </c>
      <c r="AZ71" t="e">
        <f>'Technical Skills Weighting'!EF46+"`FU!$pX"</f>
        <v>#VALUE!</v>
      </c>
      <c r="BA71" t="e">
        <f>'Technical Skills Weighting'!EG46+"`FU!$pY"</f>
        <v>#VALUE!</v>
      </c>
      <c r="BB71" t="e">
        <f>'Technical Skills Weighting'!EH46+"`FU!$pZ"</f>
        <v>#VALUE!</v>
      </c>
      <c r="BC71" t="e">
        <f>'Technical Skills Weighting'!EI46+"`FU!$p["</f>
        <v>#VALUE!</v>
      </c>
      <c r="BD71" t="e">
        <f>'Technical Skills Weighting'!EJ46+"`FU!$p\"</f>
        <v>#VALUE!</v>
      </c>
      <c r="BE71" t="e">
        <f>'Technical Skills Weighting'!EK46+"`FU!$p]"</f>
        <v>#VALUE!</v>
      </c>
      <c r="BF71" t="e">
        <f>'Technical Skills Weighting'!EL46+"`FU!$p^"</f>
        <v>#VALUE!</v>
      </c>
      <c r="BG71" t="e">
        <f>'Technical Skills Weighting'!EM46+"`FU!$p_"</f>
        <v>#VALUE!</v>
      </c>
      <c r="BH71" t="e">
        <f>'Technical Skills Weighting'!EN46+"`FU!$p`"</f>
        <v>#VALUE!</v>
      </c>
      <c r="BI71" t="e">
        <f>'Technical Skills Weighting'!EO46+"`FU!$pa"</f>
        <v>#VALUE!</v>
      </c>
      <c r="BJ71" t="e">
        <f>'Technical Skills Weighting'!EP46+"`FU!$pb"</f>
        <v>#VALUE!</v>
      </c>
      <c r="BK71" t="e">
        <f>'Technical Skills Weighting'!EQ46+"`FU!$pc"</f>
        <v>#VALUE!</v>
      </c>
      <c r="BL71" t="e">
        <f>'Technical Skills Weighting'!ER46+"`FU!$pd"</f>
        <v>#VALUE!</v>
      </c>
      <c r="BM71" t="e">
        <f>'Technical Skills Weighting'!ES46+"`FU!$pe"</f>
        <v>#VALUE!</v>
      </c>
      <c r="BN71" t="e">
        <f>'Technical Skills Weighting'!ET46+"`FU!$pf"</f>
        <v>#VALUE!</v>
      </c>
      <c r="BO71" t="e">
        <f>'Technical Skills Weighting'!EU46+"`FU!$pg"</f>
        <v>#VALUE!</v>
      </c>
      <c r="BP71" t="e">
        <f>'Technical Skills Weighting'!EV46+"`FU!$ph"</f>
        <v>#VALUE!</v>
      </c>
      <c r="BQ71" t="e">
        <f>'Technical Skills Weighting'!EW46+"`FU!$pi"</f>
        <v>#VALUE!</v>
      </c>
      <c r="BR71" t="e">
        <f>'Technical Skills Weighting'!EX46+"`FU!$pj"</f>
        <v>#VALUE!</v>
      </c>
      <c r="BS71" t="e">
        <f>'Technical Skills Weighting'!EY46+"`FU!$pk"</f>
        <v>#VALUE!</v>
      </c>
      <c r="BT71" t="e">
        <f>'Technical Skills Weighting'!EZ46+"`FU!$pl"</f>
        <v>#VALUE!</v>
      </c>
      <c r="BU71" t="e">
        <f>'Technical Skills Weighting'!FA46+"`FU!$pm"</f>
        <v>#VALUE!</v>
      </c>
      <c r="BV71" t="e">
        <f>'Technical Skills Weighting'!FB46+"`FU!$pn"</f>
        <v>#VALUE!</v>
      </c>
      <c r="BW71" t="e">
        <f>'Technical Skills Weighting'!FC46+"`FU!$po"</f>
        <v>#VALUE!</v>
      </c>
      <c r="BX71" t="e">
        <f>'Technical Skills Weighting'!FD46+"`FU!$pp"</f>
        <v>#VALUE!</v>
      </c>
      <c r="BY71" t="e">
        <f>'Technical Skills Weighting'!FE46+"`FU!$pq"</f>
        <v>#VALUE!</v>
      </c>
      <c r="BZ71" t="e">
        <f>'Technical Skills Weighting'!FF46+"`FU!$pr"</f>
        <v>#VALUE!</v>
      </c>
      <c r="CA71" t="e">
        <f>'Technical Skills Weighting'!FG46+"`FU!$ps"</f>
        <v>#VALUE!</v>
      </c>
      <c r="CB71" t="e">
        <f>'Technical Skills Weighting'!FH46+"`FU!$pt"</f>
        <v>#VALUE!</v>
      </c>
      <c r="CC71" t="e">
        <f>'Technical Skills Weighting'!FI46+"`FU!$pu"</f>
        <v>#VALUE!</v>
      </c>
      <c r="CD71" t="e">
        <f>'Technical Skills Weighting'!FJ46+"`FU!$pv"</f>
        <v>#VALUE!</v>
      </c>
      <c r="CE71" t="e">
        <f>'Technical Skills Weighting'!FK46+"`FU!$pw"</f>
        <v>#VALUE!</v>
      </c>
      <c r="CF71" t="e">
        <f>'Technical Skills Weighting'!FL46+"`FU!$px"</f>
        <v>#VALUE!</v>
      </c>
      <c r="CG71" t="e">
        <f>'Technical Skills Weighting'!FM46+"`FU!$py"</f>
        <v>#VALUE!</v>
      </c>
      <c r="CH71" t="e">
        <f>'Technical Skills Weighting'!FN46+"`FU!$pz"</f>
        <v>#VALUE!</v>
      </c>
      <c r="CI71" t="e">
        <f>'Technical Skills Weighting'!FO46+"`FU!$p{"</f>
        <v>#VALUE!</v>
      </c>
      <c r="CJ71" t="e">
        <f>'Technical Skills Weighting'!FP46+"`FU!$p|"</f>
        <v>#VALUE!</v>
      </c>
      <c r="CK71" t="e">
        <f>'Technical Skills Weighting'!FQ46+"`FU!$p}"</f>
        <v>#VALUE!</v>
      </c>
      <c r="CL71" t="e">
        <f>'Technical Skills Weighting'!FR46+"`FU!$p~"</f>
        <v>#VALUE!</v>
      </c>
      <c r="CM71" t="e">
        <f>'Technical Skills Weighting'!FS46+"`FU!$q#"</f>
        <v>#VALUE!</v>
      </c>
      <c r="CN71" t="e">
        <f>'Technical Skills Weighting'!FT46+"`FU!$q$"</f>
        <v>#VALUE!</v>
      </c>
      <c r="CO71" t="e">
        <f>'Technical Skills Weighting'!FU46+"`FU!$q%"</f>
        <v>#VALUE!</v>
      </c>
      <c r="CP71" t="e">
        <f>'Technical Skills Weighting'!FV46+"`FU!$q&amp;"</f>
        <v>#VALUE!</v>
      </c>
      <c r="CQ71" t="e">
        <f>'Technical Skills Weighting'!FW46+"`FU!$q'"</f>
        <v>#VALUE!</v>
      </c>
      <c r="CR71" t="e">
        <f>'Technical Skills Weighting'!FX46+"`FU!$q("</f>
        <v>#VALUE!</v>
      </c>
      <c r="CS71" t="e">
        <f>'Technical Skills Weighting'!FY46+"`FU!$q)"</f>
        <v>#VALUE!</v>
      </c>
      <c r="CT71" t="e">
        <f>'Technical Skills Weighting'!FZ46+"`FU!$q."</f>
        <v>#VALUE!</v>
      </c>
      <c r="CU71" t="e">
        <f>'Technical Skills Weighting'!GA46+"`FU!$q/"</f>
        <v>#VALUE!</v>
      </c>
      <c r="CV71" t="e">
        <f>'Technical Skills Weighting'!GB46+"`FU!$q0"</f>
        <v>#VALUE!</v>
      </c>
      <c r="CW71" t="e">
        <f>'Technical Skills Weighting'!GC46+"`FU!$q1"</f>
        <v>#VALUE!</v>
      </c>
      <c r="CX71" t="e">
        <f>'Technical Skills Weighting'!GD46+"`FU!$q2"</f>
        <v>#VALUE!</v>
      </c>
      <c r="CY71" t="e">
        <f>'Technical Skills Weighting'!GE46+"`FU!$q3"</f>
        <v>#VALUE!</v>
      </c>
      <c r="CZ71" t="e">
        <f>'Technical Skills Weighting'!GF46+"`FU!$q4"</f>
        <v>#VALUE!</v>
      </c>
      <c r="DA71" t="e">
        <f>'Technical Skills Weighting'!GG46+"`FU!$q5"</f>
        <v>#VALUE!</v>
      </c>
      <c r="DB71" t="e">
        <f>'Technical Skills Weighting'!D47+"`FU!$q6"</f>
        <v>#VALUE!</v>
      </c>
      <c r="DC71" t="e">
        <f>'Technical Skills Weighting'!E47+"`FU!$q7"</f>
        <v>#VALUE!</v>
      </c>
      <c r="DD71" t="e">
        <f>'Technical Skills Weighting'!F47+"`FU!$q8"</f>
        <v>#VALUE!</v>
      </c>
      <c r="DE71" t="e">
        <f>'Technical Skills Weighting'!G47+"`FU!$q9"</f>
        <v>#VALUE!</v>
      </c>
      <c r="DF71" t="e">
        <f>'Technical Skills Weighting'!A48+"`FU!$q:"</f>
        <v>#VALUE!</v>
      </c>
      <c r="DG71" t="e">
        <f>'Technical Skills Weighting'!D48+"`FU!$q;"</f>
        <v>#VALUE!</v>
      </c>
      <c r="DH71" t="e">
        <f>'Technical Skills Weighting'!E48+"`FU!$q&lt;"</f>
        <v>#VALUE!</v>
      </c>
      <c r="DI71" t="e">
        <f>'Technical Skills Weighting'!F48+"`FU!$q="</f>
        <v>#VALUE!</v>
      </c>
      <c r="DJ71" t="e">
        <f>'Technical Skills Weighting'!G48+"`FU!$q&gt;"</f>
        <v>#VALUE!</v>
      </c>
      <c r="DK71" t="e">
        <f>'Technical Skills Weighting'!H48+"`FU!$q?"</f>
        <v>#VALUE!</v>
      </c>
      <c r="DL71" t="e">
        <f>'Technical Skills Weighting'!I48+"`FU!$q@"</f>
        <v>#VALUE!</v>
      </c>
      <c r="DM71" t="e">
        <f>'Technical Skills Weighting'!J48+"`FU!$qA"</f>
        <v>#VALUE!</v>
      </c>
      <c r="DN71" t="e">
        <f>'Technical Skills Weighting'!K48+"`FU!$qB"</f>
        <v>#VALUE!</v>
      </c>
      <c r="DO71" t="e">
        <f>'Technical Skills Weighting'!L48+"`FU!$qC"</f>
        <v>#VALUE!</v>
      </c>
      <c r="DP71" t="e">
        <f>'Technical Skills Weighting'!M48+"`FU!$qD"</f>
        <v>#VALUE!</v>
      </c>
      <c r="DQ71" t="e">
        <f>'Technical Skills Weighting'!N48+"`FU!$qE"</f>
        <v>#VALUE!</v>
      </c>
      <c r="DR71" t="e">
        <f>'Technical Skills Weighting'!O48+"`FU!$qF"</f>
        <v>#VALUE!</v>
      </c>
      <c r="DS71" t="e">
        <f>'Technical Skills Weighting'!P48+"`FU!$qG"</f>
        <v>#VALUE!</v>
      </c>
      <c r="DT71" t="e">
        <f>'Technical Skills Weighting'!Q48+"`FU!$qH"</f>
        <v>#VALUE!</v>
      </c>
      <c r="DU71" t="e">
        <f>'Technical Skills Weighting'!R48+"`FU!$qI"</f>
        <v>#VALUE!</v>
      </c>
      <c r="DV71" t="e">
        <f>'Technical Skills Weighting'!S48+"`FU!$qJ"</f>
        <v>#VALUE!</v>
      </c>
      <c r="DW71" t="e">
        <f>'Technical Skills Weighting'!T48+"`FU!$qK"</f>
        <v>#VALUE!</v>
      </c>
      <c r="DX71" t="e">
        <f>'Technical Skills Weighting'!U48+"`FU!$qL"</f>
        <v>#VALUE!</v>
      </c>
      <c r="DY71" t="e">
        <f>'Technical Skills Weighting'!V48+"`FU!$qM"</f>
        <v>#VALUE!</v>
      </c>
      <c r="DZ71" t="e">
        <f>'Technical Skills Weighting'!W48+"`FU!$qN"</f>
        <v>#VALUE!</v>
      </c>
      <c r="EA71" t="e">
        <f>'Technical Skills Weighting'!X48+"`FU!$qO"</f>
        <v>#VALUE!</v>
      </c>
      <c r="EB71" t="e">
        <f>'Technical Skills Weighting'!Y48+"`FU!$qP"</f>
        <v>#VALUE!</v>
      </c>
      <c r="EC71" t="e">
        <f>'Technical Skills Weighting'!Z48+"`FU!$qQ"</f>
        <v>#VALUE!</v>
      </c>
      <c r="ED71" t="e">
        <f>'Technical Skills Weighting'!AA48+"`FU!$qR"</f>
        <v>#VALUE!</v>
      </c>
      <c r="EE71" t="e">
        <f>'Technical Skills Weighting'!AB48+"`FU!$qS"</f>
        <v>#VALUE!</v>
      </c>
      <c r="EF71" t="e">
        <f>'Technical Skills Weighting'!AC48+"`FU!$qT"</f>
        <v>#VALUE!</v>
      </c>
      <c r="EG71" t="e">
        <f>'Technical Skills Weighting'!AD48+"`FU!$qU"</f>
        <v>#VALUE!</v>
      </c>
      <c r="EH71" t="e">
        <f>'Technical Skills Weighting'!AE48+"`FU!$qV"</f>
        <v>#VALUE!</v>
      </c>
      <c r="EI71" t="e">
        <f>'Technical Skills Weighting'!AF48+"`FU!$qW"</f>
        <v>#VALUE!</v>
      </c>
      <c r="EJ71" t="e">
        <f>'Technical Skills Weighting'!AG48+"`FU!$qX"</f>
        <v>#VALUE!</v>
      </c>
      <c r="EK71" t="e">
        <f>'Technical Skills Weighting'!AH48+"`FU!$qY"</f>
        <v>#VALUE!</v>
      </c>
      <c r="EL71" t="e">
        <f>'Technical Skills Weighting'!AI48+"`FU!$qZ"</f>
        <v>#VALUE!</v>
      </c>
      <c r="EM71" t="e">
        <f>'Technical Skills Weighting'!AJ48+"`FU!$q["</f>
        <v>#VALUE!</v>
      </c>
      <c r="EN71" t="e">
        <f>'Technical Skills Weighting'!AK48+"`FU!$q\"</f>
        <v>#VALUE!</v>
      </c>
      <c r="EO71" t="e">
        <f>'Technical Skills Weighting'!AL48+"`FU!$q]"</f>
        <v>#VALUE!</v>
      </c>
      <c r="EP71" t="e">
        <f>'Technical Skills Weighting'!AM48+"`FU!$q^"</f>
        <v>#VALUE!</v>
      </c>
      <c r="EQ71" t="e">
        <f>'Technical Skills Weighting'!AN48+"`FU!$q_"</f>
        <v>#VALUE!</v>
      </c>
      <c r="ER71" t="e">
        <f>'Technical Skills Weighting'!AO48+"`FU!$q`"</f>
        <v>#VALUE!</v>
      </c>
      <c r="ES71" t="e">
        <f>'Technical Skills Weighting'!AP48+"`FU!$qa"</f>
        <v>#VALUE!</v>
      </c>
      <c r="ET71" t="e">
        <f>'Technical Skills Weighting'!AQ48+"`FU!$qb"</f>
        <v>#VALUE!</v>
      </c>
      <c r="EU71" t="e">
        <f>'Technical Skills Weighting'!AR48+"`FU!$qc"</f>
        <v>#VALUE!</v>
      </c>
      <c r="EV71" t="e">
        <f>'Technical Skills Weighting'!AS48+"`FU!$qd"</f>
        <v>#VALUE!</v>
      </c>
      <c r="EW71" t="e">
        <f>'Technical Skills Weighting'!AT48+"`FU!$qe"</f>
        <v>#VALUE!</v>
      </c>
      <c r="EX71" t="e">
        <f>'Technical Skills Weighting'!AU48+"`FU!$qf"</f>
        <v>#VALUE!</v>
      </c>
      <c r="EY71" t="e">
        <f>'Technical Skills Weighting'!AV48+"`FU!$qg"</f>
        <v>#VALUE!</v>
      </c>
      <c r="EZ71" t="e">
        <f>'Technical Skills Weighting'!AW48+"`FU!$qh"</f>
        <v>#VALUE!</v>
      </c>
      <c r="FA71" t="e">
        <f>'Technical Skills Weighting'!AX48+"`FU!$qi"</f>
        <v>#VALUE!</v>
      </c>
      <c r="FB71" t="e">
        <f>'Technical Skills Weighting'!AY48+"`FU!$qj"</f>
        <v>#VALUE!</v>
      </c>
      <c r="FC71" t="e">
        <f>'Technical Skills Weighting'!AZ48+"`FU!$qk"</f>
        <v>#VALUE!</v>
      </c>
      <c r="FD71" t="e">
        <f>'Technical Skills Weighting'!BA48+"`FU!$ql"</f>
        <v>#VALUE!</v>
      </c>
      <c r="FE71" t="e">
        <f>'Technical Skills Weighting'!BB48+"`FU!$qm"</f>
        <v>#VALUE!</v>
      </c>
      <c r="FF71" t="e">
        <f>'Technical Skills Weighting'!BC48+"`FU!$qn"</f>
        <v>#VALUE!</v>
      </c>
      <c r="FG71" t="e">
        <f>'Technical Skills Weighting'!BD48+"`FU!$qo"</f>
        <v>#VALUE!</v>
      </c>
      <c r="FH71" t="e">
        <f>'Technical Skills Weighting'!BE48+"`FU!$qp"</f>
        <v>#VALUE!</v>
      </c>
      <c r="FI71" t="e">
        <f>'Technical Skills Weighting'!BF48+"`FU!$qq"</f>
        <v>#VALUE!</v>
      </c>
      <c r="FJ71" t="e">
        <f>'Technical Skills Weighting'!BG48+"`FU!$qr"</f>
        <v>#VALUE!</v>
      </c>
      <c r="FK71" t="e">
        <f>'Technical Skills Weighting'!BH48+"`FU!$qs"</f>
        <v>#VALUE!</v>
      </c>
      <c r="FL71" t="e">
        <f>'Technical Skills Weighting'!BI48+"`FU!$qt"</f>
        <v>#VALUE!</v>
      </c>
      <c r="FM71" t="e">
        <f>'Technical Skills Weighting'!BJ48+"`FU!$qu"</f>
        <v>#VALUE!</v>
      </c>
      <c r="FN71" t="e">
        <f>'Technical Skills Weighting'!BK48+"`FU!$qv"</f>
        <v>#VALUE!</v>
      </c>
      <c r="FO71" t="e">
        <f>'Technical Skills Weighting'!BL48+"`FU!$qw"</f>
        <v>#VALUE!</v>
      </c>
      <c r="FP71" t="e">
        <f>'Technical Skills Weighting'!BM48+"`FU!$qx"</f>
        <v>#VALUE!</v>
      </c>
      <c r="FQ71" t="e">
        <f>'Technical Skills Weighting'!BN48+"`FU!$qy"</f>
        <v>#VALUE!</v>
      </c>
      <c r="FR71" t="e">
        <f>'Technical Skills Weighting'!BO48+"`FU!$qz"</f>
        <v>#VALUE!</v>
      </c>
      <c r="FS71" t="e">
        <f>'Technical Skills Weighting'!BP48+"`FU!$q{"</f>
        <v>#VALUE!</v>
      </c>
      <c r="FT71" t="e">
        <f>'Technical Skills Weighting'!BQ48+"`FU!$q|"</f>
        <v>#VALUE!</v>
      </c>
      <c r="FU71" t="e">
        <f>'Technical Skills Weighting'!BR48+"`FU!$q}"</f>
        <v>#VALUE!</v>
      </c>
      <c r="FV71" t="e">
        <f>'Technical Skills Weighting'!BS48+"`FU!$q~"</f>
        <v>#VALUE!</v>
      </c>
      <c r="FW71" t="e">
        <f>'Technical Skills Weighting'!BT48+"`FU!$r#"</f>
        <v>#VALUE!</v>
      </c>
      <c r="FX71" t="e">
        <f>'Technical Skills Weighting'!BU48+"`FU!$r$"</f>
        <v>#VALUE!</v>
      </c>
      <c r="FY71" t="e">
        <f>'Technical Skills Weighting'!BV48+"`FU!$r%"</f>
        <v>#VALUE!</v>
      </c>
      <c r="FZ71" t="e">
        <f>'Technical Skills Weighting'!BW48+"`FU!$r&amp;"</f>
        <v>#VALUE!</v>
      </c>
      <c r="GA71" t="e">
        <f>'Technical Skills Weighting'!BX48+"`FU!$r'"</f>
        <v>#VALUE!</v>
      </c>
      <c r="GB71" t="e">
        <f>'Technical Skills Weighting'!BY48+"`FU!$r("</f>
        <v>#VALUE!</v>
      </c>
      <c r="GC71" t="e">
        <f>'Technical Skills Weighting'!BZ48+"`FU!$r)"</f>
        <v>#VALUE!</v>
      </c>
      <c r="GD71" t="e">
        <f>'Technical Skills Weighting'!CA48+"`FU!$r."</f>
        <v>#VALUE!</v>
      </c>
      <c r="GE71" t="e">
        <f>'Technical Skills Weighting'!CB48+"`FU!$r/"</f>
        <v>#VALUE!</v>
      </c>
      <c r="GF71" t="e">
        <f>'Technical Skills Weighting'!CC48+"`FU!$r0"</f>
        <v>#VALUE!</v>
      </c>
      <c r="GG71" t="e">
        <f>'Technical Skills Weighting'!CD48+"`FU!$r1"</f>
        <v>#VALUE!</v>
      </c>
      <c r="GH71" t="e">
        <f>'Technical Skills Weighting'!CE48+"`FU!$r2"</f>
        <v>#VALUE!</v>
      </c>
      <c r="GI71" t="e">
        <f>'Technical Skills Weighting'!CF48+"`FU!$r3"</f>
        <v>#VALUE!</v>
      </c>
      <c r="GJ71" t="e">
        <f>'Technical Skills Weighting'!CG48+"`FU!$r4"</f>
        <v>#VALUE!</v>
      </c>
      <c r="GK71" t="e">
        <f>'Technical Skills Weighting'!CH48+"`FU!$r5"</f>
        <v>#VALUE!</v>
      </c>
      <c r="GL71" t="e">
        <f>'Technical Skills Weighting'!CI48+"`FU!$r6"</f>
        <v>#VALUE!</v>
      </c>
      <c r="GM71" t="e">
        <f>'Technical Skills Weighting'!CJ48+"`FU!$r7"</f>
        <v>#VALUE!</v>
      </c>
      <c r="GN71" t="e">
        <f>'Technical Skills Weighting'!CK48+"`FU!$r8"</f>
        <v>#VALUE!</v>
      </c>
      <c r="GO71" t="e">
        <f>'Technical Skills Weighting'!CL48+"`FU!$r9"</f>
        <v>#VALUE!</v>
      </c>
      <c r="GP71" t="e">
        <f>'Technical Skills Weighting'!CM48+"`FU!$r:"</f>
        <v>#VALUE!</v>
      </c>
      <c r="GQ71" t="e">
        <f>'Technical Skills Weighting'!CN48+"`FU!$r;"</f>
        <v>#VALUE!</v>
      </c>
      <c r="GR71" t="e">
        <f>'Technical Skills Weighting'!CO48+"`FU!$r&lt;"</f>
        <v>#VALUE!</v>
      </c>
      <c r="GS71" t="e">
        <f>'Technical Skills Weighting'!CP48+"`FU!$r="</f>
        <v>#VALUE!</v>
      </c>
      <c r="GT71" t="e">
        <f>'Technical Skills Weighting'!CQ48+"`FU!$r&gt;"</f>
        <v>#VALUE!</v>
      </c>
      <c r="GU71" t="e">
        <f>'Technical Skills Weighting'!CR48+"`FU!$r?"</f>
        <v>#VALUE!</v>
      </c>
      <c r="GV71" t="e">
        <f>'Technical Skills Weighting'!CS48+"`FU!$r@"</f>
        <v>#VALUE!</v>
      </c>
      <c r="GW71" t="e">
        <f>'Technical Skills Weighting'!CT48+"`FU!$rA"</f>
        <v>#VALUE!</v>
      </c>
      <c r="GX71" t="e">
        <f>'Technical Skills Weighting'!CU48+"`FU!$rB"</f>
        <v>#VALUE!</v>
      </c>
      <c r="GY71" t="e">
        <f>'Technical Skills Weighting'!CV48+"`FU!$rC"</f>
        <v>#VALUE!</v>
      </c>
      <c r="GZ71" t="e">
        <f>'Technical Skills Weighting'!CW48+"`FU!$rD"</f>
        <v>#VALUE!</v>
      </c>
      <c r="HA71" t="e">
        <f>'Technical Skills Weighting'!CX48+"`FU!$rE"</f>
        <v>#VALUE!</v>
      </c>
      <c r="HB71" t="e">
        <f>'Technical Skills Weighting'!CY48+"`FU!$rF"</f>
        <v>#VALUE!</v>
      </c>
      <c r="HC71" t="e">
        <f>'Technical Skills Weighting'!CZ48+"`FU!$rG"</f>
        <v>#VALUE!</v>
      </c>
      <c r="HD71" t="e">
        <f>'Technical Skills Weighting'!DA48+"`FU!$rH"</f>
        <v>#VALUE!</v>
      </c>
      <c r="HE71" t="e">
        <f>'Technical Skills Weighting'!DB48+"`FU!$rI"</f>
        <v>#VALUE!</v>
      </c>
      <c r="HF71" t="e">
        <f>'Technical Skills Weighting'!DC48+"`FU!$rJ"</f>
        <v>#VALUE!</v>
      </c>
      <c r="HG71" t="e">
        <f>'Technical Skills Weighting'!DD48+"`FU!$rK"</f>
        <v>#VALUE!</v>
      </c>
      <c r="HH71" t="e">
        <f>'Technical Skills Weighting'!DE48+"`FU!$rL"</f>
        <v>#VALUE!</v>
      </c>
      <c r="HI71" t="e">
        <f>'Technical Skills Weighting'!DF48+"`FU!$rM"</f>
        <v>#VALUE!</v>
      </c>
      <c r="HJ71" t="e">
        <f>'Technical Skills Weighting'!DG48+"`FU!$rN"</f>
        <v>#VALUE!</v>
      </c>
      <c r="HK71" t="e">
        <f>'Technical Skills Weighting'!DH48+"`FU!$rO"</f>
        <v>#VALUE!</v>
      </c>
      <c r="HL71" t="e">
        <f>'Technical Skills Weighting'!DI48+"`FU!$rP"</f>
        <v>#VALUE!</v>
      </c>
      <c r="HM71" t="e">
        <f>'Technical Skills Weighting'!DJ48+"`FU!$rQ"</f>
        <v>#VALUE!</v>
      </c>
      <c r="HN71" t="e">
        <f>'Technical Skills Weighting'!DK48+"`FU!$rR"</f>
        <v>#VALUE!</v>
      </c>
      <c r="HO71" t="e">
        <f>'Technical Skills Weighting'!DL48+"`FU!$rS"</f>
        <v>#VALUE!</v>
      </c>
      <c r="HP71" t="e">
        <f>'Technical Skills Weighting'!DM48+"`FU!$rT"</f>
        <v>#VALUE!</v>
      </c>
      <c r="HQ71" t="e">
        <f>'Technical Skills Weighting'!DN48+"`FU!$rU"</f>
        <v>#VALUE!</v>
      </c>
      <c r="HR71" t="e">
        <f>'Technical Skills Weighting'!DO48+"`FU!$rV"</f>
        <v>#VALUE!</v>
      </c>
      <c r="HS71" t="e">
        <f>'Technical Skills Weighting'!DP48+"`FU!$rW"</f>
        <v>#VALUE!</v>
      </c>
      <c r="HT71" t="e">
        <f>'Technical Skills Weighting'!DQ48+"`FU!$rX"</f>
        <v>#VALUE!</v>
      </c>
      <c r="HU71" t="e">
        <f>'Technical Skills Weighting'!DR48+"`FU!$rY"</f>
        <v>#VALUE!</v>
      </c>
      <c r="HV71" t="e">
        <f>'Technical Skills Weighting'!DS48+"`FU!$rZ"</f>
        <v>#VALUE!</v>
      </c>
      <c r="HW71" t="e">
        <f>'Technical Skills Weighting'!DT48+"`FU!$r["</f>
        <v>#VALUE!</v>
      </c>
      <c r="HX71" t="e">
        <f>'Technical Skills Weighting'!DU48+"`FU!$r\"</f>
        <v>#VALUE!</v>
      </c>
      <c r="HY71" t="e">
        <f>'Technical Skills Weighting'!DV48+"`FU!$r]"</f>
        <v>#VALUE!</v>
      </c>
      <c r="HZ71" t="e">
        <f>'Technical Skills Weighting'!DW48+"`FU!$r^"</f>
        <v>#VALUE!</v>
      </c>
      <c r="IA71" t="e">
        <f>'Technical Skills Weighting'!DX48+"`FU!$r_"</f>
        <v>#VALUE!</v>
      </c>
      <c r="IB71" t="e">
        <f>'Technical Skills Weighting'!DY48+"`FU!$r`"</f>
        <v>#VALUE!</v>
      </c>
      <c r="IC71" t="e">
        <f>'Technical Skills Weighting'!DZ48+"`FU!$ra"</f>
        <v>#VALUE!</v>
      </c>
      <c r="ID71" t="e">
        <f>'Technical Skills Weighting'!EA48+"`FU!$rb"</f>
        <v>#VALUE!</v>
      </c>
      <c r="IE71" t="e">
        <f>'Technical Skills Weighting'!EB48+"`FU!$rc"</f>
        <v>#VALUE!</v>
      </c>
      <c r="IF71" t="e">
        <f>'Technical Skills Weighting'!EC48+"`FU!$rd"</f>
        <v>#VALUE!</v>
      </c>
      <c r="IG71" t="e">
        <f>'Technical Skills Weighting'!ED48+"`FU!$re"</f>
        <v>#VALUE!</v>
      </c>
      <c r="IH71" t="e">
        <f>'Technical Skills Weighting'!EE48+"`FU!$rf"</f>
        <v>#VALUE!</v>
      </c>
      <c r="II71" t="e">
        <f>'Technical Skills Weighting'!EF48+"`FU!$rg"</f>
        <v>#VALUE!</v>
      </c>
      <c r="IJ71" t="e">
        <f>'Technical Skills Weighting'!EG48+"`FU!$rh"</f>
        <v>#VALUE!</v>
      </c>
      <c r="IK71" t="e">
        <f>'Technical Skills Weighting'!EH48+"`FU!$ri"</f>
        <v>#VALUE!</v>
      </c>
      <c r="IL71" t="e">
        <f>'Technical Skills Weighting'!EI48+"`FU!$rj"</f>
        <v>#VALUE!</v>
      </c>
      <c r="IM71" t="e">
        <f>'Technical Skills Weighting'!EJ48+"`FU!$rk"</f>
        <v>#VALUE!</v>
      </c>
      <c r="IN71" t="e">
        <f>'Technical Skills Weighting'!EK48+"`FU!$rl"</f>
        <v>#VALUE!</v>
      </c>
      <c r="IO71" t="e">
        <f>'Technical Skills Weighting'!EL48+"`FU!$rm"</f>
        <v>#VALUE!</v>
      </c>
      <c r="IP71" t="e">
        <f>'Technical Skills Weighting'!EM48+"`FU!$rn"</f>
        <v>#VALUE!</v>
      </c>
      <c r="IQ71" t="e">
        <f>'Technical Skills Weighting'!EN48+"`FU!$ro"</f>
        <v>#VALUE!</v>
      </c>
      <c r="IR71" t="e">
        <f>'Technical Skills Weighting'!EO48+"`FU!$rp"</f>
        <v>#VALUE!</v>
      </c>
      <c r="IS71" t="e">
        <f>'Technical Skills Weighting'!EP48+"`FU!$rq"</f>
        <v>#VALUE!</v>
      </c>
      <c r="IT71" t="e">
        <f>'Technical Skills Weighting'!EQ48+"`FU!$rr"</f>
        <v>#VALUE!</v>
      </c>
      <c r="IU71" t="e">
        <f>'Technical Skills Weighting'!ER48+"`FU!$rs"</f>
        <v>#VALUE!</v>
      </c>
      <c r="IV71" t="e">
        <f>'Technical Skills Weighting'!ES48+"`FU!$rt"</f>
        <v>#VALUE!</v>
      </c>
    </row>
    <row r="72" spans="6:256" x14ac:dyDescent="0.25">
      <c r="F72" t="e">
        <f>'Technical Skills Weighting'!ET48+"`FU!$ru"</f>
        <v>#VALUE!</v>
      </c>
      <c r="G72" t="e">
        <f>'Technical Skills Weighting'!EU48+"`FU!$rv"</f>
        <v>#VALUE!</v>
      </c>
      <c r="H72" t="e">
        <f>'Technical Skills Weighting'!EV48+"`FU!$rw"</f>
        <v>#VALUE!</v>
      </c>
      <c r="I72" t="e">
        <f>'Technical Skills Weighting'!EW48+"`FU!$rx"</f>
        <v>#VALUE!</v>
      </c>
      <c r="J72" t="e">
        <f>'Technical Skills Weighting'!EX48+"`FU!$ry"</f>
        <v>#VALUE!</v>
      </c>
      <c r="K72" t="e">
        <f>'Technical Skills Weighting'!EY48+"`FU!$rz"</f>
        <v>#VALUE!</v>
      </c>
      <c r="L72" t="e">
        <f>'Technical Skills Weighting'!EZ48+"`FU!$r{"</f>
        <v>#VALUE!</v>
      </c>
      <c r="M72" t="e">
        <f>'Technical Skills Weighting'!FA48+"`FU!$r|"</f>
        <v>#VALUE!</v>
      </c>
      <c r="N72" t="e">
        <f>'Technical Skills Weighting'!FB48+"`FU!$r}"</f>
        <v>#VALUE!</v>
      </c>
      <c r="O72" t="e">
        <f>'Technical Skills Weighting'!FC48+"`FU!$r~"</f>
        <v>#VALUE!</v>
      </c>
      <c r="P72" t="e">
        <f>'Technical Skills Weighting'!FD48+"`FU!$s#"</f>
        <v>#VALUE!</v>
      </c>
      <c r="Q72" t="e">
        <f>'Technical Skills Weighting'!FE48+"`FU!$s$"</f>
        <v>#VALUE!</v>
      </c>
      <c r="R72" t="e">
        <f>'Technical Skills Weighting'!FF48+"`FU!$s%"</f>
        <v>#VALUE!</v>
      </c>
      <c r="S72" t="e">
        <f>'Technical Skills Weighting'!FG48+"`FU!$s&amp;"</f>
        <v>#VALUE!</v>
      </c>
      <c r="T72" t="e">
        <f>'Technical Skills Weighting'!FH48+"`FU!$s'"</f>
        <v>#VALUE!</v>
      </c>
      <c r="U72" t="e">
        <f>'Technical Skills Weighting'!FI48+"`FU!$s("</f>
        <v>#VALUE!</v>
      </c>
      <c r="V72" t="e">
        <f>'Technical Skills Weighting'!FJ48+"`FU!$s)"</f>
        <v>#VALUE!</v>
      </c>
      <c r="W72" t="e">
        <f>'Technical Skills Weighting'!FK48+"`FU!$s."</f>
        <v>#VALUE!</v>
      </c>
      <c r="X72" t="e">
        <f>'Technical Skills Weighting'!FL48+"`FU!$s/"</f>
        <v>#VALUE!</v>
      </c>
      <c r="Y72" t="e">
        <f>'Technical Skills Weighting'!FM48+"`FU!$s0"</f>
        <v>#VALUE!</v>
      </c>
      <c r="Z72" t="e">
        <f>'Technical Skills Weighting'!FN48+"`FU!$s1"</f>
        <v>#VALUE!</v>
      </c>
      <c r="AA72" t="e">
        <f>'Technical Skills Weighting'!FO48+"`FU!$s2"</f>
        <v>#VALUE!</v>
      </c>
      <c r="AB72" t="e">
        <f>'Technical Skills Weighting'!FP48+"`FU!$s3"</f>
        <v>#VALUE!</v>
      </c>
      <c r="AC72" t="e">
        <f>'Technical Skills Weighting'!FQ48+"`FU!$s4"</f>
        <v>#VALUE!</v>
      </c>
      <c r="AD72" t="e">
        <f>'Technical Skills Weighting'!FR48+"`FU!$s5"</f>
        <v>#VALUE!</v>
      </c>
      <c r="AE72" t="e">
        <f>'Technical Skills Weighting'!FS48+"`FU!$s6"</f>
        <v>#VALUE!</v>
      </c>
      <c r="AF72" t="e">
        <f>'Technical Skills Weighting'!FT48+"`FU!$s7"</f>
        <v>#VALUE!</v>
      </c>
      <c r="AG72" t="e">
        <f>'Technical Skills Weighting'!FU48+"`FU!$s8"</f>
        <v>#VALUE!</v>
      </c>
      <c r="AH72" t="e">
        <f>'Technical Skills Weighting'!FV48+"`FU!$s9"</f>
        <v>#VALUE!</v>
      </c>
      <c r="AI72" t="e">
        <f>'Technical Skills Weighting'!FW48+"`FU!$s:"</f>
        <v>#VALUE!</v>
      </c>
      <c r="AJ72" t="e">
        <f>'Technical Skills Weighting'!FX48+"`FU!$s;"</f>
        <v>#VALUE!</v>
      </c>
      <c r="AK72" t="e">
        <f>'Technical Skills Weighting'!FY48+"`FU!$s&lt;"</f>
        <v>#VALUE!</v>
      </c>
      <c r="AL72" t="e">
        <f>'Technical Skills Weighting'!FZ48+"`FU!$s="</f>
        <v>#VALUE!</v>
      </c>
      <c r="AM72" t="e">
        <f>'Technical Skills Weighting'!GA48+"`FU!$s&gt;"</f>
        <v>#VALUE!</v>
      </c>
      <c r="AN72" t="e">
        <f>'Technical Skills Weighting'!GB48+"`FU!$s?"</f>
        <v>#VALUE!</v>
      </c>
      <c r="AO72" t="e">
        <f>'Technical Skills Weighting'!GC48+"`FU!$s@"</f>
        <v>#VALUE!</v>
      </c>
      <c r="AP72" t="e">
        <f>'Technical Skills Weighting'!GD48+"`FU!$sA"</f>
        <v>#VALUE!</v>
      </c>
      <c r="AQ72" t="e">
        <f>'Technical Skills Weighting'!GE48+"`FU!$sB"</f>
        <v>#VALUE!</v>
      </c>
      <c r="AR72" t="e">
        <f>'Technical Skills Weighting'!GF48+"`FU!$sC"</f>
        <v>#VALUE!</v>
      </c>
      <c r="AS72" t="e">
        <f>'Technical Skills Weighting'!GG48+"`FU!$sD"</f>
        <v>#VALUE!</v>
      </c>
      <c r="AT72" t="e">
        <f>'Technical Skills Weighting'!D49+"`FU!$sE"</f>
        <v>#VALUE!</v>
      </c>
      <c r="AU72" t="e">
        <f>'Technical Skills Weighting'!E49+"`FU!$sF"</f>
        <v>#VALUE!</v>
      </c>
      <c r="AV72" t="e">
        <f>'Technical Skills Weighting'!F49+"`FU!$sG"</f>
        <v>#VALUE!</v>
      </c>
      <c r="AW72" t="e">
        <f>'Technical Skills Weighting'!G49+"`FU!$sH"</f>
        <v>#VALUE!</v>
      </c>
      <c r="AX72" t="e">
        <f>'Technical Skills Weighting'!A50+"`FU!$sI"</f>
        <v>#VALUE!</v>
      </c>
      <c r="AY72" t="e">
        <f>'Technical Skills Weighting'!D50+"`FU!$sJ"</f>
        <v>#VALUE!</v>
      </c>
      <c r="AZ72" t="e">
        <f>'Technical Skills Weighting'!E50+"`FU!$sK"</f>
        <v>#VALUE!</v>
      </c>
      <c r="BA72" t="e">
        <f>'Technical Skills Weighting'!F50+"`FU!$sL"</f>
        <v>#VALUE!</v>
      </c>
      <c r="BB72" t="e">
        <f>'Technical Skills Weighting'!G50+"`FU!$sM"</f>
        <v>#VALUE!</v>
      </c>
      <c r="BC72" t="e">
        <f>'Technical Skills Weighting'!H50+"`FU!$sN"</f>
        <v>#VALUE!</v>
      </c>
      <c r="BD72" t="e">
        <f>'Technical Skills Weighting'!I50+"`FU!$sO"</f>
        <v>#VALUE!</v>
      </c>
      <c r="BE72" t="e">
        <f>'Technical Skills Weighting'!J50+"`FU!$sP"</f>
        <v>#VALUE!</v>
      </c>
      <c r="BF72" t="e">
        <f>'Technical Skills Weighting'!K50+"`FU!$sQ"</f>
        <v>#VALUE!</v>
      </c>
      <c r="BG72" t="e">
        <f>'Technical Skills Weighting'!L50+"`FU!$sR"</f>
        <v>#VALUE!</v>
      </c>
      <c r="BH72" t="e">
        <f>'Technical Skills Weighting'!M50+"`FU!$sS"</f>
        <v>#VALUE!</v>
      </c>
      <c r="BI72" t="e">
        <f>'Technical Skills Weighting'!N50+"`FU!$sT"</f>
        <v>#VALUE!</v>
      </c>
      <c r="BJ72" t="e">
        <f>'Technical Skills Weighting'!O50+"`FU!$sU"</f>
        <v>#VALUE!</v>
      </c>
      <c r="BK72" t="e">
        <f>'Technical Skills Weighting'!P50+"`FU!$sV"</f>
        <v>#VALUE!</v>
      </c>
      <c r="BL72" t="e">
        <f>'Technical Skills Weighting'!Q50+"`FU!$sW"</f>
        <v>#VALUE!</v>
      </c>
      <c r="BM72" t="e">
        <f>'Technical Skills Weighting'!R50+"`FU!$sX"</f>
        <v>#VALUE!</v>
      </c>
      <c r="BN72" t="e">
        <f>'Technical Skills Weighting'!S50+"`FU!$sY"</f>
        <v>#VALUE!</v>
      </c>
      <c r="BO72" t="e">
        <f>'Technical Skills Weighting'!T50+"`FU!$sZ"</f>
        <v>#VALUE!</v>
      </c>
      <c r="BP72" t="e">
        <f>'Technical Skills Weighting'!U50+"`FU!$s["</f>
        <v>#VALUE!</v>
      </c>
      <c r="BQ72" t="e">
        <f>'Technical Skills Weighting'!V50+"`FU!$s\"</f>
        <v>#VALUE!</v>
      </c>
      <c r="BR72" t="e">
        <f>'Technical Skills Weighting'!W50+"`FU!$s]"</f>
        <v>#VALUE!</v>
      </c>
      <c r="BS72" t="e">
        <f>'Technical Skills Weighting'!X50+"`FU!$s^"</f>
        <v>#VALUE!</v>
      </c>
      <c r="BT72" t="e">
        <f>'Technical Skills Weighting'!Y50+"`FU!$s_"</f>
        <v>#VALUE!</v>
      </c>
      <c r="BU72" t="e">
        <f>'Technical Skills Weighting'!Z50+"`FU!$s`"</f>
        <v>#VALUE!</v>
      </c>
      <c r="BV72" t="e">
        <f>'Technical Skills Weighting'!AA50+"`FU!$sa"</f>
        <v>#VALUE!</v>
      </c>
      <c r="BW72" t="e">
        <f>'Technical Skills Weighting'!AB50+"`FU!$sb"</f>
        <v>#VALUE!</v>
      </c>
      <c r="BX72" t="e">
        <f>'Technical Skills Weighting'!AC50+"`FU!$sc"</f>
        <v>#VALUE!</v>
      </c>
      <c r="BY72" t="e">
        <f>'Technical Skills Weighting'!AD50+"`FU!$sd"</f>
        <v>#VALUE!</v>
      </c>
      <c r="BZ72" t="e">
        <f>'Technical Skills Weighting'!AE50+"`FU!$se"</f>
        <v>#VALUE!</v>
      </c>
      <c r="CA72" t="e">
        <f>'Technical Skills Weighting'!AF50+"`FU!$sf"</f>
        <v>#VALUE!</v>
      </c>
      <c r="CB72" t="e">
        <f>'Technical Skills Weighting'!AG50+"`FU!$sg"</f>
        <v>#VALUE!</v>
      </c>
      <c r="CC72" t="e">
        <f>'Technical Skills Weighting'!AH50+"`FU!$sh"</f>
        <v>#VALUE!</v>
      </c>
      <c r="CD72" t="e">
        <f>'Technical Skills Weighting'!AI50+"`FU!$si"</f>
        <v>#VALUE!</v>
      </c>
      <c r="CE72" t="e">
        <f>'Technical Skills Weighting'!AJ50+"`FU!$sj"</f>
        <v>#VALUE!</v>
      </c>
      <c r="CF72" t="e">
        <f>'Technical Skills Weighting'!AK50+"`FU!$sk"</f>
        <v>#VALUE!</v>
      </c>
      <c r="CG72" t="e">
        <f>'Technical Skills Weighting'!AL50+"`FU!$sl"</f>
        <v>#VALUE!</v>
      </c>
      <c r="CH72" t="e">
        <f>'Technical Skills Weighting'!AM50+"`FU!$sm"</f>
        <v>#VALUE!</v>
      </c>
      <c r="CI72" t="e">
        <f>'Technical Skills Weighting'!AN50+"`FU!$sn"</f>
        <v>#VALUE!</v>
      </c>
      <c r="CJ72" t="e">
        <f>'Technical Skills Weighting'!AO50+"`FU!$so"</f>
        <v>#VALUE!</v>
      </c>
      <c r="CK72" t="e">
        <f>'Technical Skills Weighting'!AP50+"`FU!$sp"</f>
        <v>#VALUE!</v>
      </c>
      <c r="CL72" t="e">
        <f>'Technical Skills Weighting'!AQ50+"`FU!$sq"</f>
        <v>#VALUE!</v>
      </c>
      <c r="CM72" t="e">
        <f>'Technical Skills Weighting'!AR50+"`FU!$sr"</f>
        <v>#VALUE!</v>
      </c>
      <c r="CN72" t="e">
        <f>'Technical Skills Weighting'!AS50+"`FU!$ss"</f>
        <v>#VALUE!</v>
      </c>
      <c r="CO72" t="e">
        <f>'Technical Skills Weighting'!AT50+"`FU!$st"</f>
        <v>#VALUE!</v>
      </c>
      <c r="CP72" t="e">
        <f>'Technical Skills Weighting'!AU50+"`FU!$su"</f>
        <v>#VALUE!</v>
      </c>
      <c r="CQ72" t="e">
        <f>'Technical Skills Weighting'!AV50+"`FU!$sv"</f>
        <v>#VALUE!</v>
      </c>
      <c r="CR72" t="e">
        <f>'Technical Skills Weighting'!AW50+"`FU!$sw"</f>
        <v>#VALUE!</v>
      </c>
      <c r="CS72" t="e">
        <f>'Technical Skills Weighting'!AX50+"`FU!$sx"</f>
        <v>#VALUE!</v>
      </c>
      <c r="CT72" t="e">
        <f>'Technical Skills Weighting'!AY50+"`FU!$sy"</f>
        <v>#VALUE!</v>
      </c>
      <c r="CU72" t="e">
        <f>'Technical Skills Weighting'!AZ50+"`FU!$sz"</f>
        <v>#VALUE!</v>
      </c>
      <c r="CV72" t="e">
        <f>'Technical Skills Weighting'!BA50+"`FU!$s{"</f>
        <v>#VALUE!</v>
      </c>
      <c r="CW72" t="e">
        <f>'Technical Skills Weighting'!BB50+"`FU!$s|"</f>
        <v>#VALUE!</v>
      </c>
      <c r="CX72" t="e">
        <f>'Technical Skills Weighting'!BC50+"`FU!$s}"</f>
        <v>#VALUE!</v>
      </c>
      <c r="CY72" t="e">
        <f>'Technical Skills Weighting'!BD50+"`FU!$s~"</f>
        <v>#VALUE!</v>
      </c>
      <c r="CZ72" t="e">
        <f>'Technical Skills Weighting'!BE50+"`FU!$t#"</f>
        <v>#VALUE!</v>
      </c>
      <c r="DA72" t="e">
        <f>'Technical Skills Weighting'!BF50+"`FU!$t$"</f>
        <v>#VALUE!</v>
      </c>
      <c r="DB72" t="e">
        <f>'Technical Skills Weighting'!BG50+"`FU!$t%"</f>
        <v>#VALUE!</v>
      </c>
      <c r="DC72" t="e">
        <f>'Technical Skills Weighting'!BH50+"`FU!$t&amp;"</f>
        <v>#VALUE!</v>
      </c>
      <c r="DD72" t="e">
        <f>'Technical Skills Weighting'!BI50+"`FU!$t'"</f>
        <v>#VALUE!</v>
      </c>
      <c r="DE72" t="e">
        <f>'Technical Skills Weighting'!BJ50+"`FU!$t("</f>
        <v>#VALUE!</v>
      </c>
      <c r="DF72" t="e">
        <f>'Technical Skills Weighting'!BK50+"`FU!$t)"</f>
        <v>#VALUE!</v>
      </c>
      <c r="DG72" t="e">
        <f>'Technical Skills Weighting'!BL50+"`FU!$t."</f>
        <v>#VALUE!</v>
      </c>
      <c r="DH72" t="e">
        <f>'Technical Skills Weighting'!BM50+"`FU!$t/"</f>
        <v>#VALUE!</v>
      </c>
      <c r="DI72" t="e">
        <f>'Technical Skills Weighting'!BN50+"`FU!$t0"</f>
        <v>#VALUE!</v>
      </c>
      <c r="DJ72" t="e">
        <f>'Technical Skills Weighting'!BO50+"`FU!$t1"</f>
        <v>#VALUE!</v>
      </c>
      <c r="DK72" t="e">
        <f>'Technical Skills Weighting'!BP50+"`FU!$t2"</f>
        <v>#VALUE!</v>
      </c>
      <c r="DL72" t="e">
        <f>'Technical Skills Weighting'!BQ50+"`FU!$t3"</f>
        <v>#VALUE!</v>
      </c>
      <c r="DM72" t="e">
        <f>'Technical Skills Weighting'!BR50+"`FU!$t4"</f>
        <v>#VALUE!</v>
      </c>
      <c r="DN72" t="e">
        <f>'Technical Skills Weighting'!BS50+"`FU!$t5"</f>
        <v>#VALUE!</v>
      </c>
      <c r="DO72" t="e">
        <f>'Technical Skills Weighting'!BT50+"`FU!$t6"</f>
        <v>#VALUE!</v>
      </c>
      <c r="DP72" t="e">
        <f>'Technical Skills Weighting'!BU50+"`FU!$t7"</f>
        <v>#VALUE!</v>
      </c>
      <c r="DQ72" t="e">
        <f>'Technical Skills Weighting'!BV50+"`FU!$t8"</f>
        <v>#VALUE!</v>
      </c>
      <c r="DR72" t="e">
        <f>'Technical Skills Weighting'!BW50+"`FU!$t9"</f>
        <v>#VALUE!</v>
      </c>
      <c r="DS72" t="e">
        <f>'Technical Skills Weighting'!BX50+"`FU!$t:"</f>
        <v>#VALUE!</v>
      </c>
      <c r="DT72" t="e">
        <f>'Technical Skills Weighting'!BY50+"`FU!$t;"</f>
        <v>#VALUE!</v>
      </c>
      <c r="DU72" t="e">
        <f>'Technical Skills Weighting'!BZ50+"`FU!$t&lt;"</f>
        <v>#VALUE!</v>
      </c>
      <c r="DV72" t="e">
        <f>'Technical Skills Weighting'!CA50+"`FU!$t="</f>
        <v>#VALUE!</v>
      </c>
      <c r="DW72" t="e">
        <f>'Technical Skills Weighting'!CB50+"`FU!$t&gt;"</f>
        <v>#VALUE!</v>
      </c>
      <c r="DX72" t="e">
        <f>'Technical Skills Weighting'!CC50+"`FU!$t?"</f>
        <v>#VALUE!</v>
      </c>
      <c r="DY72" t="e">
        <f>'Technical Skills Weighting'!CD50+"`FU!$t@"</f>
        <v>#VALUE!</v>
      </c>
      <c r="DZ72" t="e">
        <f>'Technical Skills Weighting'!CE50+"`FU!$tA"</f>
        <v>#VALUE!</v>
      </c>
      <c r="EA72" t="e">
        <f>'Technical Skills Weighting'!CF50+"`FU!$tB"</f>
        <v>#VALUE!</v>
      </c>
      <c r="EB72" t="e">
        <f>'Technical Skills Weighting'!CG50+"`FU!$tC"</f>
        <v>#VALUE!</v>
      </c>
      <c r="EC72" t="e">
        <f>'Technical Skills Weighting'!CH50+"`FU!$tD"</f>
        <v>#VALUE!</v>
      </c>
      <c r="ED72" t="e">
        <f>'Technical Skills Weighting'!CI50+"`FU!$tE"</f>
        <v>#VALUE!</v>
      </c>
      <c r="EE72" t="e">
        <f>'Technical Skills Weighting'!CJ50+"`FU!$tF"</f>
        <v>#VALUE!</v>
      </c>
      <c r="EF72" t="e">
        <f>'Technical Skills Weighting'!CK50+"`FU!$tG"</f>
        <v>#VALUE!</v>
      </c>
      <c r="EG72" t="e">
        <f>'Technical Skills Weighting'!CL50+"`FU!$tH"</f>
        <v>#VALUE!</v>
      </c>
      <c r="EH72" t="e">
        <f>'Technical Skills Weighting'!CM50+"`FU!$tI"</f>
        <v>#VALUE!</v>
      </c>
      <c r="EI72" t="e">
        <f>'Technical Skills Weighting'!CN50+"`FU!$tJ"</f>
        <v>#VALUE!</v>
      </c>
      <c r="EJ72" t="e">
        <f>'Technical Skills Weighting'!CO50+"`FU!$tK"</f>
        <v>#VALUE!</v>
      </c>
      <c r="EK72" t="e">
        <f>'Technical Skills Weighting'!CP50+"`FU!$tL"</f>
        <v>#VALUE!</v>
      </c>
      <c r="EL72" t="e">
        <f>'Technical Skills Weighting'!CQ50+"`FU!$tM"</f>
        <v>#VALUE!</v>
      </c>
      <c r="EM72" t="e">
        <f>'Technical Skills Weighting'!CR50+"`FU!$tN"</f>
        <v>#VALUE!</v>
      </c>
      <c r="EN72" t="e">
        <f>'Technical Skills Weighting'!CS50+"`FU!$tO"</f>
        <v>#VALUE!</v>
      </c>
      <c r="EO72" t="e">
        <f>'Technical Skills Weighting'!CT50+"`FU!$tP"</f>
        <v>#VALUE!</v>
      </c>
      <c r="EP72" t="e">
        <f>'Technical Skills Weighting'!CU50+"`FU!$tQ"</f>
        <v>#VALUE!</v>
      </c>
      <c r="EQ72" t="e">
        <f>'Technical Skills Weighting'!CV50+"`FU!$tR"</f>
        <v>#VALUE!</v>
      </c>
      <c r="ER72" t="e">
        <f>'Technical Skills Weighting'!CW50+"`FU!$tS"</f>
        <v>#VALUE!</v>
      </c>
      <c r="ES72" t="e">
        <f>'Technical Skills Weighting'!CX50+"`FU!$tT"</f>
        <v>#VALUE!</v>
      </c>
      <c r="ET72" t="e">
        <f>'Technical Skills Weighting'!CY50+"`FU!$tU"</f>
        <v>#VALUE!</v>
      </c>
      <c r="EU72" t="e">
        <f>'Technical Skills Weighting'!CZ50+"`FU!$tV"</f>
        <v>#VALUE!</v>
      </c>
      <c r="EV72" t="e">
        <f>'Technical Skills Weighting'!DA50+"`FU!$tW"</f>
        <v>#VALUE!</v>
      </c>
      <c r="EW72" t="e">
        <f>'Technical Skills Weighting'!DB50+"`FU!$tX"</f>
        <v>#VALUE!</v>
      </c>
      <c r="EX72" t="e">
        <f>'Technical Skills Weighting'!DC50+"`FU!$tY"</f>
        <v>#VALUE!</v>
      </c>
      <c r="EY72" t="e">
        <f>'Technical Skills Weighting'!DD50+"`FU!$tZ"</f>
        <v>#VALUE!</v>
      </c>
      <c r="EZ72" t="e">
        <f>'Technical Skills Weighting'!DE50+"`FU!$t["</f>
        <v>#VALUE!</v>
      </c>
      <c r="FA72" t="e">
        <f>'Technical Skills Weighting'!DF50+"`FU!$t\"</f>
        <v>#VALUE!</v>
      </c>
      <c r="FB72" t="e">
        <f>'Technical Skills Weighting'!DG50+"`FU!$t]"</f>
        <v>#VALUE!</v>
      </c>
      <c r="FC72" t="e">
        <f>'Technical Skills Weighting'!DH50+"`FU!$t^"</f>
        <v>#VALUE!</v>
      </c>
      <c r="FD72" t="e">
        <f>'Technical Skills Weighting'!DI50+"`FU!$t_"</f>
        <v>#VALUE!</v>
      </c>
      <c r="FE72" t="e">
        <f>'Technical Skills Weighting'!DJ50+"`FU!$t`"</f>
        <v>#VALUE!</v>
      </c>
      <c r="FF72" t="e">
        <f>'Technical Skills Weighting'!DK50+"`FU!$ta"</f>
        <v>#VALUE!</v>
      </c>
      <c r="FG72" t="e">
        <f>'Technical Skills Weighting'!DL50+"`FU!$tb"</f>
        <v>#VALUE!</v>
      </c>
      <c r="FH72" t="e">
        <f>'Technical Skills Weighting'!DM50+"`FU!$tc"</f>
        <v>#VALUE!</v>
      </c>
      <c r="FI72" t="e">
        <f>'Technical Skills Weighting'!DN50+"`FU!$td"</f>
        <v>#VALUE!</v>
      </c>
      <c r="FJ72" t="e">
        <f>'Technical Skills Weighting'!DO50+"`FU!$te"</f>
        <v>#VALUE!</v>
      </c>
      <c r="FK72" t="e">
        <f>'Technical Skills Weighting'!DP50+"`FU!$tf"</f>
        <v>#VALUE!</v>
      </c>
      <c r="FL72" t="e">
        <f>'Technical Skills Weighting'!DQ50+"`FU!$tg"</f>
        <v>#VALUE!</v>
      </c>
      <c r="FM72" t="e">
        <f>'Technical Skills Weighting'!DR50+"`FU!$th"</f>
        <v>#VALUE!</v>
      </c>
      <c r="FN72" t="e">
        <f>'Technical Skills Weighting'!DS50+"`FU!$ti"</f>
        <v>#VALUE!</v>
      </c>
      <c r="FO72" t="e">
        <f>'Technical Skills Weighting'!DT50+"`FU!$tj"</f>
        <v>#VALUE!</v>
      </c>
      <c r="FP72" t="e">
        <f>'Technical Skills Weighting'!DU50+"`FU!$tk"</f>
        <v>#VALUE!</v>
      </c>
      <c r="FQ72" t="e">
        <f>'Technical Skills Weighting'!DV50+"`FU!$tl"</f>
        <v>#VALUE!</v>
      </c>
      <c r="FR72" t="e">
        <f>'Technical Skills Weighting'!DW50+"`FU!$tm"</f>
        <v>#VALUE!</v>
      </c>
      <c r="FS72" t="e">
        <f>'Technical Skills Weighting'!DX50+"`FU!$tn"</f>
        <v>#VALUE!</v>
      </c>
      <c r="FT72" t="e">
        <f>'Technical Skills Weighting'!DY50+"`FU!$to"</f>
        <v>#VALUE!</v>
      </c>
      <c r="FU72" t="e">
        <f>'Technical Skills Weighting'!DZ50+"`FU!$tp"</f>
        <v>#VALUE!</v>
      </c>
      <c r="FV72" t="e">
        <f>'Technical Skills Weighting'!EA50+"`FU!$tq"</f>
        <v>#VALUE!</v>
      </c>
      <c r="FW72" t="e">
        <f>'Technical Skills Weighting'!EB50+"`FU!$tr"</f>
        <v>#VALUE!</v>
      </c>
      <c r="FX72" t="e">
        <f>'Technical Skills Weighting'!EC50+"`FU!$ts"</f>
        <v>#VALUE!</v>
      </c>
      <c r="FY72" t="e">
        <f>'Technical Skills Weighting'!ED50+"`FU!$tt"</f>
        <v>#VALUE!</v>
      </c>
      <c r="FZ72" t="e">
        <f>'Technical Skills Weighting'!EE50+"`FU!$tu"</f>
        <v>#VALUE!</v>
      </c>
      <c r="GA72" t="e">
        <f>'Technical Skills Weighting'!EF50+"`FU!$tv"</f>
        <v>#VALUE!</v>
      </c>
      <c r="GB72" t="e">
        <f>'Technical Skills Weighting'!EG50+"`FU!$tw"</f>
        <v>#VALUE!</v>
      </c>
      <c r="GC72" t="e">
        <f>'Technical Skills Weighting'!EH50+"`FU!$tx"</f>
        <v>#VALUE!</v>
      </c>
      <c r="GD72" t="e">
        <f>'Technical Skills Weighting'!EI50+"`FU!$ty"</f>
        <v>#VALUE!</v>
      </c>
      <c r="GE72" t="e">
        <f>'Technical Skills Weighting'!EJ50+"`FU!$tz"</f>
        <v>#VALUE!</v>
      </c>
      <c r="GF72" t="e">
        <f>'Technical Skills Weighting'!EK50+"`FU!$t{"</f>
        <v>#VALUE!</v>
      </c>
      <c r="GG72" t="e">
        <f>'Technical Skills Weighting'!EL50+"`FU!$t|"</f>
        <v>#VALUE!</v>
      </c>
      <c r="GH72" t="e">
        <f>'Technical Skills Weighting'!EM50+"`FU!$t}"</f>
        <v>#VALUE!</v>
      </c>
      <c r="GI72" t="e">
        <f>'Technical Skills Weighting'!EN50+"`FU!$t~"</f>
        <v>#VALUE!</v>
      </c>
      <c r="GJ72" t="e">
        <f>'Technical Skills Weighting'!EO50+"`FU!$u#"</f>
        <v>#VALUE!</v>
      </c>
      <c r="GK72" t="e">
        <f>'Technical Skills Weighting'!EP50+"`FU!$u$"</f>
        <v>#VALUE!</v>
      </c>
      <c r="GL72" t="e">
        <f>'Technical Skills Weighting'!EQ50+"`FU!$u%"</f>
        <v>#VALUE!</v>
      </c>
      <c r="GM72" t="e">
        <f>'Technical Skills Weighting'!ER50+"`FU!$u&amp;"</f>
        <v>#VALUE!</v>
      </c>
      <c r="GN72" t="e">
        <f>'Technical Skills Weighting'!ES50+"`FU!$u'"</f>
        <v>#VALUE!</v>
      </c>
      <c r="GO72" t="e">
        <f>'Technical Skills Weighting'!ET50+"`FU!$u("</f>
        <v>#VALUE!</v>
      </c>
      <c r="GP72" t="e">
        <f>'Technical Skills Weighting'!EU50+"`FU!$u)"</f>
        <v>#VALUE!</v>
      </c>
      <c r="GQ72" t="e">
        <f>'Technical Skills Weighting'!EV50+"`FU!$u."</f>
        <v>#VALUE!</v>
      </c>
      <c r="GR72" t="e">
        <f>'Technical Skills Weighting'!EW50+"`FU!$u/"</f>
        <v>#VALUE!</v>
      </c>
      <c r="GS72" t="e">
        <f>'Technical Skills Weighting'!EX50+"`FU!$u0"</f>
        <v>#VALUE!</v>
      </c>
      <c r="GT72" t="e">
        <f>'Technical Skills Weighting'!EY50+"`FU!$u1"</f>
        <v>#VALUE!</v>
      </c>
      <c r="GU72" t="e">
        <f>'Technical Skills Weighting'!EZ50+"`FU!$u2"</f>
        <v>#VALUE!</v>
      </c>
      <c r="GV72" t="e">
        <f>'Technical Skills Weighting'!FA50+"`FU!$u3"</f>
        <v>#VALUE!</v>
      </c>
      <c r="GW72" t="e">
        <f>'Technical Skills Weighting'!FB50+"`FU!$u4"</f>
        <v>#VALUE!</v>
      </c>
      <c r="GX72" t="e">
        <f>'Technical Skills Weighting'!FC50+"`FU!$u5"</f>
        <v>#VALUE!</v>
      </c>
      <c r="GY72" t="e">
        <f>'Technical Skills Weighting'!FD50+"`FU!$u6"</f>
        <v>#VALUE!</v>
      </c>
      <c r="GZ72" t="e">
        <f>'Technical Skills Weighting'!FE50+"`FU!$u7"</f>
        <v>#VALUE!</v>
      </c>
      <c r="HA72" t="e">
        <f>'Technical Skills Weighting'!FF50+"`FU!$u8"</f>
        <v>#VALUE!</v>
      </c>
      <c r="HB72" t="e">
        <f>'Technical Skills Weighting'!FG50+"`FU!$u9"</f>
        <v>#VALUE!</v>
      </c>
      <c r="HC72" t="e">
        <f>'Technical Skills Weighting'!FH50+"`FU!$u:"</f>
        <v>#VALUE!</v>
      </c>
      <c r="HD72" t="e">
        <f>'Technical Skills Weighting'!FI50+"`FU!$u;"</f>
        <v>#VALUE!</v>
      </c>
      <c r="HE72" t="e">
        <f>'Technical Skills Weighting'!FJ50+"`FU!$u&lt;"</f>
        <v>#VALUE!</v>
      </c>
      <c r="HF72" t="e">
        <f>'Technical Skills Weighting'!FK50+"`FU!$u="</f>
        <v>#VALUE!</v>
      </c>
      <c r="HG72" t="e">
        <f>'Technical Skills Weighting'!FL50+"`FU!$u&gt;"</f>
        <v>#VALUE!</v>
      </c>
      <c r="HH72" t="e">
        <f>'Technical Skills Weighting'!FM50+"`FU!$u?"</f>
        <v>#VALUE!</v>
      </c>
      <c r="HI72" t="e">
        <f>'Technical Skills Weighting'!FN50+"`FU!$u@"</f>
        <v>#VALUE!</v>
      </c>
      <c r="HJ72" t="e">
        <f>'Technical Skills Weighting'!FO50+"`FU!$uA"</f>
        <v>#VALUE!</v>
      </c>
      <c r="HK72" t="e">
        <f>'Technical Skills Weighting'!FP50+"`FU!$uB"</f>
        <v>#VALUE!</v>
      </c>
      <c r="HL72" t="e">
        <f>'Technical Skills Weighting'!FQ50+"`FU!$uC"</f>
        <v>#VALUE!</v>
      </c>
      <c r="HM72" t="e">
        <f>'Technical Skills Weighting'!FR50+"`FU!$uD"</f>
        <v>#VALUE!</v>
      </c>
      <c r="HN72" t="e">
        <f>'Technical Skills Weighting'!FS50+"`FU!$uE"</f>
        <v>#VALUE!</v>
      </c>
      <c r="HO72" t="e">
        <f>'Technical Skills Weighting'!FT50+"`FU!$uF"</f>
        <v>#VALUE!</v>
      </c>
      <c r="HP72" t="e">
        <f>'Technical Skills Weighting'!FU50+"`FU!$uG"</f>
        <v>#VALUE!</v>
      </c>
      <c r="HQ72" t="e">
        <f>'Technical Skills Weighting'!FV50+"`FU!$uH"</f>
        <v>#VALUE!</v>
      </c>
      <c r="HR72" t="e">
        <f>'Technical Skills Weighting'!FW50+"`FU!$uI"</f>
        <v>#VALUE!</v>
      </c>
      <c r="HS72" t="e">
        <f>'Technical Skills Weighting'!FX50+"`FU!$uJ"</f>
        <v>#VALUE!</v>
      </c>
      <c r="HT72" t="e">
        <f>'Technical Skills Weighting'!FY50+"`FU!$uK"</f>
        <v>#VALUE!</v>
      </c>
      <c r="HU72" t="e">
        <f>'Technical Skills Weighting'!FZ50+"`FU!$uL"</f>
        <v>#VALUE!</v>
      </c>
      <c r="HV72" t="e">
        <f>'Technical Skills Weighting'!GA50+"`FU!$uM"</f>
        <v>#VALUE!</v>
      </c>
      <c r="HW72" t="e">
        <f>'Technical Skills Weighting'!GB50+"`FU!$uN"</f>
        <v>#VALUE!</v>
      </c>
      <c r="HX72" t="e">
        <f>'Technical Skills Weighting'!GC50+"`FU!$uO"</f>
        <v>#VALUE!</v>
      </c>
      <c r="HY72" t="e">
        <f>'Technical Skills Weighting'!GD50+"`FU!$uP"</f>
        <v>#VALUE!</v>
      </c>
      <c r="HZ72" t="e">
        <f>'Technical Skills Weighting'!GE50+"`FU!$uQ"</f>
        <v>#VALUE!</v>
      </c>
      <c r="IA72" t="e">
        <f>'Technical Skills Weighting'!GF50+"`FU!$uR"</f>
        <v>#VALUE!</v>
      </c>
      <c r="IB72" t="e">
        <f>'Technical Skills Weighting'!GG50+"`FU!$uS"</f>
        <v>#VALUE!</v>
      </c>
      <c r="IC72" t="e">
        <f>'Technical Skills Weighting'!D51+"`FU!$uT"</f>
        <v>#VALUE!</v>
      </c>
      <c r="ID72" t="e">
        <f>'Technical Skills Weighting'!E51+"`FU!$uU"</f>
        <v>#VALUE!</v>
      </c>
      <c r="IE72" t="e">
        <f>'Technical Skills Weighting'!F51+"`FU!$uV"</f>
        <v>#VALUE!</v>
      </c>
      <c r="IF72" t="e">
        <f>'Technical Skills Weighting'!G51+"`FU!$uW"</f>
        <v>#VALUE!</v>
      </c>
      <c r="IG72" t="e">
        <f>'Technical Skills Weighting'!A52+"`FU!$uX"</f>
        <v>#VALUE!</v>
      </c>
      <c r="IH72" t="e">
        <f>'Technical Skills Weighting'!D52+"`FU!$uY"</f>
        <v>#VALUE!</v>
      </c>
      <c r="II72" t="e">
        <f>'Technical Skills Weighting'!E52+"`FU!$uZ"</f>
        <v>#VALUE!</v>
      </c>
      <c r="IJ72" t="e">
        <f>'Technical Skills Weighting'!F52+"`FU!$u["</f>
        <v>#VALUE!</v>
      </c>
      <c r="IK72" t="e">
        <f>'Technical Skills Weighting'!G52+"`FU!$u\"</f>
        <v>#VALUE!</v>
      </c>
      <c r="IL72" t="e">
        <f>'Technical Skills Weighting'!H52+"`FU!$u]"</f>
        <v>#VALUE!</v>
      </c>
      <c r="IM72" t="e">
        <f>'Technical Skills Weighting'!I52+"`FU!$u^"</f>
        <v>#VALUE!</v>
      </c>
      <c r="IN72" t="e">
        <f>'Technical Skills Weighting'!J52+"`FU!$u_"</f>
        <v>#VALUE!</v>
      </c>
      <c r="IO72" t="e">
        <f>'Technical Skills Weighting'!K52+"`FU!$u`"</f>
        <v>#VALUE!</v>
      </c>
      <c r="IP72" t="e">
        <f>'Technical Skills Weighting'!L52+"`FU!$ua"</f>
        <v>#VALUE!</v>
      </c>
      <c r="IQ72" t="e">
        <f>'Technical Skills Weighting'!M52+"`FU!$ub"</f>
        <v>#VALUE!</v>
      </c>
      <c r="IR72" t="e">
        <f>'Technical Skills Weighting'!N52+"`FU!$uc"</f>
        <v>#VALUE!</v>
      </c>
      <c r="IS72" t="e">
        <f>'Technical Skills Weighting'!O52+"`FU!$ud"</f>
        <v>#VALUE!</v>
      </c>
      <c r="IT72" t="e">
        <f>'Technical Skills Weighting'!P52+"`FU!$ue"</f>
        <v>#VALUE!</v>
      </c>
      <c r="IU72" t="e">
        <f>'Technical Skills Weighting'!Q52+"`FU!$uf"</f>
        <v>#VALUE!</v>
      </c>
      <c r="IV72" t="e">
        <f>'Technical Skills Weighting'!R52+"`FU!$ug"</f>
        <v>#VALUE!</v>
      </c>
    </row>
    <row r="73" spans="6:256" x14ac:dyDescent="0.25">
      <c r="F73" t="e">
        <f>'Technical Skills Weighting'!S52+"`FU!$uh"</f>
        <v>#VALUE!</v>
      </c>
      <c r="G73" t="e">
        <f>'Technical Skills Weighting'!T52+"`FU!$ui"</f>
        <v>#VALUE!</v>
      </c>
      <c r="H73" t="e">
        <f>'Technical Skills Weighting'!U52+"`FU!$uj"</f>
        <v>#VALUE!</v>
      </c>
      <c r="I73" t="e">
        <f>'Technical Skills Weighting'!V52+"`FU!$uk"</f>
        <v>#VALUE!</v>
      </c>
      <c r="J73" t="e">
        <f>'Technical Skills Weighting'!W52+"`FU!$ul"</f>
        <v>#VALUE!</v>
      </c>
      <c r="K73" t="e">
        <f>'Technical Skills Weighting'!X52+"`FU!$um"</f>
        <v>#VALUE!</v>
      </c>
      <c r="L73" t="e">
        <f>'Technical Skills Weighting'!Y52+"`FU!$un"</f>
        <v>#VALUE!</v>
      </c>
      <c r="M73" t="e">
        <f>'Technical Skills Weighting'!Z52+"`FU!$uo"</f>
        <v>#VALUE!</v>
      </c>
      <c r="N73" t="e">
        <f>'Technical Skills Weighting'!AA52+"`FU!$up"</f>
        <v>#VALUE!</v>
      </c>
      <c r="O73" t="e">
        <f>'Technical Skills Weighting'!AB52+"`FU!$uq"</f>
        <v>#VALUE!</v>
      </c>
      <c r="P73" t="e">
        <f>'Technical Skills Weighting'!AC52+"`FU!$ur"</f>
        <v>#VALUE!</v>
      </c>
      <c r="Q73" t="e">
        <f>'Technical Skills Weighting'!AD52+"`FU!$us"</f>
        <v>#VALUE!</v>
      </c>
      <c r="R73" t="e">
        <f>'Technical Skills Weighting'!AE52+"`FU!$ut"</f>
        <v>#VALUE!</v>
      </c>
      <c r="S73" t="e">
        <f>'Technical Skills Weighting'!AF52+"`FU!$uu"</f>
        <v>#VALUE!</v>
      </c>
      <c r="T73" t="e">
        <f>'Technical Skills Weighting'!AG52+"`FU!$uv"</f>
        <v>#VALUE!</v>
      </c>
      <c r="U73" t="e">
        <f>'Technical Skills Weighting'!AH52+"`FU!$uw"</f>
        <v>#VALUE!</v>
      </c>
      <c r="V73" t="e">
        <f>'Technical Skills Weighting'!AI52+"`FU!$ux"</f>
        <v>#VALUE!</v>
      </c>
      <c r="W73" t="e">
        <f>'Technical Skills Weighting'!AJ52+"`FU!$uy"</f>
        <v>#VALUE!</v>
      </c>
      <c r="X73" t="e">
        <f>'Technical Skills Weighting'!AK52+"`FU!$uz"</f>
        <v>#VALUE!</v>
      </c>
      <c r="Y73" t="e">
        <f>'Technical Skills Weighting'!AL52+"`FU!$u{"</f>
        <v>#VALUE!</v>
      </c>
      <c r="Z73" t="e">
        <f>'Technical Skills Weighting'!AM52+"`FU!$u|"</f>
        <v>#VALUE!</v>
      </c>
      <c r="AA73" t="e">
        <f>'Technical Skills Weighting'!AN52+"`FU!$u}"</f>
        <v>#VALUE!</v>
      </c>
      <c r="AB73" t="e">
        <f>'Technical Skills Weighting'!AO52+"`FU!$u~"</f>
        <v>#VALUE!</v>
      </c>
      <c r="AC73" t="e">
        <f>'Technical Skills Weighting'!AP52+"`FU!$v#"</f>
        <v>#VALUE!</v>
      </c>
      <c r="AD73" t="e">
        <f>'Technical Skills Weighting'!AQ52+"`FU!$v$"</f>
        <v>#VALUE!</v>
      </c>
      <c r="AE73" t="e">
        <f>'Technical Skills Weighting'!AR52+"`FU!$v%"</f>
        <v>#VALUE!</v>
      </c>
      <c r="AF73" t="e">
        <f>'Technical Skills Weighting'!AS52+"`FU!$v&amp;"</f>
        <v>#VALUE!</v>
      </c>
      <c r="AG73" t="e">
        <f>'Technical Skills Weighting'!AT52+"`FU!$v'"</f>
        <v>#VALUE!</v>
      </c>
      <c r="AH73" t="e">
        <f>'Technical Skills Weighting'!AU52+"`FU!$v("</f>
        <v>#VALUE!</v>
      </c>
      <c r="AI73" t="e">
        <f>'Technical Skills Weighting'!AV52+"`FU!$v)"</f>
        <v>#VALUE!</v>
      </c>
      <c r="AJ73" t="e">
        <f>'Technical Skills Weighting'!AW52+"`FU!$v."</f>
        <v>#VALUE!</v>
      </c>
      <c r="AK73" t="e">
        <f>'Technical Skills Weighting'!AX52+"`FU!$v/"</f>
        <v>#VALUE!</v>
      </c>
      <c r="AL73" t="e">
        <f>'Technical Skills Weighting'!AY52+"`FU!$v0"</f>
        <v>#VALUE!</v>
      </c>
      <c r="AM73" t="e">
        <f>'Technical Skills Weighting'!AZ52+"`FU!$v1"</f>
        <v>#VALUE!</v>
      </c>
      <c r="AN73" t="e">
        <f>'Technical Skills Weighting'!BA52+"`FU!$v2"</f>
        <v>#VALUE!</v>
      </c>
      <c r="AO73" t="e">
        <f>'Technical Skills Weighting'!BB52+"`FU!$v3"</f>
        <v>#VALUE!</v>
      </c>
      <c r="AP73" t="e">
        <f>'Technical Skills Weighting'!BC52+"`FU!$v4"</f>
        <v>#VALUE!</v>
      </c>
      <c r="AQ73" t="e">
        <f>'Technical Skills Weighting'!BD52+"`FU!$v5"</f>
        <v>#VALUE!</v>
      </c>
      <c r="AR73" t="e">
        <f>'Technical Skills Weighting'!BE52+"`FU!$v6"</f>
        <v>#VALUE!</v>
      </c>
      <c r="AS73" t="e">
        <f>'Technical Skills Weighting'!BF52+"`FU!$v7"</f>
        <v>#VALUE!</v>
      </c>
      <c r="AT73" t="e">
        <f>'Technical Skills Weighting'!BG52+"`FU!$v8"</f>
        <v>#VALUE!</v>
      </c>
      <c r="AU73" t="e">
        <f>'Technical Skills Weighting'!BH52+"`FU!$v9"</f>
        <v>#VALUE!</v>
      </c>
      <c r="AV73" t="e">
        <f>'Technical Skills Weighting'!BI52+"`FU!$v:"</f>
        <v>#VALUE!</v>
      </c>
      <c r="AW73" t="e">
        <f>'Technical Skills Weighting'!BJ52+"`FU!$v;"</f>
        <v>#VALUE!</v>
      </c>
      <c r="AX73" t="e">
        <f>'Technical Skills Weighting'!BK52+"`FU!$v&lt;"</f>
        <v>#VALUE!</v>
      </c>
      <c r="AY73" t="e">
        <f>'Technical Skills Weighting'!BL52+"`FU!$v="</f>
        <v>#VALUE!</v>
      </c>
      <c r="AZ73" t="e">
        <f>'Technical Skills Weighting'!BM52+"`FU!$v&gt;"</f>
        <v>#VALUE!</v>
      </c>
      <c r="BA73" t="e">
        <f>'Technical Skills Weighting'!BN52+"`FU!$v?"</f>
        <v>#VALUE!</v>
      </c>
      <c r="BB73" t="e">
        <f>'Technical Skills Weighting'!BO52+"`FU!$v@"</f>
        <v>#VALUE!</v>
      </c>
      <c r="BC73" t="e">
        <f>'Technical Skills Weighting'!BP52+"`FU!$vA"</f>
        <v>#VALUE!</v>
      </c>
      <c r="BD73" t="e">
        <f>'Technical Skills Weighting'!BQ52+"`FU!$vB"</f>
        <v>#VALUE!</v>
      </c>
      <c r="BE73" t="e">
        <f>'Technical Skills Weighting'!BR52+"`FU!$vC"</f>
        <v>#VALUE!</v>
      </c>
      <c r="BF73" t="e">
        <f>'Technical Skills Weighting'!BS52+"`FU!$vD"</f>
        <v>#VALUE!</v>
      </c>
      <c r="BG73" t="e">
        <f>'Technical Skills Weighting'!BT52+"`FU!$vE"</f>
        <v>#VALUE!</v>
      </c>
      <c r="BH73" t="e">
        <f>'Technical Skills Weighting'!BU52+"`FU!$vF"</f>
        <v>#VALUE!</v>
      </c>
      <c r="BI73" t="e">
        <f>'Technical Skills Weighting'!BV52+"`FU!$vG"</f>
        <v>#VALUE!</v>
      </c>
      <c r="BJ73" t="e">
        <f>'Technical Skills Weighting'!BW52+"`FU!$vH"</f>
        <v>#VALUE!</v>
      </c>
      <c r="BK73" t="e">
        <f>'Technical Skills Weighting'!BX52+"`FU!$vI"</f>
        <v>#VALUE!</v>
      </c>
      <c r="BL73" t="e">
        <f>'Technical Skills Weighting'!BY52+"`FU!$vJ"</f>
        <v>#VALUE!</v>
      </c>
      <c r="BM73" t="e">
        <f>'Technical Skills Weighting'!BZ52+"`FU!$vK"</f>
        <v>#VALUE!</v>
      </c>
      <c r="BN73" t="e">
        <f>'Technical Skills Weighting'!CA52+"`FU!$vL"</f>
        <v>#VALUE!</v>
      </c>
      <c r="BO73" t="e">
        <f>'Technical Skills Weighting'!CB52+"`FU!$vM"</f>
        <v>#VALUE!</v>
      </c>
      <c r="BP73" t="e">
        <f>'Technical Skills Weighting'!CC52+"`FU!$vN"</f>
        <v>#VALUE!</v>
      </c>
      <c r="BQ73" t="e">
        <f>'Technical Skills Weighting'!CD52+"`FU!$vO"</f>
        <v>#VALUE!</v>
      </c>
      <c r="BR73" t="e">
        <f>'Technical Skills Weighting'!CE52+"`FU!$vP"</f>
        <v>#VALUE!</v>
      </c>
      <c r="BS73" t="e">
        <f>'Technical Skills Weighting'!CF52+"`FU!$vQ"</f>
        <v>#VALUE!</v>
      </c>
      <c r="BT73" t="e">
        <f>'Technical Skills Weighting'!CG52+"`FU!$vR"</f>
        <v>#VALUE!</v>
      </c>
      <c r="BU73" t="e">
        <f>'Technical Skills Weighting'!CH52+"`FU!$vS"</f>
        <v>#VALUE!</v>
      </c>
      <c r="BV73" t="e">
        <f>'Technical Skills Weighting'!CI52+"`FU!$vT"</f>
        <v>#VALUE!</v>
      </c>
      <c r="BW73" t="e">
        <f>'Technical Skills Weighting'!CJ52+"`FU!$vU"</f>
        <v>#VALUE!</v>
      </c>
      <c r="BX73" t="e">
        <f>'Technical Skills Weighting'!CK52+"`FU!$vV"</f>
        <v>#VALUE!</v>
      </c>
      <c r="BY73" t="e">
        <f>'Technical Skills Weighting'!CL52+"`FU!$vW"</f>
        <v>#VALUE!</v>
      </c>
      <c r="BZ73" t="e">
        <f>'Technical Skills Weighting'!CM52+"`FU!$vX"</f>
        <v>#VALUE!</v>
      </c>
      <c r="CA73" t="e">
        <f>'Technical Skills Weighting'!CN52+"`FU!$vY"</f>
        <v>#VALUE!</v>
      </c>
      <c r="CB73" t="e">
        <f>'Technical Skills Weighting'!CO52+"`FU!$vZ"</f>
        <v>#VALUE!</v>
      </c>
      <c r="CC73" t="e">
        <f>'Technical Skills Weighting'!CP52+"`FU!$v["</f>
        <v>#VALUE!</v>
      </c>
      <c r="CD73" t="e">
        <f>'Technical Skills Weighting'!CQ52+"`FU!$v\"</f>
        <v>#VALUE!</v>
      </c>
      <c r="CE73" t="e">
        <f>'Technical Skills Weighting'!CR52+"`FU!$v]"</f>
        <v>#VALUE!</v>
      </c>
      <c r="CF73" t="e">
        <f>'Technical Skills Weighting'!CS52+"`FU!$v^"</f>
        <v>#VALUE!</v>
      </c>
      <c r="CG73" t="e">
        <f>'Technical Skills Weighting'!CT52+"`FU!$v_"</f>
        <v>#VALUE!</v>
      </c>
      <c r="CH73" t="e">
        <f>'Technical Skills Weighting'!CU52+"`FU!$v`"</f>
        <v>#VALUE!</v>
      </c>
      <c r="CI73" t="e">
        <f>'Technical Skills Weighting'!CV52+"`FU!$va"</f>
        <v>#VALUE!</v>
      </c>
      <c r="CJ73" t="e">
        <f>'Technical Skills Weighting'!CW52+"`FU!$vb"</f>
        <v>#VALUE!</v>
      </c>
      <c r="CK73" t="e">
        <f>'Technical Skills Weighting'!CX52+"`FU!$vc"</f>
        <v>#VALUE!</v>
      </c>
      <c r="CL73" t="e">
        <f>'Technical Skills Weighting'!CY52+"`FU!$vd"</f>
        <v>#VALUE!</v>
      </c>
      <c r="CM73" t="e">
        <f>'Technical Skills Weighting'!CZ52+"`FU!$ve"</f>
        <v>#VALUE!</v>
      </c>
      <c r="CN73" t="e">
        <f>'Technical Skills Weighting'!DA52+"`FU!$vf"</f>
        <v>#VALUE!</v>
      </c>
      <c r="CO73" t="e">
        <f>'Technical Skills Weighting'!DB52+"`FU!$vg"</f>
        <v>#VALUE!</v>
      </c>
      <c r="CP73" t="e">
        <f>'Technical Skills Weighting'!DC52+"`FU!$vh"</f>
        <v>#VALUE!</v>
      </c>
      <c r="CQ73" t="e">
        <f>'Technical Skills Weighting'!DD52+"`FU!$vi"</f>
        <v>#VALUE!</v>
      </c>
      <c r="CR73" t="e">
        <f>'Technical Skills Weighting'!DE52+"`FU!$vj"</f>
        <v>#VALUE!</v>
      </c>
      <c r="CS73" t="e">
        <f>'Technical Skills Weighting'!DF52+"`FU!$vk"</f>
        <v>#VALUE!</v>
      </c>
      <c r="CT73" t="e">
        <f>'Technical Skills Weighting'!DG52+"`FU!$vl"</f>
        <v>#VALUE!</v>
      </c>
      <c r="CU73" t="e">
        <f>'Technical Skills Weighting'!DH52+"`FU!$vm"</f>
        <v>#VALUE!</v>
      </c>
      <c r="CV73" t="e">
        <f>'Technical Skills Weighting'!DI52+"`FU!$vn"</f>
        <v>#VALUE!</v>
      </c>
      <c r="CW73" t="e">
        <f>'Technical Skills Weighting'!DJ52+"`FU!$vo"</f>
        <v>#VALUE!</v>
      </c>
      <c r="CX73" t="e">
        <f>'Technical Skills Weighting'!DK52+"`FU!$vp"</f>
        <v>#VALUE!</v>
      </c>
      <c r="CY73" t="e">
        <f>'Technical Skills Weighting'!DL52+"`FU!$vq"</f>
        <v>#VALUE!</v>
      </c>
      <c r="CZ73" t="e">
        <f>'Technical Skills Weighting'!DM52+"`FU!$vr"</f>
        <v>#VALUE!</v>
      </c>
      <c r="DA73" t="e">
        <f>'Technical Skills Weighting'!DN52+"`FU!$vs"</f>
        <v>#VALUE!</v>
      </c>
      <c r="DB73" t="e">
        <f>'Technical Skills Weighting'!DO52+"`FU!$vt"</f>
        <v>#VALUE!</v>
      </c>
      <c r="DC73" t="e">
        <f>'Technical Skills Weighting'!DP52+"`FU!$vu"</f>
        <v>#VALUE!</v>
      </c>
      <c r="DD73" t="e">
        <f>'Technical Skills Weighting'!DQ52+"`FU!$vv"</f>
        <v>#VALUE!</v>
      </c>
      <c r="DE73" t="e">
        <f>'Technical Skills Weighting'!DR52+"`FU!$vw"</f>
        <v>#VALUE!</v>
      </c>
      <c r="DF73" t="e">
        <f>'Technical Skills Weighting'!DS52+"`FU!$vx"</f>
        <v>#VALUE!</v>
      </c>
      <c r="DG73" t="e">
        <f>'Technical Skills Weighting'!DT52+"`FU!$vy"</f>
        <v>#VALUE!</v>
      </c>
      <c r="DH73" t="e">
        <f>'Technical Skills Weighting'!DU52+"`FU!$vz"</f>
        <v>#VALUE!</v>
      </c>
      <c r="DI73" t="e">
        <f>'Technical Skills Weighting'!DV52+"`FU!$v{"</f>
        <v>#VALUE!</v>
      </c>
      <c r="DJ73" t="e">
        <f>'Technical Skills Weighting'!DW52+"`FU!$v|"</f>
        <v>#VALUE!</v>
      </c>
      <c r="DK73" t="e">
        <f>'Technical Skills Weighting'!DX52+"`FU!$v}"</f>
        <v>#VALUE!</v>
      </c>
      <c r="DL73" t="e">
        <f>'Technical Skills Weighting'!DY52+"`FU!$v~"</f>
        <v>#VALUE!</v>
      </c>
      <c r="DM73" t="e">
        <f>'Technical Skills Weighting'!DZ52+"`FU!$w#"</f>
        <v>#VALUE!</v>
      </c>
      <c r="DN73" t="e">
        <f>'Technical Skills Weighting'!EA52+"`FU!$w$"</f>
        <v>#VALUE!</v>
      </c>
      <c r="DO73" t="e">
        <f>'Technical Skills Weighting'!EB52+"`FU!$w%"</f>
        <v>#VALUE!</v>
      </c>
      <c r="DP73" t="e">
        <f>'Technical Skills Weighting'!EC52+"`FU!$w&amp;"</f>
        <v>#VALUE!</v>
      </c>
      <c r="DQ73" t="e">
        <f>'Technical Skills Weighting'!ED52+"`FU!$w'"</f>
        <v>#VALUE!</v>
      </c>
      <c r="DR73" t="e">
        <f>'Technical Skills Weighting'!EE52+"`FU!$w("</f>
        <v>#VALUE!</v>
      </c>
      <c r="DS73" t="e">
        <f>'Technical Skills Weighting'!EF52+"`FU!$w)"</f>
        <v>#VALUE!</v>
      </c>
      <c r="DT73" t="e">
        <f>'Technical Skills Weighting'!EG52+"`FU!$w."</f>
        <v>#VALUE!</v>
      </c>
      <c r="DU73" t="e">
        <f>'Technical Skills Weighting'!EH52+"`FU!$w/"</f>
        <v>#VALUE!</v>
      </c>
      <c r="DV73" t="e">
        <f>'Technical Skills Weighting'!EI52+"`FU!$w0"</f>
        <v>#VALUE!</v>
      </c>
      <c r="DW73" t="e">
        <f>'Technical Skills Weighting'!EJ52+"`FU!$w1"</f>
        <v>#VALUE!</v>
      </c>
      <c r="DX73" t="e">
        <f>'Technical Skills Weighting'!EK52+"`FU!$w2"</f>
        <v>#VALUE!</v>
      </c>
      <c r="DY73" t="e">
        <f>'Technical Skills Weighting'!EL52+"`FU!$w3"</f>
        <v>#VALUE!</v>
      </c>
      <c r="DZ73" t="e">
        <f>'Technical Skills Weighting'!EM52+"`FU!$w4"</f>
        <v>#VALUE!</v>
      </c>
      <c r="EA73" t="e">
        <f>'Technical Skills Weighting'!EN52+"`FU!$w5"</f>
        <v>#VALUE!</v>
      </c>
      <c r="EB73" t="e">
        <f>'Technical Skills Weighting'!EO52+"`FU!$w6"</f>
        <v>#VALUE!</v>
      </c>
      <c r="EC73" t="e">
        <f>'Technical Skills Weighting'!EP52+"`FU!$w7"</f>
        <v>#VALUE!</v>
      </c>
      <c r="ED73" t="e">
        <f>'Technical Skills Weighting'!EQ52+"`FU!$w8"</f>
        <v>#VALUE!</v>
      </c>
      <c r="EE73" t="e">
        <f>'Technical Skills Weighting'!ER52+"`FU!$w9"</f>
        <v>#VALUE!</v>
      </c>
      <c r="EF73" t="e">
        <f>'Technical Skills Weighting'!ES52+"`FU!$w:"</f>
        <v>#VALUE!</v>
      </c>
      <c r="EG73" t="e">
        <f>'Technical Skills Weighting'!ET52+"`FU!$w;"</f>
        <v>#VALUE!</v>
      </c>
      <c r="EH73" t="e">
        <f>'Technical Skills Weighting'!EU52+"`FU!$w&lt;"</f>
        <v>#VALUE!</v>
      </c>
      <c r="EI73" t="e">
        <f>'Technical Skills Weighting'!EV52+"`FU!$w="</f>
        <v>#VALUE!</v>
      </c>
      <c r="EJ73" t="e">
        <f>'Technical Skills Weighting'!EW52+"`FU!$w&gt;"</f>
        <v>#VALUE!</v>
      </c>
      <c r="EK73" t="e">
        <f>'Technical Skills Weighting'!EX52+"`FU!$w?"</f>
        <v>#VALUE!</v>
      </c>
      <c r="EL73" t="e">
        <f>'Technical Skills Weighting'!EY52+"`FU!$w@"</f>
        <v>#VALUE!</v>
      </c>
      <c r="EM73" t="e">
        <f>'Technical Skills Weighting'!EZ52+"`FU!$wA"</f>
        <v>#VALUE!</v>
      </c>
      <c r="EN73" t="e">
        <f>'Technical Skills Weighting'!FA52+"`FU!$wB"</f>
        <v>#VALUE!</v>
      </c>
      <c r="EO73" t="e">
        <f>'Technical Skills Weighting'!FB52+"`FU!$wC"</f>
        <v>#VALUE!</v>
      </c>
      <c r="EP73" t="e">
        <f>'Technical Skills Weighting'!FC52+"`FU!$wD"</f>
        <v>#VALUE!</v>
      </c>
      <c r="EQ73" t="e">
        <f>'Technical Skills Weighting'!FD52+"`FU!$wE"</f>
        <v>#VALUE!</v>
      </c>
      <c r="ER73" t="e">
        <f>'Technical Skills Weighting'!FE52+"`FU!$wF"</f>
        <v>#VALUE!</v>
      </c>
      <c r="ES73" t="e">
        <f>'Technical Skills Weighting'!FF52+"`FU!$wG"</f>
        <v>#VALUE!</v>
      </c>
      <c r="ET73" t="e">
        <f>'Technical Skills Weighting'!FG52+"`FU!$wH"</f>
        <v>#VALUE!</v>
      </c>
      <c r="EU73" t="e">
        <f>'Technical Skills Weighting'!FH52+"`FU!$wI"</f>
        <v>#VALUE!</v>
      </c>
      <c r="EV73" t="e">
        <f>'Technical Skills Weighting'!FI52+"`FU!$wJ"</f>
        <v>#VALUE!</v>
      </c>
      <c r="EW73" t="e">
        <f>'Technical Skills Weighting'!FJ52+"`FU!$wK"</f>
        <v>#VALUE!</v>
      </c>
      <c r="EX73" t="e">
        <f>'Technical Skills Weighting'!FK52+"`FU!$wL"</f>
        <v>#VALUE!</v>
      </c>
      <c r="EY73" t="e">
        <f>'Technical Skills Weighting'!FL52+"`FU!$wM"</f>
        <v>#VALUE!</v>
      </c>
      <c r="EZ73" t="e">
        <f>'Technical Skills Weighting'!FM52+"`FU!$wN"</f>
        <v>#VALUE!</v>
      </c>
      <c r="FA73" t="e">
        <f>'Technical Skills Weighting'!FN52+"`FU!$wO"</f>
        <v>#VALUE!</v>
      </c>
      <c r="FB73" t="e">
        <f>'Technical Skills Weighting'!FO52+"`FU!$wP"</f>
        <v>#VALUE!</v>
      </c>
      <c r="FC73" t="e">
        <f>'Technical Skills Weighting'!FP52+"`FU!$wQ"</f>
        <v>#VALUE!</v>
      </c>
      <c r="FD73" t="e">
        <f>'Technical Skills Weighting'!FQ52+"`FU!$wR"</f>
        <v>#VALUE!</v>
      </c>
      <c r="FE73" t="e">
        <f>'Technical Skills Weighting'!FR52+"`FU!$wS"</f>
        <v>#VALUE!</v>
      </c>
      <c r="FF73" t="e">
        <f>'Technical Skills Weighting'!FS52+"`FU!$wT"</f>
        <v>#VALUE!</v>
      </c>
      <c r="FG73" t="e">
        <f>'Technical Skills Weighting'!FT52+"`FU!$wU"</f>
        <v>#VALUE!</v>
      </c>
      <c r="FH73" t="e">
        <f>'Technical Skills Weighting'!FU52+"`FU!$wV"</f>
        <v>#VALUE!</v>
      </c>
      <c r="FI73" t="e">
        <f>'Technical Skills Weighting'!FV52+"`FU!$wW"</f>
        <v>#VALUE!</v>
      </c>
      <c r="FJ73" t="e">
        <f>'Technical Skills Weighting'!FW52+"`FU!$wX"</f>
        <v>#VALUE!</v>
      </c>
      <c r="FK73" t="e">
        <f>'Technical Skills Weighting'!FX52+"`FU!$wY"</f>
        <v>#VALUE!</v>
      </c>
      <c r="FL73" t="e">
        <f>'Technical Skills Weighting'!FY52+"`FU!$wZ"</f>
        <v>#VALUE!</v>
      </c>
      <c r="FM73" t="e">
        <f>'Technical Skills Weighting'!FZ52+"`FU!$w["</f>
        <v>#VALUE!</v>
      </c>
      <c r="FN73" t="e">
        <f>'Technical Skills Weighting'!GA52+"`FU!$w\"</f>
        <v>#VALUE!</v>
      </c>
      <c r="FO73" t="e">
        <f>'Technical Skills Weighting'!GB52+"`FU!$w]"</f>
        <v>#VALUE!</v>
      </c>
      <c r="FP73" t="e">
        <f>'Technical Skills Weighting'!GC52+"`FU!$w^"</f>
        <v>#VALUE!</v>
      </c>
      <c r="FQ73" t="e">
        <f>'Technical Skills Weighting'!GD52+"`FU!$w_"</f>
        <v>#VALUE!</v>
      </c>
      <c r="FR73" t="e">
        <f>'Technical Skills Weighting'!GE52+"`FU!$w`"</f>
        <v>#VALUE!</v>
      </c>
      <c r="FS73" t="e">
        <f>'Technical Skills Weighting'!GF52+"`FU!$wa"</f>
        <v>#VALUE!</v>
      </c>
      <c r="FT73" t="e">
        <f>'Technical Skills Weighting'!GG52+"`FU!$wb"</f>
        <v>#VALUE!</v>
      </c>
      <c r="FU73" t="e">
        <f>'Technical Skills Weighting'!D53+"`FU!$wc"</f>
        <v>#VALUE!</v>
      </c>
      <c r="FV73" t="e">
        <f>'Technical Skills Weighting'!E53+"`FU!$wd"</f>
        <v>#VALUE!</v>
      </c>
      <c r="FW73" t="e">
        <f>'Technical Skills Weighting'!F53+"`FU!$we"</f>
        <v>#VALUE!</v>
      </c>
      <c r="FX73" t="e">
        <f>'Technical Skills Weighting'!G53+"`FU!$wf"</f>
        <v>#VALUE!</v>
      </c>
      <c r="FY73" t="e">
        <f>'Technical Skills Weighting'!B54+"`FU!$wg"</f>
        <v>#VALUE!</v>
      </c>
      <c r="FZ73" t="e">
        <f>'Technical Skills Weighting'!B55+"`FU!$wh"</f>
        <v>#VALUE!</v>
      </c>
      <c r="GA73" t="e">
        <f>'Technical Skills Weighting'!B56+"`FU!$wi"</f>
        <v>#VALUE!</v>
      </c>
      <c r="GB73" t="e">
        <f>'Technical Skills Weighting'!B57+"`FU!$wj"</f>
        <v>#VALUE!</v>
      </c>
      <c r="GC73" t="e">
        <f>'Technical Skills Weighting'!B58+"`FU!$wk"</f>
        <v>#VALUE!</v>
      </c>
      <c r="GD73" t="e">
        <f>'Technical Skills Weighting'!B59+"`FU!$wl"</f>
        <v>#VALUE!</v>
      </c>
      <c r="GE73" t="e">
        <f>'Technical Skills Weighting'!B60+"`FU!$wm"</f>
        <v>#VALUE!</v>
      </c>
      <c r="GF73" t="e">
        <f>'Technical Skills Weighting'!B61+"`FU!$wn"</f>
        <v>#VALUE!</v>
      </c>
      <c r="GG73" t="e">
        <f>'Technical Skills Weighting'!B62+"`FU!$wo"</f>
        <v>#VALUE!</v>
      </c>
      <c r="GH73" t="e">
        <f>'Technical Skills Weighting'!B63+"`FU!$wp"</f>
        <v>#VALUE!</v>
      </c>
      <c r="GI73" t="e">
        <f>'Technical Skills Weighting'!B64+"`FU!$wq"</f>
        <v>#VALUE!</v>
      </c>
      <c r="GJ73" t="e">
        <f>'Technical Skills Weighting'!B65+"`FU!$wr"</f>
        <v>#VALUE!</v>
      </c>
      <c r="GK73" t="e">
        <f>'Technical Skills Weighting'!B66+"`FU!$ws"</f>
        <v>#VALUE!</v>
      </c>
      <c r="GL73" t="e">
        <f>'Technical Skills Weighting'!B67+"`FU!$wt"</f>
        <v>#VALUE!</v>
      </c>
      <c r="GM73" t="e">
        <f>'Technical Skills Weighting'!B68+"`FU!$wu"</f>
        <v>#VALUE!</v>
      </c>
      <c r="GN73" t="e">
        <f>'Technical Skills Weighting'!B69+"`FU!$wv"</f>
        <v>#VALUE!</v>
      </c>
      <c r="GO73" t="e">
        <f>'Technical Skills Weighting'!B70+"`FU!$ww"</f>
        <v>#VALUE!</v>
      </c>
      <c r="GP73" t="e">
        <f>'Technical Skills Weighting'!B71+"`FU!$wx"</f>
        <v>#VALUE!</v>
      </c>
      <c r="GQ73" t="e">
        <f>'Technical Skills Weighting'!B72+"`FU!$wy"</f>
        <v>#VALUE!</v>
      </c>
      <c r="GR73" t="e">
        <f>'Technical Skills Weighting'!B73+"`FU!$wz"</f>
        <v>#VALUE!</v>
      </c>
      <c r="GS73" t="e">
        <f>'Technical Skills Weighting'!B74+"`FU!$w{"</f>
        <v>#VALUE!</v>
      </c>
      <c r="GT73" t="e">
        <f>'Technical Skills Weighting'!B75+"`FU!$w|"</f>
        <v>#VALUE!</v>
      </c>
      <c r="GU73" t="e">
        <f>'Technical Skills Weighting'!B76+"`FU!$w}"</f>
        <v>#VALUE!</v>
      </c>
      <c r="GV73" t="e">
        <f>'Technical Skills Weighting'!B77+"`FU!$w~"</f>
        <v>#VALUE!</v>
      </c>
      <c r="GW73" t="e">
        <f>'Technical Skills Weighting'!B78+"`FU!$x#"</f>
        <v>#VALUE!</v>
      </c>
      <c r="GX73" t="e">
        <f>'Technical Skills Weighting'!B79+"`FU!$x$"</f>
        <v>#VALUE!</v>
      </c>
      <c r="GY73" t="e">
        <f>'Technical Skills Weighting'!B80+"`FU!$x%"</f>
        <v>#VALUE!</v>
      </c>
      <c r="GZ73" t="e">
        <f>'Technical Skills Weighting'!B81+"`FU!$x&amp;"</f>
        <v>#VALUE!</v>
      </c>
      <c r="HA73" t="e">
        <f>'Technical Skills Weighting'!B82+"`FU!$x'"</f>
        <v>#VALUE!</v>
      </c>
      <c r="HB73" t="e">
        <f>'Technical Skills Weighting'!B83+"`FU!$x("</f>
        <v>#VALUE!</v>
      </c>
      <c r="HC73" t="e">
        <f>'Technical Skills Weighting'!B84+"`FU!$x)"</f>
        <v>#VALUE!</v>
      </c>
      <c r="HD73" t="e">
        <f>'Technical Skills Weighting'!B85+"`FU!$x."</f>
        <v>#VALUE!</v>
      </c>
      <c r="HE73" t="e">
        <f>'Technical Skills Weighting'!B86+"`FU!$x/"</f>
        <v>#VALUE!</v>
      </c>
      <c r="HF73" t="e">
        <f>'Technical Skills Weighting'!B87+"`FU!$x0"</f>
        <v>#VALUE!</v>
      </c>
      <c r="HG73" t="e">
        <f>'Technical Skills Weighting'!B88+"`FU!$x1"</f>
        <v>#VALUE!</v>
      </c>
      <c r="HH73" t="e">
        <f>'Technical Skills Weighting'!B89+"`FU!$x2"</f>
        <v>#VALUE!</v>
      </c>
      <c r="HI73" t="e">
        <f>'Technical Skills Weighting'!B90+"`FU!$x3"</f>
        <v>#VALUE!</v>
      </c>
      <c r="HJ73" t="e">
        <f>'Technical Skills Weighting'!B91+"`FU!$x4"</f>
        <v>#VALUE!</v>
      </c>
      <c r="HK73" t="e">
        <f>'Technical Skills Weighting'!B92+"`FU!$x5"</f>
        <v>#VALUE!</v>
      </c>
      <c r="HL73" t="e">
        <f>'Technical Skills Weighting'!B93+"`FU!$x6"</f>
        <v>#VALUE!</v>
      </c>
      <c r="HM73" t="e">
        <f>'Technical Skills Weighting'!B94+"`FU!$x7"</f>
        <v>#VALUE!</v>
      </c>
      <c r="HN73" t="e">
        <f>'Technical Skills Weighting'!B95+"`FU!$x8"</f>
        <v>#VALUE!</v>
      </c>
      <c r="HO73" t="e">
        <f>'Technical Skills Weighting'!B96+"`FU!$x9"</f>
        <v>#VALUE!</v>
      </c>
      <c r="HP73" t="e">
        <f>'Technical Skills Weighting'!B97+"`FU!$x:"</f>
        <v>#VALUE!</v>
      </c>
      <c r="HQ73" t="e">
        <f>'Technical Skills Weighting'!B98+"`FU!$x;"</f>
        <v>#VALUE!</v>
      </c>
      <c r="HR73" t="e">
        <f>'Technical Skills Weighting'!B99+"`FU!$x&lt;"</f>
        <v>#VALUE!</v>
      </c>
      <c r="HS73" t="e">
        <f>'Technical Skills Weighting'!B100+"`FU!$x="</f>
        <v>#VALUE!</v>
      </c>
      <c r="HT73" t="e">
        <f>'Technical Skills Weighting'!B101+"`FU!$x&gt;"</f>
        <v>#VALUE!</v>
      </c>
      <c r="HU73" t="e">
        <f>'Technical Skills Weighting'!B102+"`FU!$x?"</f>
        <v>#VALUE!</v>
      </c>
      <c r="HV73" t="e">
        <f>'Technical Skills Weighting'!B103+"`FU!$x@"</f>
        <v>#VALUE!</v>
      </c>
      <c r="HW73" t="e">
        <f>'Technical Skills Weighting'!B104+"`FU!$xA"</f>
        <v>#VALUE!</v>
      </c>
      <c r="HX73" t="e">
        <f>'Technical Skills Weighting'!B105+"`FU!$xB"</f>
        <v>#VALUE!</v>
      </c>
      <c r="HY73" t="e">
        <f>'Technical Skills Weighting'!B106+"`FU!$xC"</f>
        <v>#VALUE!</v>
      </c>
      <c r="HZ73" t="e">
        <f>'Technical Skills Weighting'!B107+"`FU!$xD"</f>
        <v>#VALUE!</v>
      </c>
      <c r="IA73" t="e">
        <f>'Technical Skills Weighting'!B108+"`FU!$xE"</f>
        <v>#VALUE!</v>
      </c>
      <c r="IB73" t="e">
        <f>'Technical Skills Weighting'!B109+"`FU!$xF"</f>
        <v>#VALUE!</v>
      </c>
      <c r="IC73" t="e">
        <f>'Technical Skills Weighting'!B110+"`FU!$xG"</f>
        <v>#VALUE!</v>
      </c>
      <c r="ID73" t="e">
        <f>'Technical Skills Weighting'!B111+"`FU!$xH"</f>
        <v>#VALUE!</v>
      </c>
      <c r="IE73" t="e">
        <f>'Technical Skills Weighting'!B112+"`FU!$xI"</f>
        <v>#VALUE!</v>
      </c>
      <c r="IF73" t="e">
        <f>'Technical Skills Weighting'!B113+"`FU!$xJ"</f>
        <v>#VALUE!</v>
      </c>
      <c r="IG73" t="e">
        <f>'Technical Skills Weighting'!B114+"`FU!$xK"</f>
        <v>#VALUE!</v>
      </c>
      <c r="IH73" t="e">
        <f>'Technical Skills Weighting'!B115+"`FU!$xL"</f>
        <v>#VALUE!</v>
      </c>
      <c r="II73" t="e">
        <f>'Technical Skills Weighting'!B116+"`FU!$xM"</f>
        <v>#VALUE!</v>
      </c>
      <c r="IJ73" t="e">
        <f>'Technical Skills Weighting'!B117+"`FU!$xN"</f>
        <v>#VALUE!</v>
      </c>
      <c r="IK73" t="e">
        <f>'Technical Skills Weighting'!B118+"`FU!$xO"</f>
        <v>#VALUE!</v>
      </c>
      <c r="IL73" t="e">
        <f>'Technical Skills Weighting'!B119+"`FU!$xP"</f>
        <v>#VALUE!</v>
      </c>
      <c r="IM73" t="e">
        <f>'Technical Skills Weighting'!B120+"`FU!$xQ"</f>
        <v>#VALUE!</v>
      </c>
      <c r="IN73" t="e">
        <f>'Technical Skills Weighting'!B121+"`FU!$xR"</f>
        <v>#VALUE!</v>
      </c>
      <c r="IO73" t="e">
        <f>'Technical Skills Weighting'!B122+"`FU!$xS"</f>
        <v>#VALUE!</v>
      </c>
      <c r="IP73" t="e">
        <f>'Technical Skills Weighting'!B123+"`FU!$xT"</f>
        <v>#VALUE!</v>
      </c>
      <c r="IQ73" t="e">
        <f>'Technical Skills Weighting'!B124+"`FU!$xU"</f>
        <v>#VALUE!</v>
      </c>
      <c r="IR73" t="e">
        <f>'Technical Skills Weighting'!B125+"`FU!$xV"</f>
        <v>#VALUE!</v>
      </c>
      <c r="IS73" t="e">
        <f>'Technical Skills Weighting'!B126+"`FU!$xW"</f>
        <v>#VALUE!</v>
      </c>
      <c r="IT73" t="e">
        <f>'Technical Skills Weighting'!B127+"`FU!$xX"</f>
        <v>#VALUE!</v>
      </c>
      <c r="IU73" t="e">
        <f>'Technical Skills Weighting'!B128+"`FU!$xY"</f>
        <v>#VALUE!</v>
      </c>
      <c r="IV73" t="e">
        <f>'Technical Skills Weighting'!B129+"`FU!$xZ"</f>
        <v>#VALUE!</v>
      </c>
    </row>
    <row r="74" spans="6:256" x14ac:dyDescent="0.25">
      <c r="F74" t="e">
        <f>'Technical Skills Weighting'!B130+"`FU!$x["</f>
        <v>#VALUE!</v>
      </c>
      <c r="G74" t="e">
        <f>'Technical Skills Weighting'!B131+"`FU!$x\"</f>
        <v>#VALUE!</v>
      </c>
      <c r="H74" t="e">
        <f>'Technical Skills Weighting'!B132+"`FU!$x]"</f>
        <v>#VALUE!</v>
      </c>
      <c r="I74" t="e">
        <f>'Technical Skills Weighting'!B133+"`FU!$x^"</f>
        <v>#VALUE!</v>
      </c>
      <c r="J74" t="e">
        <f>'Technical Skills Weighting'!B134+"`FU!$x_"</f>
        <v>#VALUE!</v>
      </c>
      <c r="K74" t="e">
        <f>'Technical Skills Weighting'!B135+"`FU!$x`"</f>
        <v>#VALUE!</v>
      </c>
      <c r="L74" t="e">
        <f>'Technical Skills Weighting'!B136+"`FU!$xa"</f>
        <v>#VALUE!</v>
      </c>
      <c r="M74" t="e">
        <f>'Technical Skills Weighting'!B137+"`FU!$xb"</f>
        <v>#VALUE!</v>
      </c>
      <c r="N74" t="e">
        <f>'Technical Skills Weighting'!B138+"`FU!$xc"</f>
        <v>#VALUE!</v>
      </c>
      <c r="O74" t="e">
        <f>'Technical Skills Weighting'!B139+"`FU!$xd"</f>
        <v>#VALUE!</v>
      </c>
      <c r="P74" t="e">
        <f>'Technical Skills Weighting'!B140+"`FU!$xe"</f>
        <v>#VALUE!</v>
      </c>
      <c r="Q74" t="e">
        <f>'Technical Skills Weighting'!B141+"`FU!$xf"</f>
        <v>#VALUE!</v>
      </c>
      <c r="R74" t="e">
        <f>'Technical Skills Weighting'!B142+"`FU!$xg"</f>
        <v>#VALUE!</v>
      </c>
      <c r="S74" t="e">
        <f>'Technical Skills Weighting'!B143+"`FU!$xh"</f>
        <v>#VALUE!</v>
      </c>
      <c r="T74" t="e">
        <f>'Technical Skills Weighting'!B144+"`FU!$xi"</f>
        <v>#VALUE!</v>
      </c>
      <c r="U74" t="e">
        <f>'Technical Skills Weighting'!B145+"`FU!$xj"</f>
        <v>#VALUE!</v>
      </c>
      <c r="V74" t="e">
        <f>'Technical Skills Weighting'!B146+"`FU!$xk"</f>
        <v>#VALUE!</v>
      </c>
      <c r="W74" t="e">
        <f>'Technical Skills Weighting'!B147+"`FU!$xl"</f>
        <v>#VALUE!</v>
      </c>
      <c r="X74" t="e">
        <f>'Technical Skills Weighting'!B148+"`FU!$xm"</f>
        <v>#VALUE!</v>
      </c>
      <c r="Y74" t="e">
        <f>'Technical Skills Weighting'!B149+"`FU!$xn"</f>
        <v>#VALUE!</v>
      </c>
      <c r="Z74" t="e">
        <f>'Technical Skills Weighting'!B150+"`FU!$xo"</f>
        <v>#VALUE!</v>
      </c>
      <c r="AA74" t="e">
        <f>'Technical Skills Weighting'!B151+"`FU!$xp"</f>
        <v>#VALUE!</v>
      </c>
      <c r="AB74" t="e">
        <f>'Technical Skills Weighting'!B152+"`FU!$xq"</f>
        <v>#VALUE!</v>
      </c>
      <c r="AC74" t="e">
        <f>'Technical Skills Weighting'!B153+"`FU!$xr"</f>
        <v>#VALUE!</v>
      </c>
      <c r="AD74" t="e">
        <f>'Technical Skills Weighting'!B154+"`FU!$xs"</f>
        <v>#VALUE!</v>
      </c>
      <c r="AE74" t="e">
        <f>'Technical Skills Weighting'!B155+"`FU!$xt"</f>
        <v>#VALUE!</v>
      </c>
      <c r="AF74" t="e">
        <f>'Technical Skills Weighting'!B156+"`FU!$xu"</f>
        <v>#VALUE!</v>
      </c>
      <c r="AG74" t="e">
        <f>'Technical Skills Weighting'!B157+"`FU!$xv"</f>
        <v>#VALUE!</v>
      </c>
      <c r="AH74" t="e">
        <f>'Technical Skills Weighting'!B158+"`FU!$xw"</f>
        <v>#VALUE!</v>
      </c>
      <c r="AI74" t="e">
        <f>'Technical Skills Weighting'!B159+"`FU!$xx"</f>
        <v>#VALUE!</v>
      </c>
      <c r="AJ74" t="e">
        <f>'Technical Skills Weighting'!B160+"`FU!$xy"</f>
        <v>#VALUE!</v>
      </c>
      <c r="AK74" t="e">
        <f>'Technical Skills Weighting'!B161+"`FU!$xz"</f>
        <v>#VALUE!</v>
      </c>
      <c r="AL74" t="e">
        <f>'Technical Skills Weighting'!B162+"`FU!$x{"</f>
        <v>#VALUE!</v>
      </c>
      <c r="AM74" t="e">
        <f>'Technical Skills Weighting'!B163+"`FU!$x|"</f>
        <v>#VALUE!</v>
      </c>
      <c r="AN74" t="e">
        <f>'Technical Skills Weighting'!B164+"`FU!$x}"</f>
        <v>#VALUE!</v>
      </c>
      <c r="AO74" t="e">
        <f>'Technical Skills Weighting'!B165+"`FU!$x~"</f>
        <v>#VALUE!</v>
      </c>
      <c r="AP74" t="e">
        <f>'Technical Skills Weighting'!B166+"`FU!$y#"</f>
        <v>#VALUE!</v>
      </c>
      <c r="AQ74" t="e">
        <f>'Technical Skills Weighting'!B167+"`FU!$y$"</f>
        <v>#VALUE!</v>
      </c>
      <c r="AR74" t="e">
        <f>'Technical Skills Weighting'!B168+"`FU!$y%"</f>
        <v>#VALUE!</v>
      </c>
      <c r="AS74" t="e">
        <f>'Technical Skills Weighting'!B169+"`FU!$y&amp;"</f>
        <v>#VALUE!</v>
      </c>
      <c r="AT74" t="e">
        <f>'Technical Skills Weighting'!B170+"`FU!$y'"</f>
        <v>#VALUE!</v>
      </c>
      <c r="AU74" t="e">
        <f>'Technical Skills Weighting'!B171+"`FU!$y("</f>
        <v>#VALUE!</v>
      </c>
      <c r="AV74" t="e">
        <f>'Technical Skills Weighting'!B172+"`FU!$y)"</f>
        <v>#VALUE!</v>
      </c>
      <c r="AW74" t="e">
        <f>'Technical Skills Weighting'!B173+"`FU!$y."</f>
        <v>#VALUE!</v>
      </c>
      <c r="AX74" t="e">
        <f>'Technical Skills Weighting'!B174+"`FU!$y/"</f>
        <v>#VALUE!</v>
      </c>
      <c r="AY74" t="e">
        <f>'Technical Skills Weighting'!B175+"`FU!$y0"</f>
        <v>#VALUE!</v>
      </c>
      <c r="AZ74" t="e">
        <f>'Technical Skills Weighting'!B176+"`FU!$y1"</f>
        <v>#VALUE!</v>
      </c>
      <c r="BA74" t="e">
        <f>'Technical Skills Weighting'!B177+"`FU!$y2"</f>
        <v>#VALUE!</v>
      </c>
      <c r="BB74" t="e">
        <f>'Technical Skills Weighting'!B178+"`FU!$y3"</f>
        <v>#VALUE!</v>
      </c>
      <c r="BC74" t="e">
        <f>'Technical Skills Weighting'!B179+"`FU!$y4"</f>
        <v>#VALUE!</v>
      </c>
      <c r="BD74" t="e">
        <f>'Technical Skills Weighting'!B180+"`FU!$y5"</f>
        <v>#VALUE!</v>
      </c>
      <c r="BE74" t="e">
        <f>'Technical Skills Weighting'!B181+"`FU!$y6"</f>
        <v>#VALUE!</v>
      </c>
      <c r="BF74" t="e">
        <f>'Technical Skills Weighting'!B182+"`FU!$y7"</f>
        <v>#VALUE!</v>
      </c>
      <c r="BG74" t="e">
        <f>'Technical Skills Weighting'!B183+"`FU!$y8"</f>
        <v>#VALUE!</v>
      </c>
      <c r="BH74" t="e">
        <f>'Technical Skills Weighting'!B184+"`FU!$y9"</f>
        <v>#VALUE!</v>
      </c>
      <c r="BI74" t="e">
        <f>'Technical Skills Weighting'!B185+"`FU!$y:"</f>
        <v>#VALUE!</v>
      </c>
      <c r="BJ74" t="e">
        <f>'Technical Skills Weighting'!B186+"`FU!$y;"</f>
        <v>#VALUE!</v>
      </c>
      <c r="BK74" t="e">
        <f>'Technical Skills Weighting'!B187+"`FU!$y&lt;"</f>
        <v>#VALUE!</v>
      </c>
      <c r="BL74" t="e">
        <f>'Technical Skills Weighting'!B188+"`FU!$y="</f>
        <v>#VALUE!</v>
      </c>
      <c r="BM74" t="e">
        <f>'Technical Skills Weighting'!B189+"`FU!$y&gt;"</f>
        <v>#VALUE!</v>
      </c>
      <c r="BN74" t="e">
        <f>'Technical Skills Weighting'!B190+"`FU!$y?"</f>
        <v>#VALUE!</v>
      </c>
      <c r="BO74" t="e">
        <f>'Technical Skills Weighting'!B191+"`FU!$y@"</f>
        <v>#VALUE!</v>
      </c>
      <c r="BP74" t="e">
        <f>'Technical Skills Weighting'!B192+"`FU!$yA"</f>
        <v>#VALUE!</v>
      </c>
      <c r="BQ74" t="e">
        <f>'Technical Skills Weighting'!B193+"`FU!$yB"</f>
        <v>#VALUE!</v>
      </c>
      <c r="BR74" t="e">
        <f>'Technical Skills Weighting'!B194+"`FU!$yC"</f>
        <v>#VALUE!</v>
      </c>
      <c r="BS74" t="e">
        <f>'Technical Skills Weighting'!B195+"`FU!$yD"</f>
        <v>#VALUE!</v>
      </c>
      <c r="BT74" t="e">
        <f>'Technical Skills Weighting'!B196+"`FU!$yE"</f>
        <v>#VALUE!</v>
      </c>
      <c r="BU74" t="e">
        <f>'Technical Skills Weighting'!B197+"`FU!$yF"</f>
        <v>#VALUE!</v>
      </c>
      <c r="BV74" t="e">
        <f>'Technical Skills Weighting'!B198+"`FU!$yG"</f>
        <v>#VALUE!</v>
      </c>
      <c r="BW74" t="e">
        <f>'Technical Skills Weighting'!B199+"`FU!$yH"</f>
        <v>#VALUE!</v>
      </c>
      <c r="BX74" t="e">
        <f>'Technical Skills Weighting'!B200+"`FU!$yI"</f>
        <v>#VALUE!</v>
      </c>
      <c r="BY74" t="e">
        <f>'Technical Skills Weighting'!B201+"`FU!$yJ"</f>
        <v>#VALUE!</v>
      </c>
      <c r="BZ74" t="e">
        <f>'Technical Skills Weighting'!B202+"`FU!$yK"</f>
        <v>#VALUE!</v>
      </c>
      <c r="CA74" t="e">
        <f>'Technical Skills Weighting'!B203+"`FU!$yL"</f>
        <v>#VALUE!</v>
      </c>
      <c r="CB74" t="e">
        <f>'Technical Skills Weighting'!B204+"`FU!$yM"</f>
        <v>#VALUE!</v>
      </c>
      <c r="CC74" t="e">
        <f>'Technical Skills Weighting'!B205+"`FU!$yN"</f>
        <v>#VALUE!</v>
      </c>
      <c r="CD74" t="e">
        <f>'Technical Skills Weighting'!B206+"`FU!$yO"</f>
        <v>#VALUE!</v>
      </c>
      <c r="CE74" t="e">
        <f>'Technical Skills Weighting'!B207+"`FU!$yP"</f>
        <v>#VALUE!</v>
      </c>
      <c r="CF74" t="e">
        <f>'Technical Skills Weighting'!B208+"`FU!$yQ"</f>
        <v>#VALUE!</v>
      </c>
      <c r="CG74" t="e">
        <f>'Technical Skills Weighting'!B209+"`FU!$yR"</f>
        <v>#VALUE!</v>
      </c>
      <c r="CH74" t="e">
        <f>'Technical Skills Weighting'!B210+"`FU!$yS"</f>
        <v>#VALUE!</v>
      </c>
      <c r="CI74" t="e">
        <f>'Technical Skills Weighting'!B211+"`FU!$yT"</f>
        <v>#VALUE!</v>
      </c>
      <c r="CJ74" t="e">
        <f>'Technical Skills Weighting'!B212+"`FU!$yU"</f>
        <v>#VALUE!</v>
      </c>
      <c r="CK74" t="e">
        <f>'Technical Skills Weighting'!B213+"`FU!$yV"</f>
        <v>#VALUE!</v>
      </c>
      <c r="CL74" t="e">
        <f>'Technical Skills Weighting'!B214+"`FU!$yW"</f>
        <v>#VALUE!</v>
      </c>
      <c r="CM74" t="e">
        <f>'Technical Skills Weighting'!B215+"`FU!$yX"</f>
        <v>#VALUE!</v>
      </c>
      <c r="CN74" t="e">
        <f>'Technical Skills Weighting'!B216+"`FU!$yY"</f>
        <v>#VALUE!</v>
      </c>
      <c r="CO74" t="e">
        <f>'Technical Skills Weighting'!B217+"`FU!$yZ"</f>
        <v>#VALUE!</v>
      </c>
      <c r="CP74" t="e">
        <f>'Technical Skills Weighting'!B218+"`FU!$y["</f>
        <v>#VALUE!</v>
      </c>
      <c r="CQ74" t="e">
        <f>'Technical Skills Weighting'!B219+"`FU!$y\"</f>
        <v>#VALUE!</v>
      </c>
      <c r="CR74" t="e">
        <f>'Technical Skills Weighting'!B220+"`FU!$y]"</f>
        <v>#VALUE!</v>
      </c>
      <c r="CS74" t="e">
        <f>'Technical Skills Weighting'!B221+"`FU!$y^"</f>
        <v>#VALUE!</v>
      </c>
      <c r="CT74" t="e">
        <f>'Technical Skills Weighting'!B222+"`FU!$y_"</f>
        <v>#VALUE!</v>
      </c>
      <c r="CU74" t="e">
        <f>'Technical Skills Weighting'!B223+"`FU!$y`"</f>
        <v>#VALUE!</v>
      </c>
      <c r="CV74" t="e">
        <f>'Technical Skills Weighting'!B224+"`FU!$ya"</f>
        <v>#VALUE!</v>
      </c>
      <c r="CW74" t="e">
        <f>'Technical Skills Weighting'!B225+"`FU!$yb"</f>
        <v>#VALUE!</v>
      </c>
      <c r="CX74" t="e">
        <f>'Technical Skills Weighting'!B226+"`FU!$yc"</f>
        <v>#VALUE!</v>
      </c>
      <c r="CY74" t="e">
        <f>'Technical Skills Weighting'!B227+"`FU!$yd"</f>
        <v>#VALUE!</v>
      </c>
      <c r="CZ74" t="e">
        <f>'Technical Skills Weighting'!B228+"`FU!$ye"</f>
        <v>#VALUE!</v>
      </c>
      <c r="DA74" t="e">
        <f>'Technical Skills Weighting'!B229+"`FU!$yf"</f>
        <v>#VALUE!</v>
      </c>
      <c r="DB74" t="e">
        <f>'Technical Skills Weighting'!B230+"`FU!$yg"</f>
        <v>#VALUE!</v>
      </c>
      <c r="DC74" t="e">
        <f>'Technical Skills Weighting'!B231+"`FU!$yh"</f>
        <v>#VALUE!</v>
      </c>
      <c r="DD74" t="e">
        <f>'Technical Skills Weighting'!B232+"`FU!$yi"</f>
        <v>#VALUE!</v>
      </c>
      <c r="DE74" t="e">
        <f>'Technical Skills Weighting'!B233+"`FU!$yj"</f>
        <v>#VALUE!</v>
      </c>
      <c r="DF74" t="e">
        <f>'Technical Skills Weighting'!B234+"`FU!$yk"</f>
        <v>#VALUE!</v>
      </c>
      <c r="DG74" t="e">
        <f>'Technical Skills Weighting'!B235+"`FU!$yl"</f>
        <v>#VALUE!</v>
      </c>
      <c r="DH74" t="e">
        <f>'Technical Skills Weighting'!B236+"`FU!$ym"</f>
        <v>#VALUE!</v>
      </c>
      <c r="DI74" t="e">
        <f>'Technical Skills Weighting'!B237+"`FU!$yn"</f>
        <v>#VALUE!</v>
      </c>
      <c r="DJ74" t="e">
        <f>'Technical Skills Weighting'!B238+"`FU!$yo"</f>
        <v>#VALUE!</v>
      </c>
      <c r="DK74" t="e">
        <f>'Technical Skills Weighting'!B239+"`FU!$yp"</f>
        <v>#VALUE!</v>
      </c>
      <c r="DL74" t="e">
        <f>'Technical Skills Weighting'!B240+"`FU!$yq"</f>
        <v>#VALUE!</v>
      </c>
      <c r="DM74" t="e">
        <f>'Technical Skills Weighting'!B241+"`FU!$yr"</f>
        <v>#VALUE!</v>
      </c>
      <c r="DN74" t="e">
        <f>'Technical Skills Weighting'!B242+"`FU!$ys"</f>
        <v>#VALUE!</v>
      </c>
      <c r="DO74" t="e">
        <f>'Technical Skills Weighting'!B243+"`FU!$yt"</f>
        <v>#VALUE!</v>
      </c>
      <c r="DP74" t="e">
        <f>'Technical Skills Weighting'!B244+"`FU!$yu"</f>
        <v>#VALUE!</v>
      </c>
      <c r="DQ74" t="e">
        <f>'Technical Skills Weighting'!B245+"`FU!$yv"</f>
        <v>#VALUE!</v>
      </c>
      <c r="DR74" t="e">
        <f>'Technical Skills Weighting'!B246+"`FU!$yw"</f>
        <v>#VALUE!</v>
      </c>
      <c r="DS74" t="e">
        <f>'Technical Skills Weighting'!B247+"`FU!$yx"</f>
        <v>#VALUE!</v>
      </c>
      <c r="DT74" t="e">
        <f>'Technical Skills Weighting'!B248+"`FU!$yy"</f>
        <v>#VALUE!</v>
      </c>
      <c r="DU74" t="e">
        <f>'Technical Skills Weighting'!B249+"`FU!$yz"</f>
        <v>#VALUE!</v>
      </c>
      <c r="DV74" t="e">
        <f>'Technical Skills Weighting'!B250+"`FU!$y{"</f>
        <v>#VALUE!</v>
      </c>
      <c r="DW74" t="e">
        <f>'Technical Skills Weighting'!B251+"`FU!$y|"</f>
        <v>#VALUE!</v>
      </c>
      <c r="DX74" t="e">
        <f>'Technical Skills Weighting'!B252+"`FU!$y}"</f>
        <v>#VALUE!</v>
      </c>
      <c r="DY74" t="e">
        <f>'Technical Skills Weighting'!B253+"`FU!$y~"</f>
        <v>#VALUE!</v>
      </c>
      <c r="DZ74" t="e">
        <f>'Technical Skills Weighting'!B254+"`FU!$z#"</f>
        <v>#VALUE!</v>
      </c>
      <c r="EA74" t="e">
        <f>'Technical Skills Weighting'!B255+"`FU!$z$"</f>
        <v>#VALUE!</v>
      </c>
      <c r="EB74" t="e">
        <f>'Technical Skills Weighting'!B256+"`FU!$z%"</f>
        <v>#VALUE!</v>
      </c>
      <c r="EC74" t="e">
        <f>'Technical Skills Weighting'!B257+"`FU!$z&amp;"</f>
        <v>#VALUE!</v>
      </c>
      <c r="ED74" t="e">
        <f>'Technical Skills Weighting'!B258+"`FU!$z'"</f>
        <v>#VALUE!</v>
      </c>
      <c r="EE74" t="e">
        <f>'Technical Skills Weighting'!B259+"`FU!$z("</f>
        <v>#VALUE!</v>
      </c>
      <c r="EF74" t="e">
        <f>'Technical Skills Weighting'!B260+"`FU!$z)"</f>
        <v>#VALUE!</v>
      </c>
      <c r="EG74" t="e">
        <f>'Technical Skills Weighting'!B261+"`FU!$z."</f>
        <v>#VALUE!</v>
      </c>
      <c r="EH74" t="e">
        <f>'Technical Skills Weighting'!B262+"`FU!$z/"</f>
        <v>#VALUE!</v>
      </c>
      <c r="EI74" t="e">
        <f>'Technical Skills Weighting'!B263+"`FU!$z0"</f>
        <v>#VALUE!</v>
      </c>
      <c r="EJ74" t="e">
        <f>'Technical Skills Weighting'!B264+"`FU!$z1"</f>
        <v>#VALUE!</v>
      </c>
      <c r="EK74" t="e">
        <f>'Technical Skills Weighting'!B265+"`FU!$z2"</f>
        <v>#VALUE!</v>
      </c>
      <c r="EL74" t="e">
        <f>'Technical Skills Weighting'!B266+"`FU!$z3"</f>
        <v>#VALUE!</v>
      </c>
      <c r="EM74" t="e">
        <f>'Technical Skills Weighting'!B267+"`FU!$z4"</f>
        <v>#VALUE!</v>
      </c>
      <c r="EN74" t="e">
        <f>'Technical Skills Weighting'!B268+"`FU!$z5"</f>
        <v>#VALUE!</v>
      </c>
      <c r="EO74" t="e">
        <f>'Technical Skills Weighting'!B269+"`FU!$z6"</f>
        <v>#VALUE!</v>
      </c>
      <c r="EP74" t="e">
        <f>'Technical Skills Weighting'!B270+"`FU!$z7"</f>
        <v>#VALUE!</v>
      </c>
      <c r="EQ74" t="e">
        <f>'Technical Skills Weighting'!B271+"`FU!$z8"</f>
        <v>#VALUE!</v>
      </c>
      <c r="ER74" t="e">
        <f>'Technical Skills Weighting'!B272+"`FU!$z9"</f>
        <v>#VALUE!</v>
      </c>
      <c r="ES74" t="e">
        <f>'Technical Skills Weighting'!B273+"`FU!$z:"</f>
        <v>#VALUE!</v>
      </c>
      <c r="ET74" t="e">
        <f>'Technical Skills Weighting'!B274+"`FU!$z;"</f>
        <v>#VALUE!</v>
      </c>
      <c r="EU74" t="e">
        <f>'Technical Skills Weighting'!B275+"`FU!$z&lt;"</f>
        <v>#VALUE!</v>
      </c>
      <c r="EV74" t="e">
        <f>'Technical Skills Weighting'!B276+"`FU!$z="</f>
        <v>#VALUE!</v>
      </c>
      <c r="EW74" t="e">
        <f>'Technical Skills Weighting'!B277+"`FU!$z&gt;"</f>
        <v>#VALUE!</v>
      </c>
      <c r="EX74" t="e">
        <f>'Technical Skills Weighting'!B278+"`FU!$z?"</f>
        <v>#VALUE!</v>
      </c>
      <c r="EY74" t="e">
        <f>'Technical Skills Weighting'!B279+"`FU!$z@"</f>
        <v>#VALUE!</v>
      </c>
      <c r="EZ74" t="e">
        <f>'Technical Skills Weighting'!B280+"`FU!$zA"</f>
        <v>#VALUE!</v>
      </c>
      <c r="FA74" t="e">
        <f>'Technical Skills Weighting'!B281+"`FU!$zB"</f>
        <v>#VALUE!</v>
      </c>
      <c r="FB74" t="e">
        <f>'Technical Skills Weighting'!B282+"`FU!$zC"</f>
        <v>#VALUE!</v>
      </c>
      <c r="FC74" t="e">
        <f>'Technical Skills Weighting'!B283+"`FU!$zD"</f>
        <v>#VALUE!</v>
      </c>
      <c r="FD74" t="e">
        <f>'Technical Skills Weighting'!B284+"`FU!$zE"</f>
        <v>#VALUE!</v>
      </c>
      <c r="FE74" t="e">
        <f>'Technical Skills Weighting'!B285+"`FU!$zF"</f>
        <v>#VALUE!</v>
      </c>
      <c r="FF74" t="e">
        <f>'Technical Skills Weighting'!B286+"`FU!$zG"</f>
        <v>#VALUE!</v>
      </c>
      <c r="FG74" t="e">
        <f>'Technical Skills Weighting'!B287+"`FU!$zH"</f>
        <v>#VALUE!</v>
      </c>
      <c r="FH74" t="e">
        <f>'Technical Skills Weighting'!B288+"`FU!$zI"</f>
        <v>#VALUE!</v>
      </c>
      <c r="FI74" t="e">
        <f>'Technical Skills Weighting'!B289+"`FU!$zJ"</f>
        <v>#VALUE!</v>
      </c>
      <c r="FJ74" t="e">
        <f>'Technical Skills Weighting'!B290+"`FU!$zK"</f>
        <v>#VALUE!</v>
      </c>
      <c r="FK74" t="e">
        <f>'Technical Skills Weighting'!B291+"`FU!$zL"</f>
        <v>#VALUE!</v>
      </c>
      <c r="FL74" t="e">
        <f>'Technical Skills Weighting'!B292+"`FU!$zM"</f>
        <v>#VALUE!</v>
      </c>
      <c r="FM74" t="e">
        <f>'Technical Skills Weighting'!B293+"`FU!$zN"</f>
        <v>#VALUE!</v>
      </c>
      <c r="FN74" t="e">
        <f>'Technical Skills Weighting'!B294+"`FU!$zO"</f>
        <v>#VALUE!</v>
      </c>
      <c r="FO74" t="e">
        <f>'Technical Skills Weighting'!B295+"`FU!$zP"</f>
        <v>#VALUE!</v>
      </c>
      <c r="FP74" t="e">
        <f>'Technical Skills Weighting'!B296+"`FU!$zQ"</f>
        <v>#VALUE!</v>
      </c>
      <c r="FQ74" t="e">
        <f>'Technical Skills Weighting'!B297+"`FU!$zR"</f>
        <v>#VALUE!</v>
      </c>
      <c r="FR74" t="e">
        <f>'Technical Skills Weighting'!B298+"`FU!$zS"</f>
        <v>#VALUE!</v>
      </c>
      <c r="FS74" t="e">
        <f>'Technical Skills Weighting'!B299+"`FU!$zT"</f>
        <v>#VALUE!</v>
      </c>
      <c r="FT74" t="e">
        <f>'Technical Skills Weighting'!B300+"`FU!$zU"</f>
        <v>#VALUE!</v>
      </c>
      <c r="FU74" t="e">
        <f>'Technical Skills Weighting'!B301+"`FU!$zV"</f>
        <v>#VALUE!</v>
      </c>
      <c r="FV74" t="e">
        <f>'Technical Skills Weighting'!B302+"`FU!$zW"</f>
        <v>#VALUE!</v>
      </c>
      <c r="FW74" t="e">
        <f>'Technical Skills Weighting'!B303+"`FU!$zX"</f>
        <v>#VALUE!</v>
      </c>
      <c r="FX74" t="e">
        <f>'Technical Skills Weighting'!B304+"`FU!$zY"</f>
        <v>#VALUE!</v>
      </c>
      <c r="FY74" t="e">
        <f>'Technical Skills Weighting'!B305+"`FU!$zZ"</f>
        <v>#VALUE!</v>
      </c>
      <c r="FZ74" t="e">
        <f>'Technical Skills Weighting'!B306+"`FU!$z["</f>
        <v>#VALUE!</v>
      </c>
      <c r="GA74" t="e">
        <f>'Technical Skills Weighting'!B307+"`FU!$z\"</f>
        <v>#VALUE!</v>
      </c>
      <c r="GB74" t="e">
        <f>'Technical Skills Weighting'!B308+"`FU!$z]"</f>
        <v>#VALUE!</v>
      </c>
      <c r="GC74" t="e">
        <f>'Technical Skills Weighting'!B309+"`FU!$z^"</f>
        <v>#VALUE!</v>
      </c>
      <c r="GD74" t="e">
        <f>'Technical Skills Weighting'!B310+"`FU!$z_"</f>
        <v>#VALUE!</v>
      </c>
      <c r="GE74" t="e">
        <f>'Technical Skills Weighting'!B311+"`FU!$z`"</f>
        <v>#VALUE!</v>
      </c>
      <c r="GF74" t="e">
        <f>'Technical Skills Weighting'!B312+"`FU!$za"</f>
        <v>#VALUE!</v>
      </c>
      <c r="GG74" t="e">
        <f>'Technical Skills Weighting'!B313+"`FU!$zb"</f>
        <v>#VALUE!</v>
      </c>
      <c r="GH74" t="e">
        <f>'Technical Skills Weighting'!B314+"`FU!$zc"</f>
        <v>#VALUE!</v>
      </c>
      <c r="GI74" t="e">
        <f>'Technical Skills Weighting'!B315+"`FU!$zd"</f>
        <v>#VALUE!</v>
      </c>
      <c r="GJ74" t="e">
        <f>'Technical Skills Weighting'!B316+"`FU!$ze"</f>
        <v>#VALUE!</v>
      </c>
      <c r="GK74" t="e">
        <f>'Technical Skills Weighting'!B317+"`FU!$zf"</f>
        <v>#VALUE!</v>
      </c>
      <c r="GL74" t="e">
        <f>'Technical Skills Weighting'!B318+"`FU!$zg"</f>
        <v>#VALUE!</v>
      </c>
      <c r="GM74" t="e">
        <f>'Technical Skills Weighting'!B319+"`FU!$zh"</f>
        <v>#VALUE!</v>
      </c>
      <c r="GN74" t="e">
        <f>'Technical Skills Weighting'!B320+"`FU!$zi"</f>
        <v>#VALUE!</v>
      </c>
      <c r="GO74" t="e">
        <f>'Technical Skills Weighting'!B321+"`FU!$zj"</f>
        <v>#VALUE!</v>
      </c>
      <c r="GP74" t="e">
        <f>'Technical Skills Weighting'!B322+"`FU!$zk"</f>
        <v>#VALUE!</v>
      </c>
      <c r="GQ74" t="e">
        <f>'Technical Skills Weighting'!B323+"`FU!$zl"</f>
        <v>#VALUE!</v>
      </c>
      <c r="GR74" t="e">
        <f>'Technical Skills Weighting'!B324+"`FU!$zm"</f>
        <v>#VALUE!</v>
      </c>
      <c r="GS74" t="e">
        <f>'Technical Skills Weighting'!B325+"`FU!$zn"</f>
        <v>#VALUE!</v>
      </c>
      <c r="GT74" t="e">
        <f>'Technical Skills Weighting'!B326+"`FU!$zo"</f>
        <v>#VALUE!</v>
      </c>
      <c r="GU74" t="e">
        <f>'Technical Skills Weighting'!B327+"`FU!$zp"</f>
        <v>#VALUE!</v>
      </c>
      <c r="GV74" t="e">
        <f>'Technical Skills Weighting'!B328+"`FU!$zq"</f>
        <v>#VALUE!</v>
      </c>
      <c r="GW74" t="e">
        <f>'Technical Skills Weighting'!B329+"`FU!$zr"</f>
        <v>#VALUE!</v>
      </c>
      <c r="GX74" t="e">
        <f>'Technical Skills Weighting'!B330+"`FU!$zs"</f>
        <v>#VALUE!</v>
      </c>
      <c r="GY74" t="e">
        <f>'Technical Skills Weighting'!B331+"`FU!$zt"</f>
        <v>#VALUE!</v>
      </c>
      <c r="GZ74" t="e">
        <f>'Technical Skills Weighting'!B332+"`FU!$zu"</f>
        <v>#VALUE!</v>
      </c>
      <c r="HA74" t="e">
        <f>'Technical Skills Weighting'!B333+"`FU!$zv"</f>
        <v>#VALUE!</v>
      </c>
      <c r="HB74" t="e">
        <f>'Technical Skills Weighting'!B334+"`FU!$zw"</f>
        <v>#VALUE!</v>
      </c>
      <c r="HC74" t="e">
        <f>'Technical Skills Weighting'!B335+"`FU!$zx"</f>
        <v>#VALUE!</v>
      </c>
      <c r="HD74" t="e">
        <f>'Technical Skills Weighting'!B336+"`FU!$zy"</f>
        <v>#VALUE!</v>
      </c>
      <c r="HE74" t="e">
        <f>'Technical Skills Weighting'!B337+"`FU!$zz"</f>
        <v>#VALUE!</v>
      </c>
      <c r="HF74" t="e">
        <f>'Technical Skills Weighting'!B338+"`FU!$z{"</f>
        <v>#VALUE!</v>
      </c>
      <c r="HG74" t="e">
        <f>'Technical Skills Weighting'!B339+"`FU!$z|"</f>
        <v>#VALUE!</v>
      </c>
      <c r="HH74" t="e">
        <f>'Technical Skills Weighting'!B340+"`FU!$z}"</f>
        <v>#VALUE!</v>
      </c>
      <c r="HI74" t="e">
        <f>'Technical Skills Weighting'!B341+"`FU!$z~"</f>
        <v>#VALUE!</v>
      </c>
      <c r="HJ74" t="e">
        <f>'Technical Skills Weighting'!B342+"`FU!${#"</f>
        <v>#VALUE!</v>
      </c>
      <c r="HK74" t="e">
        <f>'Technical Skills Weighting'!B343+"`FU!${$"</f>
        <v>#VALUE!</v>
      </c>
      <c r="HL74" t="e">
        <f>'Technical Skills Weighting'!B344+"`FU!${%"</f>
        <v>#VALUE!</v>
      </c>
      <c r="HM74" t="e">
        <f>'Technical Skills Weighting'!B345+"`FU!${&amp;"</f>
        <v>#VALUE!</v>
      </c>
      <c r="HN74" t="e">
        <f>'Technical Skills Weighting'!B346+"`FU!${'"</f>
        <v>#VALUE!</v>
      </c>
      <c r="HO74" t="e">
        <f>'Technical Skills Weighting'!B347+"`FU!${("</f>
        <v>#VALUE!</v>
      </c>
      <c r="HP74" t="e">
        <f>'Technical Skills Weighting'!B348+"`FU!${)"</f>
        <v>#VALUE!</v>
      </c>
      <c r="HQ74" t="e">
        <f>'Technical Skills Weighting'!B349+"`FU!${."</f>
        <v>#VALUE!</v>
      </c>
      <c r="HR74" t="e">
        <f>'Technical Skills Weighting'!B350+"`FU!${/"</f>
        <v>#VALUE!</v>
      </c>
      <c r="HS74" t="e">
        <f>'Technical Skills Weighting'!B351+"`FU!${0"</f>
        <v>#VALUE!</v>
      </c>
      <c r="HT74" t="e">
        <f>'Technical Skills Weighting'!B352+"`FU!${1"</f>
        <v>#VALUE!</v>
      </c>
      <c r="HU74" t="e">
        <f>'Technical Skills Weighting'!B353+"`FU!${2"</f>
        <v>#VALUE!</v>
      </c>
      <c r="HV74" t="e">
        <f>'Technical Skills Weighting'!B354+"`FU!${3"</f>
        <v>#VALUE!</v>
      </c>
      <c r="HW74" t="e">
        <f>'Technical Skills Weighting'!B355+"`FU!${4"</f>
        <v>#VALUE!</v>
      </c>
      <c r="HX74" t="e">
        <f>'Technical Skills Weighting'!B356+"`FU!${5"</f>
        <v>#VALUE!</v>
      </c>
      <c r="HY74" t="e">
        <f>'Technical Skills Weighting'!B357+"`FU!${6"</f>
        <v>#VALUE!</v>
      </c>
      <c r="HZ74" t="e">
        <f>'Technical Skills Weighting'!B358+"`FU!${7"</f>
        <v>#VALUE!</v>
      </c>
      <c r="IA74" t="e">
        <f>'Technical Skills Weighting'!B359+"`FU!${8"</f>
        <v>#VALUE!</v>
      </c>
      <c r="IB74" t="e">
        <f>'Technical Skills Weighting'!B360+"`FU!${9"</f>
        <v>#VALUE!</v>
      </c>
      <c r="IC74" t="e">
        <f>'Technical Skills Weighting'!B361+"`FU!${:"</f>
        <v>#VALUE!</v>
      </c>
      <c r="ID74" t="e">
        <f>'Technical Skills Weighting'!B362+"`FU!${;"</f>
        <v>#VALUE!</v>
      </c>
      <c r="IE74" t="e">
        <f>'Technical Skills Weighting'!B363+"`FU!${&lt;"</f>
        <v>#VALUE!</v>
      </c>
      <c r="IF74" t="e">
        <f>'Technical Skills Weighting'!B364+"`FU!${="</f>
        <v>#VALUE!</v>
      </c>
      <c r="IG74" t="e">
        <f>'Technical Skills Weighting'!B365+"`FU!${&gt;"</f>
        <v>#VALUE!</v>
      </c>
      <c r="IH74" t="e">
        <f>'Technical Skills Weighting'!B366+"`FU!${?"</f>
        <v>#VALUE!</v>
      </c>
      <c r="II74" t="e">
        <f>'Technical Skills Weighting'!B367+"`FU!${@"</f>
        <v>#VALUE!</v>
      </c>
      <c r="IJ74" t="e">
        <f>'Technical Skills Weighting'!B368+"`FU!${A"</f>
        <v>#VALUE!</v>
      </c>
      <c r="IK74" t="e">
        <f>'Technical Skills Weighting'!B369+"`FU!${B"</f>
        <v>#VALUE!</v>
      </c>
      <c r="IL74" t="e">
        <f>'Technical Skills Weighting'!B370+"`FU!${C"</f>
        <v>#VALUE!</v>
      </c>
      <c r="IM74" t="e">
        <f>'Technical Skills Weighting'!B371+"`FU!${D"</f>
        <v>#VALUE!</v>
      </c>
      <c r="IN74" t="e">
        <f>'Technical Skills Weighting'!B372+"`FU!${E"</f>
        <v>#VALUE!</v>
      </c>
      <c r="IO74" t="e">
        <f>'Technical Skills Weighting'!B373+"`FU!${F"</f>
        <v>#VALUE!</v>
      </c>
      <c r="IP74" t="e">
        <f>'Technical Skills Weighting'!B374+"`FU!${G"</f>
        <v>#VALUE!</v>
      </c>
      <c r="IQ74" t="e">
        <f>'Technical Skills Weighting'!B375+"`FU!${H"</f>
        <v>#VALUE!</v>
      </c>
      <c r="IR74" t="e">
        <f>'Technical Skills Weighting'!B376+"`FU!${I"</f>
        <v>#VALUE!</v>
      </c>
      <c r="IS74" t="e">
        <f>'Technical Skills Weighting'!B377+"`FU!${J"</f>
        <v>#VALUE!</v>
      </c>
      <c r="IT74" t="e">
        <f>'Technical Skills Weighting'!B378+"`FU!${K"</f>
        <v>#VALUE!</v>
      </c>
      <c r="IU74" t="e">
        <f>'Technical Skills Weighting'!B379+"`FU!${L"</f>
        <v>#VALUE!</v>
      </c>
      <c r="IV74" t="e">
        <f>'Technical Skills Weighting'!B380+"`FU!${M"</f>
        <v>#VALUE!</v>
      </c>
    </row>
    <row r="75" spans="6:256" x14ac:dyDescent="0.25">
      <c r="F75" t="e">
        <f>'Technical Skills Weighting'!B381+"`FU!${N"</f>
        <v>#VALUE!</v>
      </c>
      <c r="G75" t="e">
        <f>'Technical Skills Weighting'!B382+"`FU!${O"</f>
        <v>#VALUE!</v>
      </c>
      <c r="H75" t="e">
        <f>'Technical Skills Weighting'!B383+"`FU!${P"</f>
        <v>#VALUE!</v>
      </c>
      <c r="I75" t="e">
        <f>'Technical Skills Weighting'!B384+"`FU!${Q"</f>
        <v>#VALUE!</v>
      </c>
      <c r="J75" t="e">
        <f>'Technical Skills Weighting'!B385+"`FU!${R"</f>
        <v>#VALUE!</v>
      </c>
      <c r="K75" t="e">
        <f>'Technical Skills Weighting'!B386+"`FU!${S"</f>
        <v>#VALUE!</v>
      </c>
      <c r="L75" t="e">
        <f>'Technical Skills Weighting'!B387+"`FU!${T"</f>
        <v>#VALUE!</v>
      </c>
      <c r="M75" t="e">
        <f>'Technical Skills Weighting'!B388+"`FU!${U"</f>
        <v>#VALUE!</v>
      </c>
      <c r="N75" t="e">
        <f>'Technical Skills Weighting'!B389+"`FU!${V"</f>
        <v>#VALUE!</v>
      </c>
      <c r="O75" t="e">
        <f>'Technical Skills Weighting'!B390+"`FU!${W"</f>
        <v>#VALUE!</v>
      </c>
      <c r="P75" t="e">
        <f>'Technical Skills Weighting'!B391+"`FU!${X"</f>
        <v>#VALUE!</v>
      </c>
      <c r="Q75" t="e">
        <f>'Technical Skills Weighting'!B392+"`FU!${Y"</f>
        <v>#VALUE!</v>
      </c>
      <c r="R75" t="e">
        <f>'Technical Skills Weighting'!B393+"`FU!${Z"</f>
        <v>#VALUE!</v>
      </c>
      <c r="S75" t="e">
        <f>'Technical Skills Weighting'!B394+"`FU!${["</f>
        <v>#VALUE!</v>
      </c>
      <c r="T75" t="e">
        <f>'Technical Skills Weighting'!B395+"`FU!${\"</f>
        <v>#VALUE!</v>
      </c>
      <c r="U75" t="e">
        <f>'Technical Skills Weighting'!B396+"`FU!${]"</f>
        <v>#VALUE!</v>
      </c>
      <c r="V75" t="e">
        <f>'Technical Skills Weighting'!B397+"`FU!${^"</f>
        <v>#VALUE!</v>
      </c>
      <c r="W75" t="e">
        <f>'Technical Skills Weighting'!B398+"`FU!${_"</f>
        <v>#VALUE!</v>
      </c>
      <c r="X75" t="e">
        <f>'Technical Skills Weighting'!B399+"`FU!${`"</f>
        <v>#VALUE!</v>
      </c>
      <c r="Y75" t="e">
        <f>'Technical Skills Weighting'!B400+"`FU!${a"</f>
        <v>#VALUE!</v>
      </c>
      <c r="Z75" t="e">
        <f>'Technical Skills Weighting'!B401+"`FU!${b"</f>
        <v>#VALUE!</v>
      </c>
      <c r="AA75" t="e">
        <f>'Technical Skills Weighting'!B402+"`FU!${c"</f>
        <v>#VALUE!</v>
      </c>
      <c r="AB75" t="e">
        <f>'Technical Skills Weighting'!B403+"`FU!${d"</f>
        <v>#VALUE!</v>
      </c>
      <c r="AC75" t="e">
        <f>'Technical Skills Weighting'!B404+"`FU!${e"</f>
        <v>#VALUE!</v>
      </c>
      <c r="AD75" t="e">
        <f>'Technical Skills Weighting'!B405+"`FU!${f"</f>
        <v>#VALUE!</v>
      </c>
      <c r="AE75" t="e">
        <f>'Technical Skills Weighting'!B406+"`FU!${g"</f>
        <v>#VALUE!</v>
      </c>
      <c r="AF75" t="e">
        <f>'Technical Skills Weighting'!B407+"`FU!${h"</f>
        <v>#VALUE!</v>
      </c>
      <c r="AG75" t="e">
        <f>'Technical Skills Weighting'!B408+"`FU!${i"</f>
        <v>#VALUE!</v>
      </c>
      <c r="AH75" t="e">
        <f>'Technical Skills Weighting'!B409+"`FU!${j"</f>
        <v>#VALUE!</v>
      </c>
      <c r="AI75" t="e">
        <f>'Technical Skills Weighting'!B410+"`FU!${k"</f>
        <v>#VALUE!</v>
      </c>
      <c r="AJ75" t="e">
        <f>'Technical Skills Weighting'!B411+"`FU!${l"</f>
        <v>#VALUE!</v>
      </c>
      <c r="AK75" t="e">
        <f>'Technical Skills Weighting'!B412+"`FU!${m"</f>
        <v>#VALUE!</v>
      </c>
      <c r="AL75" t="e">
        <f>'Technical Skills Weighting'!B413+"`FU!${n"</f>
        <v>#VALUE!</v>
      </c>
      <c r="AM75" t="e">
        <f>'Technical Skills Weighting'!B414+"`FU!${o"</f>
        <v>#VALUE!</v>
      </c>
      <c r="AN75" t="e">
        <f>'Technical Skills Weighting'!B415+"`FU!${p"</f>
        <v>#VALUE!</v>
      </c>
      <c r="AO75" t="e">
        <f>'Technical Skills Weighting'!B416+"`FU!${q"</f>
        <v>#VALUE!</v>
      </c>
      <c r="AP75" t="e">
        <f>'Technical Skills Weighting'!B417+"`FU!${r"</f>
        <v>#VALUE!</v>
      </c>
      <c r="AQ75" t="e">
        <f>'Technical Skills Weighting'!B418+"`FU!${s"</f>
        <v>#VALUE!</v>
      </c>
      <c r="AR75" t="e">
        <f>'Technical Skills Weighting'!B419+"`FU!${t"</f>
        <v>#VALUE!</v>
      </c>
      <c r="AS75" t="e">
        <f>'Technical Skills Weighting'!B420+"`FU!${u"</f>
        <v>#VALUE!</v>
      </c>
      <c r="AT75" t="e">
        <f>'Technical Skills Weighting'!B421+"`FU!${v"</f>
        <v>#VALUE!</v>
      </c>
      <c r="AU75" t="e">
        <f>'Technical Skills Weighting'!B422+"`FU!${w"</f>
        <v>#VALUE!</v>
      </c>
      <c r="AV75" t="e">
        <f>'Technical Skills Weighting'!B423+"`FU!${x"</f>
        <v>#VALUE!</v>
      </c>
      <c r="AW75" t="e">
        <f>'Technical Skills Weighting'!B424+"`FU!${y"</f>
        <v>#VALUE!</v>
      </c>
      <c r="AX75" t="e">
        <f>'Technical Skills Weighting'!B425+"`FU!${z"</f>
        <v>#VALUE!</v>
      </c>
      <c r="AY75" t="e">
        <f>'Technical Skills Weighting'!B426+"`FU!${{"</f>
        <v>#VALUE!</v>
      </c>
      <c r="AZ75" t="e">
        <f>'Technical Skills Weighting'!B427+"`FU!${|"</f>
        <v>#VALUE!</v>
      </c>
      <c r="BA75" t="e">
        <f>'Technical Skills Weighting'!B428+"`FU!${}"</f>
        <v>#VALUE!</v>
      </c>
      <c r="BB75" t="e">
        <f>'Technical Skills Weighting'!B429+"`FU!${~"</f>
        <v>#VALUE!</v>
      </c>
      <c r="BC75" t="e">
        <f>'Technical Skills Weighting'!B430+"`FU!$|#"</f>
        <v>#VALUE!</v>
      </c>
      <c r="BD75" t="e">
        <f>'Technical Skills Weighting'!B431+"`FU!$|$"</f>
        <v>#VALUE!</v>
      </c>
      <c r="BE75" t="e">
        <f>'Technical Skills Weighting'!B432+"`FU!$|%"</f>
        <v>#VALUE!</v>
      </c>
      <c r="BF75" t="e">
        <f>'Technical Skills Weighting'!B433+"`FU!$|&amp;"</f>
        <v>#VALUE!</v>
      </c>
      <c r="BG75" t="e">
        <f>'Technical Skills Weighting'!B434+"`FU!$|'"</f>
        <v>#VALUE!</v>
      </c>
      <c r="BH75" t="e">
        <f>'Technical Skills Weighting'!B435+"`FU!$|("</f>
        <v>#VALUE!</v>
      </c>
      <c r="BI75" t="e">
        <f>'Technical Skills Weighting'!B436+"`FU!$|)"</f>
        <v>#VALUE!</v>
      </c>
      <c r="BJ75" t="e">
        <f>'Technical Skills Weighting'!B437+"`FU!$|."</f>
        <v>#VALUE!</v>
      </c>
      <c r="BK75" t="e">
        <f>'Technical Skills Weighting'!B438+"`FU!$|/"</f>
        <v>#VALUE!</v>
      </c>
      <c r="BL75" t="e">
        <f>'Technical Skills Weighting'!B439+"`FU!$|0"</f>
        <v>#VALUE!</v>
      </c>
      <c r="BM75" t="e">
        <f>'Technical Skills Weighting'!B440+"`FU!$|1"</f>
        <v>#VALUE!</v>
      </c>
      <c r="BN75" t="e">
        <f>'Technical Skills Weighting'!B441+"`FU!$|2"</f>
        <v>#VALUE!</v>
      </c>
      <c r="BO75" t="e">
        <f>'Technical Skills Weighting'!B442+"`FU!$|3"</f>
        <v>#VALUE!</v>
      </c>
      <c r="BP75" t="e">
        <f>'Technical Skills Weighting'!B443+"`FU!$|4"</f>
        <v>#VALUE!</v>
      </c>
      <c r="BQ75" t="e">
        <f>'Technical Skills Weighting'!B444+"`FU!$|5"</f>
        <v>#VALUE!</v>
      </c>
      <c r="BR75" t="e">
        <f>'Technical Skills Weighting'!B445+"`FU!$|6"</f>
        <v>#VALUE!</v>
      </c>
      <c r="BS75" t="e">
        <f>'Technical Skills Weighting'!B446+"`FU!$|7"</f>
        <v>#VALUE!</v>
      </c>
      <c r="BT75" t="e">
        <f>'Technical Skills Weighting'!B447+"`FU!$|8"</f>
        <v>#VALUE!</v>
      </c>
      <c r="BU75" t="e">
        <f>'Technical Skills Weighting'!B448+"`FU!$|9"</f>
        <v>#VALUE!</v>
      </c>
      <c r="BV75" t="e">
        <f>'Technical Skills Weighting'!B449+"`FU!$|:"</f>
        <v>#VALUE!</v>
      </c>
      <c r="BW75" t="e">
        <f>'Technical Skills Weighting'!B450+"`FU!$|;"</f>
        <v>#VALUE!</v>
      </c>
      <c r="BX75" t="e">
        <f>'Technical Skills Weighting'!B451+"`FU!$|&lt;"</f>
        <v>#VALUE!</v>
      </c>
      <c r="BY75" t="e">
        <f>'Technical Skills Weighting'!B452+"`FU!$|="</f>
        <v>#VALUE!</v>
      </c>
      <c r="BZ75" t="e">
        <f>'Technical Skills Weighting'!B453+"`FU!$|&gt;"</f>
        <v>#VALUE!</v>
      </c>
      <c r="CA75" t="e">
        <f>'Technical Skills Weighting'!B454+"`FU!$|?"</f>
        <v>#VALUE!</v>
      </c>
      <c r="CB75" t="e">
        <f>'Technical Skills Weighting'!B455+"`FU!$|@"</f>
        <v>#VALUE!</v>
      </c>
      <c r="CC75" t="e">
        <f>'Technical Skills Weighting'!B456+"`FU!$|A"</f>
        <v>#VALUE!</v>
      </c>
      <c r="CD75" t="e">
        <f>'Technical Skills Weighting'!B457+"`FU!$|B"</f>
        <v>#VALUE!</v>
      </c>
      <c r="CE75" t="e">
        <f>'Technical Skills Weighting'!B458+"`FU!$|C"</f>
        <v>#VALUE!</v>
      </c>
      <c r="CF75" t="e">
        <f>'Technical Skills Weighting'!B459+"`FU!$|D"</f>
        <v>#VALUE!</v>
      </c>
      <c r="CG75" t="e">
        <f>'Technical Skills Weighting'!B460+"`FU!$|E"</f>
        <v>#VALUE!</v>
      </c>
      <c r="CH75" t="e">
        <f>'Technical Skills Weighting'!B461+"`FU!$|F"</f>
        <v>#VALUE!</v>
      </c>
      <c r="CI75" t="e">
        <f>'Technical Skills Weighting'!B462+"`FU!$|G"</f>
        <v>#VALUE!</v>
      </c>
      <c r="CJ75" t="e">
        <f>'Technical Skills Weighting'!B463+"`FU!$|H"</f>
        <v>#VALUE!</v>
      </c>
      <c r="CK75" t="e">
        <f>'Technical Skills Weighting'!B464+"`FU!$|I"</f>
        <v>#VALUE!</v>
      </c>
      <c r="CL75" t="e">
        <f>'Technical Skills Weighting'!B465+"`FU!$|J"</f>
        <v>#VALUE!</v>
      </c>
      <c r="CM75" t="e">
        <f>'Technical Skills Weighting'!B466+"`FU!$|K"</f>
        <v>#VALUE!</v>
      </c>
      <c r="CN75" t="e">
        <f>'Technical Skills Weighting'!B467+"`FU!$|L"</f>
        <v>#VALUE!</v>
      </c>
      <c r="CO75" t="e">
        <f>'Technical Skills Weighting'!B468+"`FU!$|M"</f>
        <v>#VALUE!</v>
      </c>
      <c r="CP75" t="e">
        <f>'Technical Skills Weighting'!B469+"`FU!$|N"</f>
        <v>#VALUE!</v>
      </c>
      <c r="CQ75" t="e">
        <f>'Technical Skills Weighting'!B470+"`FU!$|O"</f>
        <v>#VALUE!</v>
      </c>
      <c r="CR75" t="e">
        <f>'Technical Skills Weighting'!B471+"`FU!$|P"</f>
        <v>#VALUE!</v>
      </c>
      <c r="CS75" t="e">
        <f>'Technical Skills Weighting'!B472+"`FU!$|Q"</f>
        <v>#VALUE!</v>
      </c>
      <c r="CT75" t="e">
        <f>'Technical Skills Weighting'!B473+"`FU!$|R"</f>
        <v>#VALUE!</v>
      </c>
      <c r="CU75" t="e">
        <f>'Technical Skills Weighting'!B474+"`FU!$|S"</f>
        <v>#VALUE!</v>
      </c>
      <c r="CV75" t="e">
        <f>'Technical Skills Weighting'!B475+"`FU!$|T"</f>
        <v>#VALUE!</v>
      </c>
      <c r="CW75" t="e">
        <f>'Technical Skills Weighting'!B476+"`FU!$|U"</f>
        <v>#VALUE!</v>
      </c>
      <c r="CX75" t="e">
        <f>'Technical Skills Weighting'!B477+"`FU!$|V"</f>
        <v>#VALUE!</v>
      </c>
      <c r="CY75" t="e">
        <f>'Technical Skills Weighting'!B478+"`FU!$|W"</f>
        <v>#VALUE!</v>
      </c>
      <c r="CZ75" t="e">
        <f>'Technical Skills Weighting'!B479+"`FU!$|X"</f>
        <v>#VALUE!</v>
      </c>
      <c r="DA75" t="e">
        <f>'Technical Skills Weighting'!B480+"`FU!$|Y"</f>
        <v>#VALUE!</v>
      </c>
      <c r="DB75" t="e">
        <f>'Technical Skills Weighting'!B481+"`FU!$|Z"</f>
        <v>#VALUE!</v>
      </c>
      <c r="DC75" t="e">
        <f>'Technical Skills Weighting'!B482+"`FU!$|["</f>
        <v>#VALUE!</v>
      </c>
      <c r="DD75" t="e">
        <f>'Technical Skills Weighting'!B483+"`FU!$|\"</f>
        <v>#VALUE!</v>
      </c>
      <c r="DE75" t="e">
        <f>'Technical Skills Weighting'!B484+"`FU!$|]"</f>
        <v>#VALUE!</v>
      </c>
      <c r="DF75" t="e">
        <f>'Technical Skills Weighting'!B485+"`FU!$|^"</f>
        <v>#VALUE!</v>
      </c>
      <c r="DG75" t="e">
        <f>'Technical Skills Weighting'!B486+"`FU!$|_"</f>
        <v>#VALUE!</v>
      </c>
      <c r="DH75" t="e">
        <f>'Technical Skills Weighting'!B487+"`FU!$|`"</f>
        <v>#VALUE!</v>
      </c>
      <c r="DI75" t="e">
        <f>'Technical Skills Weighting'!B488+"`FU!$|a"</f>
        <v>#VALUE!</v>
      </c>
      <c r="DJ75" t="e">
        <f>'Technical Skills Weighting'!B489+"`FU!$|b"</f>
        <v>#VALUE!</v>
      </c>
      <c r="DK75" t="e">
        <f>'Technical Skills Weighting'!B490+"`FU!$|c"</f>
        <v>#VALUE!</v>
      </c>
      <c r="DL75" t="e">
        <f>'Technical Skills Weighting'!B491+"`FU!$|d"</f>
        <v>#VALUE!</v>
      </c>
      <c r="DM75" t="e">
        <f>'Technical Skills Weighting'!B492+"`FU!$|e"</f>
        <v>#VALUE!</v>
      </c>
      <c r="DN75" t="e">
        <f>'Technical Skills Weighting'!B493+"`FU!$|f"</f>
        <v>#VALUE!</v>
      </c>
      <c r="DO75" t="e">
        <f>'Technical Skills Weighting'!B494+"`FU!$|g"</f>
        <v>#VALUE!</v>
      </c>
      <c r="DP75" t="e">
        <f>'Technical Skills Weighting'!B495+"`FU!$|h"</f>
        <v>#VALUE!</v>
      </c>
      <c r="DQ75" t="e">
        <f>'Technical Skills Weighting'!B496+"`FU!$|i"</f>
        <v>#VALUE!</v>
      </c>
      <c r="DR75" t="e">
        <f>'Technical Skills Weighting'!B497+"`FU!$|j"</f>
        <v>#VALUE!</v>
      </c>
      <c r="DS75" t="e">
        <f>'Technical Skills Weighting'!B498+"`FU!$|k"</f>
        <v>#VALUE!</v>
      </c>
      <c r="DT75" t="e">
        <f>'Technical Skills Weighting'!B499+"`FU!$|l"</f>
        <v>#VALUE!</v>
      </c>
      <c r="DU75" t="e">
        <f>'Technical Skills Weighting'!B500+"`FU!$|m"</f>
        <v>#VALUE!</v>
      </c>
      <c r="DV75" t="e">
        <f>'Technical Skills Weighting'!B501+"`FU!$|n"</f>
        <v>#VALUE!</v>
      </c>
      <c r="DW75" t="e">
        <f>'Technical Skills Weighting'!B502+"`FU!$|o"</f>
        <v>#VALUE!</v>
      </c>
      <c r="DX75" t="e">
        <f>'Technical Skills Weighting'!B503+"`FU!$|p"</f>
        <v>#VALUE!</v>
      </c>
      <c r="DY75" t="e">
        <f>'Technical Skills Weighting'!B504+"`FU!$|q"</f>
        <v>#VALUE!</v>
      </c>
      <c r="DZ75" t="e">
        <f>'Technical Skills Weighting'!B505+"`FU!$|r"</f>
        <v>#VALUE!</v>
      </c>
      <c r="EA75" t="e">
        <f>'Technical Skills Weighting'!B506+"`FU!$|s"</f>
        <v>#VALUE!</v>
      </c>
      <c r="EB75" t="e">
        <f>'Technical Skills Weighting'!B507+"`FU!$|t"</f>
        <v>#VALUE!</v>
      </c>
      <c r="EC75" t="e">
        <f>'Technical Skills Weighting'!B508+"`FU!$|u"</f>
        <v>#VALUE!</v>
      </c>
      <c r="ED75" t="e">
        <f>'Technical Skills Weighting'!B509+"`FU!$|v"</f>
        <v>#VALUE!</v>
      </c>
      <c r="EE75" t="e">
        <f>'Technical Skills Weighting'!B510+"`FU!$|w"</f>
        <v>#VALUE!</v>
      </c>
      <c r="EF75" t="e">
        <f>'Technical Skills Weighting'!B511+"`FU!$|x"</f>
        <v>#VALUE!</v>
      </c>
      <c r="EG75" t="e">
        <f>'Technical Skills Weighting'!B512+"`FU!$|y"</f>
        <v>#VALUE!</v>
      </c>
      <c r="EH75" t="e">
        <f>'Technical Skills Weighting'!B513+"`FU!$|z"</f>
        <v>#VALUE!</v>
      </c>
      <c r="EI75" t="e">
        <f>'Technical Skills Weighting'!B514+"`FU!$|{"</f>
        <v>#VALUE!</v>
      </c>
      <c r="EJ75" t="e">
        <f>'Technical Skills Weighting'!B515+"`FU!$||"</f>
        <v>#VALUE!</v>
      </c>
      <c r="EK75" t="e">
        <f>'Technical Skills Weighting'!B516+"`FU!$|}"</f>
        <v>#VALUE!</v>
      </c>
      <c r="EL75" t="e">
        <f>'Technical Skills Weighting'!B517+"`FU!$|~"</f>
        <v>#VALUE!</v>
      </c>
      <c r="EM75" t="e">
        <f>'Technical Skills Weighting'!B518+"`FU!$}#"</f>
        <v>#VALUE!</v>
      </c>
      <c r="EN75" t="e">
        <f>'Technical Skills Weighting'!B519+"`FU!$}$"</f>
        <v>#VALUE!</v>
      </c>
      <c r="EO75" t="e">
        <f>'Technical Skills Weighting'!B520+"`FU!$}%"</f>
        <v>#VALUE!</v>
      </c>
      <c r="EP75" t="e">
        <f>'Technical Skills Weighting'!B521+"`FU!$}&amp;"</f>
        <v>#VALUE!</v>
      </c>
      <c r="EQ75" t="e">
        <f>'Technical Skills Weighting'!B522+"`FU!$}'"</f>
        <v>#VALUE!</v>
      </c>
      <c r="ER75" t="e">
        <f>'Technical Skills Weighting'!B523+"`FU!$}("</f>
        <v>#VALUE!</v>
      </c>
      <c r="ES75" t="e">
        <f>'Technical Skills Weighting'!B524+"`FU!$})"</f>
        <v>#VALUE!</v>
      </c>
      <c r="ET75" t="e">
        <f>'Technical Skills Weighting'!B525+"`FU!$}."</f>
        <v>#VALUE!</v>
      </c>
      <c r="EU75" t="e">
        <f>'Technical Skills Weighting'!B526+"`FU!$}/"</f>
        <v>#VALUE!</v>
      </c>
      <c r="EV75" t="e">
        <f>'Technical Skills Weighting'!B527+"`FU!$}0"</f>
        <v>#VALUE!</v>
      </c>
      <c r="EW75" t="e">
        <f>'Technical Skills Weighting'!B528+"`FU!$}1"</f>
        <v>#VALUE!</v>
      </c>
      <c r="EX75" t="e">
        <f>'Technical Skills Weighting'!B529+"`FU!$}2"</f>
        <v>#VALUE!</v>
      </c>
      <c r="EY75" t="e">
        <f>'Technical Skills Weighting'!B530+"`FU!$}3"</f>
        <v>#VALUE!</v>
      </c>
      <c r="EZ75" t="e">
        <f>'Technical Skills Weighting'!B531+"`FU!$}4"</f>
        <v>#VALUE!</v>
      </c>
      <c r="FA75" t="e">
        <f>'Technical Skills Weighting'!B532+"`FU!$}5"</f>
        <v>#VALUE!</v>
      </c>
      <c r="FB75" t="e">
        <f>'Technical Skills Weighting'!B533+"`FU!$}6"</f>
        <v>#VALUE!</v>
      </c>
      <c r="FC75" t="e">
        <f>'Technical Skills Weighting'!B534+"`FU!$}7"</f>
        <v>#VALUE!</v>
      </c>
      <c r="FD75" t="e">
        <f>'Technical Skills Weighting'!B535+"`FU!$}8"</f>
        <v>#VALUE!</v>
      </c>
      <c r="FE75" t="e">
        <f>'Technical Skills Weighting'!B536+"`FU!$}9"</f>
        <v>#VALUE!</v>
      </c>
      <c r="FF75" t="e">
        <f>'Technical Skills Weighting'!B537+"`FU!$}:"</f>
        <v>#VALUE!</v>
      </c>
      <c r="FG75" t="e">
        <f>'Technical Skills Weighting'!B538+"`FU!$};"</f>
        <v>#VALUE!</v>
      </c>
      <c r="FH75" t="e">
        <f>'Technical Skills Weighting'!B539+"`FU!$}&lt;"</f>
        <v>#VALUE!</v>
      </c>
      <c r="FI75" t="e">
        <f>'Technical Skills Weighting'!B540+"`FU!$}="</f>
        <v>#VALUE!</v>
      </c>
      <c r="FJ75" t="e">
        <f>'Technical Skills Weighting'!B541+"`FU!$}&gt;"</f>
        <v>#VALUE!</v>
      </c>
      <c r="FK75" t="e">
        <f>'Technical Skills Weighting'!B542+"`FU!$}?"</f>
        <v>#VALUE!</v>
      </c>
      <c r="FL75" t="e">
        <f>'Technical Skills Weighting'!B543+"`FU!$}@"</f>
        <v>#VALUE!</v>
      </c>
      <c r="FM75" t="e">
        <f>'Technical Skills Weighting'!B544+"`FU!$}A"</f>
        <v>#VALUE!</v>
      </c>
      <c r="FN75" t="e">
        <f>'Technical Skills Weighting'!B545+"`FU!$}B"</f>
        <v>#VALUE!</v>
      </c>
      <c r="FO75" t="e">
        <f>'Technical Skills Weighting'!B546+"`FU!$}C"</f>
        <v>#VALUE!</v>
      </c>
      <c r="FP75" t="e">
        <f>'Technical Skills Weighting'!B547+"`FU!$}D"</f>
        <v>#VALUE!</v>
      </c>
      <c r="FQ75" t="e">
        <f>'Technical Skills Weighting'!B548+"`FU!$}E"</f>
        <v>#VALUE!</v>
      </c>
      <c r="FR75" t="e">
        <f>'Technical Skills Weighting'!B549+"`FU!$}F"</f>
        <v>#VALUE!</v>
      </c>
      <c r="FS75" t="e">
        <f>'Technical Skills Weighting'!B550+"`FU!$}G"</f>
        <v>#VALUE!</v>
      </c>
      <c r="FT75" t="e">
        <f>'Technical Skills Weighting'!B551+"`FU!$}H"</f>
        <v>#VALUE!</v>
      </c>
      <c r="FU75" t="e">
        <f>'Technical Skills Weighting'!B552+"`FU!$}I"</f>
        <v>#VALUE!</v>
      </c>
      <c r="FV75" t="e">
        <f>'Technical Skills Weighting'!B553+"`FU!$}J"</f>
        <v>#VALUE!</v>
      </c>
      <c r="FW75" t="e">
        <f>'Technical Skills Weighting'!B554+"`FU!$}K"</f>
        <v>#VALUE!</v>
      </c>
      <c r="FX75" t="e">
        <f>'Technical Skills Weighting'!B555+"`FU!$}L"</f>
        <v>#VALUE!</v>
      </c>
      <c r="FY75" t="e">
        <f>'Technical Skills Weighting'!B556+"`FU!$}M"</f>
        <v>#VALUE!</v>
      </c>
      <c r="FZ75" t="e">
        <f>'Technical Skills Weighting'!B557+"`FU!$}N"</f>
        <v>#VALUE!</v>
      </c>
      <c r="GA75" t="e">
        <f>'Technical Skills Weighting'!B558+"`FU!$}O"</f>
        <v>#VALUE!</v>
      </c>
      <c r="GB75" t="e">
        <f>'Technical Skills Weighting'!B559+"`FU!$}P"</f>
        <v>#VALUE!</v>
      </c>
      <c r="GC75" t="e">
        <f>'Technical Skills Weighting'!B560+"`FU!$}Q"</f>
        <v>#VALUE!</v>
      </c>
      <c r="GD75" t="e">
        <f>'Technical Skills Weighting'!B561+"`FU!$}R"</f>
        <v>#VALUE!</v>
      </c>
      <c r="GE75" t="e">
        <f>'Technical Skills Weighting'!B562+"`FU!$}S"</f>
        <v>#VALUE!</v>
      </c>
      <c r="GF75" t="e">
        <f>'Technical Skills Weighting'!B563+"`FU!$}T"</f>
        <v>#VALUE!</v>
      </c>
      <c r="GG75" t="e">
        <f>'Technical Skills Weighting'!B564+"`FU!$}U"</f>
        <v>#VALUE!</v>
      </c>
      <c r="GH75" t="e">
        <f>'Technical Skills Weighting'!B565+"`FU!$}V"</f>
        <v>#VALUE!</v>
      </c>
      <c r="GI75" t="e">
        <f>'Technical Skills Weighting'!B566+"`FU!$}W"</f>
        <v>#VALUE!</v>
      </c>
      <c r="GJ75" t="e">
        <f>'Technical Skills Weighting'!B567+"`FU!$}X"</f>
        <v>#VALUE!</v>
      </c>
      <c r="GK75" t="e">
        <f>'Technical Skills Weighting'!B568+"`FU!$}Y"</f>
        <v>#VALUE!</v>
      </c>
      <c r="GL75" t="e">
        <f>'Technical Skills Weighting'!B569+"`FU!$}Z"</f>
        <v>#VALUE!</v>
      </c>
      <c r="GM75" t="e">
        <f>'Technical Skills Weighting'!B570+"`FU!$}["</f>
        <v>#VALUE!</v>
      </c>
      <c r="GN75" t="e">
        <f>'Technical Skills Weighting'!B571+"`FU!$}\"</f>
        <v>#VALUE!</v>
      </c>
      <c r="GO75" t="e">
        <f>'Technical Skills Weighting'!B572+"`FU!$}]"</f>
        <v>#VALUE!</v>
      </c>
      <c r="GP75" t="e">
        <f>'Technical Skills Weighting'!B573+"`FU!$}^"</f>
        <v>#VALUE!</v>
      </c>
      <c r="GQ75" t="e">
        <f>'Technical Skills Weighting'!B574+"`FU!$}_"</f>
        <v>#VALUE!</v>
      </c>
      <c r="GR75" t="e">
        <f>'Technical Skills Weighting'!B575+"`FU!$}`"</f>
        <v>#VALUE!</v>
      </c>
      <c r="GS75" t="e">
        <f>'Technical Skills Weighting'!B576+"`FU!$}a"</f>
        <v>#VALUE!</v>
      </c>
      <c r="GT75" t="e">
        <f>'Technical Skills Weighting'!B577+"`FU!$}b"</f>
        <v>#VALUE!</v>
      </c>
      <c r="GU75" t="e">
        <f>'Technical Skills Weighting'!B578+"`FU!$}c"</f>
        <v>#VALUE!</v>
      </c>
      <c r="GV75" t="e">
        <f>'Technical Skills Weighting'!B579+"`FU!$}d"</f>
        <v>#VALUE!</v>
      </c>
      <c r="GW75" t="e">
        <f>'Technical Skills Weighting'!B580+"`FU!$}e"</f>
        <v>#VALUE!</v>
      </c>
      <c r="GX75" t="e">
        <f>'Technical Skills Weighting'!B581+"`FU!$}f"</f>
        <v>#VALUE!</v>
      </c>
      <c r="GY75" t="e">
        <f>'Technical Skills Weighting'!B582+"`FU!$}g"</f>
        <v>#VALUE!</v>
      </c>
      <c r="GZ75" t="e">
        <f>'Technical Skills Weighting'!B583+"`FU!$}h"</f>
        <v>#VALUE!</v>
      </c>
      <c r="HA75" t="e">
        <f>'Technical Skills Weighting'!B584+"`FU!$}i"</f>
        <v>#VALUE!</v>
      </c>
      <c r="HB75" t="e">
        <f>'Technical Skills Weighting'!B585+"`FU!$}j"</f>
        <v>#VALUE!</v>
      </c>
      <c r="HC75" t="e">
        <f>'Technical Skills Weighting'!B586+"`FU!$}k"</f>
        <v>#VALUE!</v>
      </c>
      <c r="HD75" t="e">
        <f>'Technical Skills Weighting'!B587+"`FU!$}l"</f>
        <v>#VALUE!</v>
      </c>
      <c r="HE75" t="e">
        <f>'Technical Skills Weighting'!B588+"`FU!$}m"</f>
        <v>#VALUE!</v>
      </c>
      <c r="HF75" t="e">
        <f>'Technical Skills Weighting'!B589+"`FU!$}n"</f>
        <v>#VALUE!</v>
      </c>
      <c r="HG75" t="e">
        <f>'Technical Skills Weighting'!B590+"`FU!$}o"</f>
        <v>#VALUE!</v>
      </c>
      <c r="HH75" t="e">
        <f>'Technical Skills Weighting'!B591+"`FU!$}p"</f>
        <v>#VALUE!</v>
      </c>
      <c r="HI75" t="e">
        <f>'Technical Skills Weighting'!B592+"`FU!$}q"</f>
        <v>#VALUE!</v>
      </c>
      <c r="HJ75" t="e">
        <f>'Technical Skills Weighting'!B593+"`FU!$}r"</f>
        <v>#VALUE!</v>
      </c>
      <c r="HK75" t="e">
        <f>'Technical Skills Weighting'!B594+"`FU!$}s"</f>
        <v>#VALUE!</v>
      </c>
      <c r="HL75" t="e">
        <f>'Technical Skills Weighting'!B595+"`FU!$}t"</f>
        <v>#VALUE!</v>
      </c>
      <c r="HM75" t="e">
        <f>'Technical Skills Weighting'!B596+"`FU!$}u"</f>
        <v>#VALUE!</v>
      </c>
      <c r="HN75" t="e">
        <f>'Technical Skills Weighting'!B597+"`FU!$}v"</f>
        <v>#VALUE!</v>
      </c>
      <c r="HO75" t="e">
        <f>'Technical Skills Weighting'!B598+"`FU!$}w"</f>
        <v>#VALUE!</v>
      </c>
      <c r="HP75" t="e">
        <f>'Technical Skills Weighting'!B599+"`FU!$}x"</f>
        <v>#VALUE!</v>
      </c>
      <c r="HQ75" t="e">
        <f>'Technical Skills Weighting'!B600+"`FU!$}y"</f>
        <v>#VALUE!</v>
      </c>
      <c r="HR75" t="e">
        <f>'Technical Skills Weighting'!B601+"`FU!$}z"</f>
        <v>#VALUE!</v>
      </c>
      <c r="HS75" t="e">
        <f>'Technical Skills Weighting'!B602+"`FU!$}{"</f>
        <v>#VALUE!</v>
      </c>
      <c r="HT75" t="e">
        <f>'Technical Skills Weighting'!B603+"`FU!$}|"</f>
        <v>#VALUE!</v>
      </c>
      <c r="HU75" t="e">
        <f>'Technical Skills Weighting'!B604+"`FU!$}}"</f>
        <v>#VALUE!</v>
      </c>
      <c r="HV75" t="e">
        <f>'Technical Skills Weighting'!B605+"`FU!$}~"</f>
        <v>#VALUE!</v>
      </c>
      <c r="HW75" t="e">
        <f>'Technical Skills Weighting'!B606+"`FU!$~#"</f>
        <v>#VALUE!</v>
      </c>
      <c r="HX75" t="e">
        <f>'Technical Skills Weighting'!B607+"`FU!$~$"</f>
        <v>#VALUE!</v>
      </c>
      <c r="HY75" t="e">
        <f>'Technical Skills Weighting'!B608+"`FU!$~%"</f>
        <v>#VALUE!</v>
      </c>
      <c r="HZ75" t="e">
        <f>'Technical Skills Weighting'!B609+"`FU!$~&amp;"</f>
        <v>#VALUE!</v>
      </c>
      <c r="IA75" t="e">
        <f>'Technical Skills Weighting'!B610+"`FU!$~'"</f>
        <v>#VALUE!</v>
      </c>
      <c r="IB75" t="e">
        <f>'Technical Skills Weighting'!B611+"`FU!$~("</f>
        <v>#VALUE!</v>
      </c>
      <c r="IC75" t="e">
        <f>'Technical Skills Weighting'!B612+"`FU!$~)"</f>
        <v>#VALUE!</v>
      </c>
      <c r="ID75" t="e">
        <f>'Technical Skills Weighting'!B613+"`FU!$~."</f>
        <v>#VALUE!</v>
      </c>
      <c r="IE75" t="e">
        <f>'Technical Skills Weighting'!B614+"`FU!$~/"</f>
        <v>#VALUE!</v>
      </c>
      <c r="IF75" t="e">
        <f>'Technical Skills Weighting'!B615+"`FU!$~0"</f>
        <v>#VALUE!</v>
      </c>
      <c r="IG75" t="e">
        <f>'Technical Skills Weighting'!B616+"`FU!$~1"</f>
        <v>#VALUE!</v>
      </c>
      <c r="IH75" t="e">
        <f>'Technical Skills Weighting'!B617+"`FU!$~2"</f>
        <v>#VALUE!</v>
      </c>
      <c r="II75" t="e">
        <f>'Technical Skills Weighting'!B618+"`FU!$~3"</f>
        <v>#VALUE!</v>
      </c>
      <c r="IJ75" t="e">
        <f>'Technical Skills Weighting'!B619+"`FU!$~4"</f>
        <v>#VALUE!</v>
      </c>
      <c r="IK75" t="e">
        <f>'Technical Skills Weighting'!B620+"`FU!$~5"</f>
        <v>#VALUE!</v>
      </c>
      <c r="IL75" t="e">
        <f>'Technical Skills Weighting'!B621+"`FU!$~6"</f>
        <v>#VALUE!</v>
      </c>
      <c r="IM75" t="e">
        <f>'Technical Skills Weighting'!B622+"`FU!$~7"</f>
        <v>#VALUE!</v>
      </c>
      <c r="IN75" t="e">
        <f>'Technical Skills Weighting'!B623+"`FU!$~8"</f>
        <v>#VALUE!</v>
      </c>
      <c r="IO75" t="e">
        <f>'Technical Skills Weighting'!B624+"`FU!$~9"</f>
        <v>#VALUE!</v>
      </c>
      <c r="IP75" t="e">
        <f>'Technical Skills Weighting'!B625+"`FU!$~:"</f>
        <v>#VALUE!</v>
      </c>
      <c r="IQ75" t="e">
        <f>'Technical Skills Weighting'!B626+"`FU!$~;"</f>
        <v>#VALUE!</v>
      </c>
      <c r="IR75" t="e">
        <f>'Technical Skills Weighting'!B627+"`FU!$~&lt;"</f>
        <v>#VALUE!</v>
      </c>
      <c r="IS75" t="e">
        <f>'Technical Skills Weighting'!B628+"`FU!$~="</f>
        <v>#VALUE!</v>
      </c>
      <c r="IT75" t="e">
        <f>'Technical Skills Weighting'!B629+"`FU!$~&gt;"</f>
        <v>#VALUE!</v>
      </c>
      <c r="IU75" t="e">
        <f>'Technical Skills Weighting'!B630+"`FU!$~?"</f>
        <v>#VALUE!</v>
      </c>
      <c r="IV75" t="e">
        <f>'Technical Skills Weighting'!B631+"`FU!$~@"</f>
        <v>#VALUE!</v>
      </c>
    </row>
    <row r="76" spans="6:256" x14ac:dyDescent="0.25">
      <c r="F76" t="e">
        <f>'Technical Skills Weighting'!B632+"`FU!$~A"</f>
        <v>#VALUE!</v>
      </c>
      <c r="G76" t="e">
        <f>'Technical Skills Weighting'!B633+"`FU!$~B"</f>
        <v>#VALUE!</v>
      </c>
      <c r="H76" t="e">
        <f>'Technical Skills Weighting'!B634+"`FU!$~C"</f>
        <v>#VALUE!</v>
      </c>
      <c r="I76" t="e">
        <f>'Technical Skills Weighting'!B635+"`FU!$~D"</f>
        <v>#VALUE!</v>
      </c>
      <c r="J76" t="e">
        <f>'Technical Skills Weighting'!B636+"`FU!$~E"</f>
        <v>#VALUE!</v>
      </c>
      <c r="K76" t="e">
        <f>'Technical Skills Weighting'!B637+"`FU!$~F"</f>
        <v>#VALUE!</v>
      </c>
      <c r="L76" t="e">
        <f>'Technical Skills Weighting'!B638+"`FU!$~G"</f>
        <v>#VALUE!</v>
      </c>
      <c r="M76" t="e">
        <f>'Technical Skills Weighting'!B639+"`FU!$~H"</f>
        <v>#VALUE!</v>
      </c>
      <c r="N76" t="e">
        <f>'Technical Skills Weighting'!B640+"`FU!$~I"</f>
        <v>#VALUE!</v>
      </c>
      <c r="O76" t="e">
        <f>'Technical Skills Weighting'!B641+"`FU!$~J"</f>
        <v>#VALUE!</v>
      </c>
      <c r="P76" t="e">
        <f>'Technical Skills Weighting'!B642+"`FU!$~K"</f>
        <v>#VALUE!</v>
      </c>
      <c r="Q76" t="e">
        <f>'Technical Skills Weighting'!B643+"`FU!$~L"</f>
        <v>#VALUE!</v>
      </c>
      <c r="R76" t="e">
        <f>'Technical Skills Weighting'!B644+"`FU!$~M"</f>
        <v>#VALUE!</v>
      </c>
      <c r="S76" t="e">
        <f>'Technical Skills Weighting'!B645+"`FU!$~N"</f>
        <v>#VALUE!</v>
      </c>
      <c r="T76" t="e">
        <f>'Technical Skills Weighting'!B646+"`FU!$~O"</f>
        <v>#VALUE!</v>
      </c>
      <c r="U76" t="e">
        <f>'Technical Skills Weighting'!B647+"`FU!$~P"</f>
        <v>#VALUE!</v>
      </c>
      <c r="V76" t="e">
        <f>'Technical Skills Weighting'!B648+"`FU!$~Q"</f>
        <v>#VALUE!</v>
      </c>
      <c r="W76" t="e">
        <f>'Technical Skills Weighting'!B649+"`FU!$~R"</f>
        <v>#VALUE!</v>
      </c>
      <c r="X76" t="e">
        <f>'Technical Skills Weighting'!B650+"`FU!$~S"</f>
        <v>#VALUE!</v>
      </c>
      <c r="Y76" t="e">
        <f>'Technical Skills Weighting'!B651+"`FU!$~T"</f>
        <v>#VALUE!</v>
      </c>
      <c r="Z76" t="e">
        <f>'Technical Skills Weighting'!B652+"`FU!$~U"</f>
        <v>#VALUE!</v>
      </c>
      <c r="AA76" t="e">
        <f>'Technical Skills Weighting'!B653+"`FU!$~V"</f>
        <v>#VALUE!</v>
      </c>
      <c r="AB76" t="e">
        <f>'Technical Skills Weighting'!B654+"`FU!$~W"</f>
        <v>#VALUE!</v>
      </c>
      <c r="AC76" t="e">
        <f>'Technical Skills Weighting'!B655+"`FU!$~X"</f>
        <v>#VALUE!</v>
      </c>
      <c r="AD76" t="e">
        <f>'Technical Skills Weighting'!B656+"`FU!$~Y"</f>
        <v>#VALUE!</v>
      </c>
      <c r="AE76" t="e">
        <f>'Technical Skills Weighting'!B657+"`FU!$~Z"</f>
        <v>#VALUE!</v>
      </c>
      <c r="AF76" t="e">
        <f>'Technical Skills Weighting'!B658+"`FU!$~["</f>
        <v>#VALUE!</v>
      </c>
      <c r="AG76" t="e">
        <f>'Technical Skills Weighting'!B659+"`FU!$~\"</f>
        <v>#VALUE!</v>
      </c>
      <c r="AH76" t="e">
        <f>'Technical Skills Weighting'!B660+"`FU!$~]"</f>
        <v>#VALUE!</v>
      </c>
      <c r="AI76" t="e">
        <f>'Technical Skills Weighting'!B661+"`FU!$~^"</f>
        <v>#VALUE!</v>
      </c>
      <c r="AJ76" t="e">
        <f>'Technical Skills Weighting'!B662+"`FU!$~_"</f>
        <v>#VALUE!</v>
      </c>
      <c r="AK76" t="e">
        <f>'Technical Skills Weighting'!B663+"`FU!$~`"</f>
        <v>#VALUE!</v>
      </c>
      <c r="AL76" t="e">
        <f>'Technical Skills Weighting'!B664+"`FU!$~a"</f>
        <v>#VALUE!</v>
      </c>
      <c r="AM76" t="e">
        <f>'Technical Skills Weighting'!B665+"`FU!$~b"</f>
        <v>#VALUE!</v>
      </c>
      <c r="AN76" t="e">
        <f>'Technical Skills Weighting'!B666+"`FU!$~c"</f>
        <v>#VALUE!</v>
      </c>
      <c r="AO76" t="e">
        <f>'Technical Skills Weighting'!B667+"`FU!$~d"</f>
        <v>#VALUE!</v>
      </c>
      <c r="AP76" t="e">
        <f>'Technical Skills Weighting'!B668+"`FU!$~e"</f>
        <v>#VALUE!</v>
      </c>
      <c r="AQ76" t="e">
        <f>'Technical Skills Weighting'!B669+"`FU!$~f"</f>
        <v>#VALUE!</v>
      </c>
      <c r="AR76" t="e">
        <f>'Technical Skills Weighting'!B670+"`FU!$~g"</f>
        <v>#VALUE!</v>
      </c>
      <c r="AS76" t="e">
        <f>'Technical Skills Weighting'!B671+"`FU!$~h"</f>
        <v>#VALUE!</v>
      </c>
      <c r="AT76" t="e">
        <f>'Technical Skills Weighting'!B672+"`FU!$~i"</f>
        <v>#VALUE!</v>
      </c>
      <c r="AU76" t="e">
        <f>'Technical Skills Weighting'!B673+"`FU!$~j"</f>
        <v>#VALUE!</v>
      </c>
      <c r="AV76" t="e">
        <f>'Technical Skills Weighting'!B674+"`FU!$~k"</f>
        <v>#VALUE!</v>
      </c>
      <c r="AW76" t="e">
        <f>'Technical Skills Weighting'!B675+"`FU!$~l"</f>
        <v>#VALUE!</v>
      </c>
      <c r="AX76" t="e">
        <f>'Technical Skills Weighting'!B676+"`FU!$~m"</f>
        <v>#VALUE!</v>
      </c>
      <c r="AY76" t="e">
        <f>'Technical Skills Weighting'!B677+"`FU!$~n"</f>
        <v>#VALUE!</v>
      </c>
      <c r="AZ76" t="e">
        <f>'Technical Skills Weighting'!B678+"`FU!$~o"</f>
        <v>#VALUE!</v>
      </c>
      <c r="BA76" t="e">
        <f>'Technical Skills Weighting'!B679+"`FU!$~p"</f>
        <v>#VALUE!</v>
      </c>
      <c r="BB76" t="e">
        <f>'Technical Skills Weighting'!B680+"`FU!$~q"</f>
        <v>#VALUE!</v>
      </c>
      <c r="BC76" t="e">
        <f>'Technical Skills Weighting'!B681+"`FU!$~r"</f>
        <v>#VALUE!</v>
      </c>
      <c r="BD76" t="e">
        <f>'Technical Skills Weighting'!B682+"`FU!$~s"</f>
        <v>#VALUE!</v>
      </c>
      <c r="BE76" t="e">
        <f>'Technical Skills Weighting'!B683+"`FU!$~t"</f>
        <v>#VALUE!</v>
      </c>
      <c r="BF76" t="e">
        <f>'Technical Skills Weighting'!B684+"`FU!$~u"</f>
        <v>#VALUE!</v>
      </c>
      <c r="BG76" t="e">
        <f>'Technical Skills Weighting'!B685+"`FU!$~v"</f>
        <v>#VALUE!</v>
      </c>
      <c r="BH76" t="e">
        <f>'Technical Skills Weighting'!B686+"`FU!$~w"</f>
        <v>#VALUE!</v>
      </c>
      <c r="BI76" t="e">
        <f>'Technical Skills Weighting'!B687+"`FU!$~x"</f>
        <v>#VALUE!</v>
      </c>
      <c r="BJ76" t="e">
        <f>'Technical Skills Weighting'!B688+"`FU!$~y"</f>
        <v>#VALUE!</v>
      </c>
      <c r="BK76" t="e">
        <f>'Technical Skills Weighting'!B689+"`FU!$~z"</f>
        <v>#VALUE!</v>
      </c>
      <c r="BL76" t="e">
        <f>'Technical Skills Weighting'!B690+"`FU!$~{"</f>
        <v>#VALUE!</v>
      </c>
      <c r="BM76" t="e">
        <f>'Technical Skills Weighting'!B691+"`FU!$~|"</f>
        <v>#VALUE!</v>
      </c>
      <c r="BN76" t="e">
        <f>'Technical Skills Weighting'!B692+"`FU!$~}"</f>
        <v>#VALUE!</v>
      </c>
      <c r="BO76" t="e">
        <f>'Technical Skills Weighting'!B693+"`FU!$~~"</f>
        <v>#VALUE!</v>
      </c>
      <c r="BP76" t="e">
        <f>'Technical Skills Weighting'!B694+"`FU!%##"</f>
        <v>#VALUE!</v>
      </c>
      <c r="BQ76" t="e">
        <f>'Technical Skills Weighting'!B695+"`FU!%#$"</f>
        <v>#VALUE!</v>
      </c>
      <c r="BR76" t="e">
        <f>'Technical Skills Weighting'!B696+"`FU!%#%"</f>
        <v>#VALUE!</v>
      </c>
      <c r="BS76" t="e">
        <f>'Technical Skills Weighting'!B697+"`FU!%#&amp;"</f>
        <v>#VALUE!</v>
      </c>
      <c r="BT76" t="e">
        <f>'Technical Skills Weighting'!B698+"`FU!%#'"</f>
        <v>#VALUE!</v>
      </c>
      <c r="BU76" t="e">
        <f>'Technical Skills Weighting'!B699+"`FU!%#("</f>
        <v>#VALUE!</v>
      </c>
      <c r="BV76" t="e">
        <f>'Technical Skills Weighting'!B700+"`FU!%#)"</f>
        <v>#VALUE!</v>
      </c>
      <c r="BW76" t="e">
        <f>'Technical Skills Weighting'!B701+"`FU!%#."</f>
        <v>#VALUE!</v>
      </c>
      <c r="BX76" t="e">
        <f>'Technical Skills Weighting'!B702+"`FU!%#/"</f>
        <v>#VALUE!</v>
      </c>
      <c r="BY76" t="e">
        <f>'Technical Skills Weighting'!B703+"`FU!%#0"</f>
        <v>#VALUE!</v>
      </c>
      <c r="BZ76" t="e">
        <f>'Technical Skills Weighting'!B704+"`FU!%#1"</f>
        <v>#VALUE!</v>
      </c>
      <c r="CA76" t="e">
        <f>'Technical Skills Weighting'!B705+"`FU!%#2"</f>
        <v>#VALUE!</v>
      </c>
      <c r="CB76" t="e">
        <f>'Technical Skills Weighting'!B706+"`FU!%#3"</f>
        <v>#VALUE!</v>
      </c>
      <c r="CC76" t="e">
        <f>'Technical Skills Weighting'!B707+"`FU!%#4"</f>
        <v>#VALUE!</v>
      </c>
      <c r="CD76" t="e">
        <f>'Technical Skills Weighting'!B708+"`FU!%#5"</f>
        <v>#VALUE!</v>
      </c>
      <c r="CE76" t="e">
        <f>'Technical Skills Weighting'!B709+"`FU!%#6"</f>
        <v>#VALUE!</v>
      </c>
      <c r="CF76" t="e">
        <f>'Technical Skills Weighting'!B710+"`FU!%#7"</f>
        <v>#VALUE!</v>
      </c>
      <c r="CG76" t="e">
        <f>'Technical Skills Weighting'!B711+"`FU!%#8"</f>
        <v>#VALUE!</v>
      </c>
      <c r="CH76" t="e">
        <f>'Technical Skills Weighting'!B712+"`FU!%#9"</f>
        <v>#VALUE!</v>
      </c>
      <c r="CI76" t="e">
        <f>'Technical Skills Weighting'!B713+"`FU!%#:"</f>
        <v>#VALUE!</v>
      </c>
      <c r="CJ76" t="e">
        <f>'Technical Skills Weighting'!B714+"`FU!%#;"</f>
        <v>#VALUE!</v>
      </c>
      <c r="CK76" t="e">
        <f>'Technical Skills Weighting'!B715+"`FU!%#&lt;"</f>
        <v>#VALUE!</v>
      </c>
      <c r="CL76" t="e">
        <f>'Technical Skills Weighting'!B716+"`FU!%#="</f>
        <v>#VALUE!</v>
      </c>
      <c r="CM76" t="e">
        <f>'Technical Skills Weighting'!B717+"`FU!%#&gt;"</f>
        <v>#VALUE!</v>
      </c>
      <c r="CN76" t="e">
        <f>'Technical Skills Weighting'!B718+"`FU!%#?"</f>
        <v>#VALUE!</v>
      </c>
      <c r="CO76" t="e">
        <f>'Technical Skills Weighting'!B719+"`FU!%#@"</f>
        <v>#VALUE!</v>
      </c>
      <c r="CP76" t="e">
        <f>'Technical Skills Weighting'!B720+"`FU!%#A"</f>
        <v>#VALUE!</v>
      </c>
      <c r="CQ76" t="e">
        <f>'Technical Skills Weighting'!B721+"`FU!%#B"</f>
        <v>#VALUE!</v>
      </c>
      <c r="CR76" t="e">
        <f>'Technical Skills Weighting'!B722+"`FU!%#C"</f>
        <v>#VALUE!</v>
      </c>
      <c r="CS76" t="e">
        <f>'Technical Skills Weighting'!B723+"`FU!%#D"</f>
        <v>#VALUE!</v>
      </c>
      <c r="CT76" t="e">
        <f>'Technical Skills Weighting'!B724+"`FU!%#E"</f>
        <v>#VALUE!</v>
      </c>
      <c r="CU76" t="e">
        <f>'Technical Skills Weighting'!B725+"`FU!%#F"</f>
        <v>#VALUE!</v>
      </c>
      <c r="CV76" t="e">
        <f>'Technical Skills Weighting'!B726+"`FU!%#G"</f>
        <v>#VALUE!</v>
      </c>
      <c r="CW76" t="e">
        <f>'Technical Skills Weighting'!B727+"`FU!%#H"</f>
        <v>#VALUE!</v>
      </c>
      <c r="CX76" t="e">
        <f>'Technical Skills Weighting'!B728+"`FU!%#I"</f>
        <v>#VALUE!</v>
      </c>
      <c r="CY76" t="e">
        <f>'Technical Skills Weighting'!B729+"`FU!%#J"</f>
        <v>#VALUE!</v>
      </c>
      <c r="CZ76" t="e">
        <f>'Technical Skills Weighting'!B730+"`FU!%#K"</f>
        <v>#VALUE!</v>
      </c>
      <c r="DA76" t="e">
        <f>'Technical Skills Weighting'!B731+"`FU!%#L"</f>
        <v>#VALUE!</v>
      </c>
      <c r="DB76" t="e">
        <f>'Technical Skills Weighting'!B732+"`FU!%#M"</f>
        <v>#VALUE!</v>
      </c>
      <c r="DC76" t="e">
        <f>'Technical Skills Weighting'!B733+"`FU!%#N"</f>
        <v>#VALUE!</v>
      </c>
      <c r="DD76" t="e">
        <f>'Technical Skills Weighting'!B734+"`FU!%#O"</f>
        <v>#VALUE!</v>
      </c>
      <c r="DE76" t="e">
        <f>'Technical Skills Weighting'!B735+"`FU!%#P"</f>
        <v>#VALUE!</v>
      </c>
      <c r="DF76" t="e">
        <f>'Technical Skills Weighting'!B736+"`FU!%#Q"</f>
        <v>#VALUE!</v>
      </c>
      <c r="DG76" t="e">
        <f>'Technical Skills Weighting'!B737+"`FU!%#R"</f>
        <v>#VALUE!</v>
      </c>
      <c r="DH76" t="e">
        <f>'Technical Skills Weighting'!B738+"`FU!%#S"</f>
        <v>#VALUE!</v>
      </c>
      <c r="DI76" t="e">
        <f>'Technical Skills Weighting'!B739+"`FU!%#T"</f>
        <v>#VALUE!</v>
      </c>
      <c r="DJ76" t="e">
        <f>'Technical Skills Weighting'!B740+"`FU!%#U"</f>
        <v>#VALUE!</v>
      </c>
      <c r="DK76" t="e">
        <f>'Technical Skills Weighting'!B741+"`FU!%#V"</f>
        <v>#VALUE!</v>
      </c>
      <c r="DL76" t="e">
        <f>'Technical Skills Weighting'!B742+"`FU!%#W"</f>
        <v>#VALUE!</v>
      </c>
      <c r="DM76" t="e">
        <f>'Technical Skills Weighting'!B743+"`FU!%#X"</f>
        <v>#VALUE!</v>
      </c>
      <c r="DN76" t="e">
        <f>'Technical Skills Weighting'!B744+"`FU!%#Y"</f>
        <v>#VALUE!</v>
      </c>
      <c r="DO76" t="e">
        <f>'Technical Skills Weighting'!B745+"`FU!%#Z"</f>
        <v>#VALUE!</v>
      </c>
      <c r="DP76" t="e">
        <f>'Technical Skills Weighting'!B746+"`FU!%#["</f>
        <v>#VALUE!</v>
      </c>
      <c r="DQ76" t="e">
        <f>'Technical Skills Weighting'!B747+"`FU!%#\"</f>
        <v>#VALUE!</v>
      </c>
      <c r="DR76" t="e">
        <f>'Technical Skills Weighting'!B748+"`FU!%#]"</f>
        <v>#VALUE!</v>
      </c>
      <c r="DS76" t="e">
        <f>'Technical Skills Weighting'!B749+"`FU!%#^"</f>
        <v>#VALUE!</v>
      </c>
      <c r="DT76" t="e">
        <f>'Technical Skills Weighting'!B750+"`FU!%#_"</f>
        <v>#VALUE!</v>
      </c>
      <c r="DU76" t="e">
        <f>'Technical Skills Weighting'!B751+"`FU!%#`"</f>
        <v>#VALUE!</v>
      </c>
      <c r="DV76" t="e">
        <f>'Technical Skills Weighting'!B752+"`FU!%#a"</f>
        <v>#VALUE!</v>
      </c>
      <c r="DW76" t="e">
        <f>'Technical Skills Weighting'!B753+"`FU!%#b"</f>
        <v>#VALUE!</v>
      </c>
      <c r="DX76" t="e">
        <f>'Technical Skills Weighting'!B754+"`FU!%#c"</f>
        <v>#VALUE!</v>
      </c>
      <c r="DY76" t="e">
        <f>'Technical Skills Weighting'!B755+"`FU!%#d"</f>
        <v>#VALUE!</v>
      </c>
      <c r="DZ76" t="e">
        <f>'Technical Skills Weighting'!B756+"`FU!%#e"</f>
        <v>#VALUE!</v>
      </c>
      <c r="EA76" t="e">
        <f>'Technical Skills Weighting'!B757+"`FU!%#f"</f>
        <v>#VALUE!</v>
      </c>
      <c r="EB76" t="e">
        <f>'Technical Skills Weighting'!B758+"`FU!%#g"</f>
        <v>#VALUE!</v>
      </c>
      <c r="EC76" t="e">
        <f>'Technical Skills Weighting'!B759+"`FU!%#h"</f>
        <v>#VALUE!</v>
      </c>
      <c r="ED76" t="e">
        <f>'Technical Skills Weighting'!B760+"`FU!%#i"</f>
        <v>#VALUE!</v>
      </c>
      <c r="EE76" t="e">
        <f>'Technical Skills Weighting'!B761+"`FU!%#j"</f>
        <v>#VALUE!</v>
      </c>
      <c r="EF76" t="e">
        <f>'Technical Skills Weighting'!B762+"`FU!%#k"</f>
        <v>#VALUE!</v>
      </c>
      <c r="EG76" t="e">
        <f>'Technical Skills Weighting'!B763+"`FU!%#l"</f>
        <v>#VALUE!</v>
      </c>
      <c r="EH76" t="e">
        <f>'Technical Skills Weighting'!B764+"`FU!%#m"</f>
        <v>#VALUE!</v>
      </c>
      <c r="EI76" t="e">
        <f>'Technical Skills Weighting'!B765+"`FU!%#n"</f>
        <v>#VALUE!</v>
      </c>
      <c r="EJ76" t="e">
        <f>'Technical Skills Weighting'!B766+"`FU!%#o"</f>
        <v>#VALUE!</v>
      </c>
      <c r="EK76" t="e">
        <f>'Technical Skills Weighting'!B767+"`FU!%#p"</f>
        <v>#VALUE!</v>
      </c>
      <c r="EL76" t="e">
        <f>'Technical Skills Weighting'!B768+"`FU!%#q"</f>
        <v>#VALUE!</v>
      </c>
      <c r="EM76" t="e">
        <f>'Technical Skills Weighting'!B769+"`FU!%#r"</f>
        <v>#VALUE!</v>
      </c>
      <c r="EN76" t="e">
        <f>'Technical Skills Weighting'!B770+"`FU!%#s"</f>
        <v>#VALUE!</v>
      </c>
      <c r="EO76" t="e">
        <f>'Technical Skills Weighting'!B771+"`FU!%#t"</f>
        <v>#VALUE!</v>
      </c>
      <c r="EP76" t="e">
        <f>'Technical Skills Weighting'!B772+"`FU!%#u"</f>
        <v>#VALUE!</v>
      </c>
      <c r="EQ76" t="e">
        <f>'Technical Skills Weighting'!B773+"`FU!%#v"</f>
        <v>#VALUE!</v>
      </c>
      <c r="ER76" t="e">
        <f>'Technical Skills Weighting'!B774+"`FU!%#w"</f>
        <v>#VALUE!</v>
      </c>
      <c r="ES76" t="e">
        <f>'Technical Skills Weighting'!B775+"`FU!%#x"</f>
        <v>#VALUE!</v>
      </c>
      <c r="ET76" t="e">
        <f>'Technical Skills Weighting'!B776+"`FU!%#y"</f>
        <v>#VALUE!</v>
      </c>
      <c r="EU76" t="e">
        <f>'Technical Skills Weighting'!B777+"`FU!%#z"</f>
        <v>#VALUE!</v>
      </c>
      <c r="EV76" t="e">
        <f>'Technical Skills Weighting'!B778+"`FU!%#{"</f>
        <v>#VALUE!</v>
      </c>
      <c r="EW76" t="e">
        <f>'Technical Skills Weighting'!B779+"`FU!%#|"</f>
        <v>#VALUE!</v>
      </c>
      <c r="EX76" t="e">
        <f>'Technical Skills Weighting'!B780+"`FU!%#}"</f>
        <v>#VALUE!</v>
      </c>
      <c r="EY76" t="e">
        <f>'Technical Skills Weighting'!B781+"`FU!%#~"</f>
        <v>#VALUE!</v>
      </c>
      <c r="EZ76" t="e">
        <f>'Technical Skills Weighting'!B782+"`FU!%$#"</f>
        <v>#VALUE!</v>
      </c>
      <c r="FA76" t="e">
        <f>'Technical Skills Weighting'!B783+"`FU!%$$"</f>
        <v>#VALUE!</v>
      </c>
      <c r="FB76" t="e">
        <f>'Technical Skills Weighting'!B784+"`FU!%$%"</f>
        <v>#VALUE!</v>
      </c>
      <c r="FC76" t="e">
        <f>'Technical Skills Weighting'!B785+"`FU!%$&amp;"</f>
        <v>#VALUE!</v>
      </c>
      <c r="FD76" t="e">
        <f>'Technical Skills Weighting'!B786+"`FU!%$'"</f>
        <v>#VALUE!</v>
      </c>
      <c r="FE76" t="e">
        <f>'Technical Skills Weighting'!B787+"`FU!%$("</f>
        <v>#VALUE!</v>
      </c>
      <c r="FF76" t="e">
        <f>'Technical Skills Weighting'!B788+"`FU!%$)"</f>
        <v>#VALUE!</v>
      </c>
      <c r="FG76" t="e">
        <f>'Technical Skills Weighting'!B789+"`FU!%$."</f>
        <v>#VALUE!</v>
      </c>
      <c r="FH76" t="e">
        <f>'Technical Skills Weighting'!B790+"`FU!%$/"</f>
        <v>#VALUE!</v>
      </c>
      <c r="FI76" t="e">
        <f>'Technical Skills Weighting'!B791+"`FU!%$0"</f>
        <v>#VALUE!</v>
      </c>
      <c r="FJ76" t="e">
        <f>'Technical Skills Weighting'!B792+"`FU!%$1"</f>
        <v>#VALUE!</v>
      </c>
      <c r="FK76" t="e">
        <f>'Technical Skills Weighting'!B793+"`FU!%$2"</f>
        <v>#VALUE!</v>
      </c>
      <c r="FL76" t="e">
        <f>'Technical Skills Weighting'!B794+"`FU!%$3"</f>
        <v>#VALUE!</v>
      </c>
      <c r="FM76" t="e">
        <f>'Technical Skills Weighting'!B795+"`FU!%$4"</f>
        <v>#VALUE!</v>
      </c>
      <c r="FN76" t="e">
        <f>'Technical Skills Weighting'!B796+"`FU!%$5"</f>
        <v>#VALUE!</v>
      </c>
      <c r="FO76" t="e">
        <f>'Technical Skills Weighting'!B797+"`FU!%$6"</f>
        <v>#VALUE!</v>
      </c>
      <c r="FP76" t="e">
        <f>'Technical Skills Weighting'!B798+"`FU!%$7"</f>
        <v>#VALUE!</v>
      </c>
      <c r="FQ76" t="e">
        <f>'Technical Skills Weighting'!B799+"`FU!%$8"</f>
        <v>#VALUE!</v>
      </c>
      <c r="FR76" t="e">
        <f>'Technical Skills Weighting'!B800+"`FU!%$9"</f>
        <v>#VALUE!</v>
      </c>
      <c r="FS76" t="e">
        <f>'Technical Skills Weighting'!B801+"`FU!%$:"</f>
        <v>#VALUE!</v>
      </c>
      <c r="FT76" t="e">
        <f>'Technical Skills Weighting'!B802+"`FU!%$;"</f>
        <v>#VALUE!</v>
      </c>
      <c r="FU76" t="e">
        <f>'Technical Skills Weighting'!B803+"`FU!%$&lt;"</f>
        <v>#VALUE!</v>
      </c>
      <c r="FV76" t="e">
        <f>'Technical Skills Weighting'!B804+"`FU!%$="</f>
        <v>#VALUE!</v>
      </c>
      <c r="FW76" t="e">
        <f>'Technical Skills Weighting'!B805+"`FU!%$&gt;"</f>
        <v>#VALUE!</v>
      </c>
      <c r="FX76" t="e">
        <f>'Technical Skills Weighting'!B806+"`FU!%$?"</f>
        <v>#VALUE!</v>
      </c>
      <c r="FY76" t="e">
        <f>'Technical Skills Weighting'!B807+"`FU!%$@"</f>
        <v>#VALUE!</v>
      </c>
      <c r="FZ76" t="e">
        <f>'Technical Skills Weighting'!B808+"`FU!%$A"</f>
        <v>#VALUE!</v>
      </c>
      <c r="GA76" t="e">
        <f>'Technical Skills Weighting'!B809+"`FU!%$B"</f>
        <v>#VALUE!</v>
      </c>
      <c r="GB76" t="e">
        <f>'Technical Skills Weighting'!B810+"`FU!%$C"</f>
        <v>#VALUE!</v>
      </c>
      <c r="GC76" t="e">
        <f>'Technical Skills Weighting'!B811+"`FU!%$D"</f>
        <v>#VALUE!</v>
      </c>
      <c r="GD76" t="e">
        <f>'Technical Skills Weighting'!B812+"`FU!%$E"</f>
        <v>#VALUE!</v>
      </c>
      <c r="GE76" t="e">
        <f>'Technical Skills Weighting'!B813+"`FU!%$F"</f>
        <v>#VALUE!</v>
      </c>
      <c r="GF76" t="e">
        <f>'Technical Skills Weighting'!B814+"`FU!%$G"</f>
        <v>#VALUE!</v>
      </c>
      <c r="GG76" t="e">
        <f>'Technical Skills Weighting'!B815+"`FU!%$H"</f>
        <v>#VALUE!</v>
      </c>
      <c r="GH76" t="e">
        <f>'Technical Skills Weighting'!B816+"`FU!%$I"</f>
        <v>#VALUE!</v>
      </c>
      <c r="GI76" t="e">
        <f>'Technical Skills Weighting'!B817+"`FU!%$J"</f>
        <v>#VALUE!</v>
      </c>
      <c r="GJ76" t="e">
        <f>'Technical Skills Weighting'!B818+"`FU!%$K"</f>
        <v>#VALUE!</v>
      </c>
      <c r="GK76" t="e">
        <f>'Technical Skills Weighting'!B819+"`FU!%$L"</f>
        <v>#VALUE!</v>
      </c>
      <c r="GL76" t="e">
        <f>'Technical Skills Weighting'!B820+"`FU!%$M"</f>
        <v>#VALUE!</v>
      </c>
      <c r="GM76" t="e">
        <f>'Technical Skills Weighting'!B821+"`FU!%$N"</f>
        <v>#VALUE!</v>
      </c>
      <c r="GN76" t="e">
        <f>'Technical Skills Weighting'!B822+"`FU!%$O"</f>
        <v>#VALUE!</v>
      </c>
      <c r="GO76" t="e">
        <f>'Technical Skills Weighting'!B823+"`FU!%$P"</f>
        <v>#VALUE!</v>
      </c>
      <c r="GP76" t="e">
        <f>'Technical Skills Weighting'!B824+"`FU!%$Q"</f>
        <v>#VALUE!</v>
      </c>
      <c r="GQ76" t="e">
        <f>'Technical Skills Weighting'!B825+"`FU!%$R"</f>
        <v>#VALUE!</v>
      </c>
      <c r="GR76" t="e">
        <f>'Technical Skills Weighting'!B826+"`FU!%$S"</f>
        <v>#VALUE!</v>
      </c>
      <c r="GS76" t="e">
        <f>'Technical Skills Weighting'!B827+"`FU!%$T"</f>
        <v>#VALUE!</v>
      </c>
      <c r="GT76" t="e">
        <f>'Technical Skills Weighting'!B828+"`FU!%$U"</f>
        <v>#VALUE!</v>
      </c>
      <c r="GU76" t="e">
        <f>'Technical Skills Weighting'!B829+"`FU!%$V"</f>
        <v>#VALUE!</v>
      </c>
      <c r="GV76" t="e">
        <f>'Technical Skills Weighting'!B830+"`FU!%$W"</f>
        <v>#VALUE!</v>
      </c>
      <c r="GW76" t="e">
        <f>'Technical Skills Weighting'!B831+"`FU!%$X"</f>
        <v>#VALUE!</v>
      </c>
      <c r="GX76" t="e">
        <f>'Technical Skills Weighting'!B832+"`FU!%$Y"</f>
        <v>#VALUE!</v>
      </c>
      <c r="GY76" t="e">
        <f>'Technical Skills Weighting'!B833+"`FU!%$Z"</f>
        <v>#VALUE!</v>
      </c>
      <c r="GZ76" t="e">
        <f>'Technical Skills Weighting'!B834+"`FU!%$["</f>
        <v>#VALUE!</v>
      </c>
      <c r="HA76" t="e">
        <f>'Technical Skills Weighting'!B835+"`FU!%$\"</f>
        <v>#VALUE!</v>
      </c>
      <c r="HB76" t="e">
        <f>'Technical Skills Weighting'!B836+"`FU!%$]"</f>
        <v>#VALUE!</v>
      </c>
      <c r="HC76" t="e">
        <f>'Technical Skills Weighting'!B837+"`FU!%$^"</f>
        <v>#VALUE!</v>
      </c>
      <c r="HD76" t="e">
        <f>'Technical Skills Weighting'!B838+"`FU!%$_"</f>
        <v>#VALUE!</v>
      </c>
      <c r="HE76" t="e">
        <f>'Technical Skills Weighting'!B839+"`FU!%$`"</f>
        <v>#VALUE!</v>
      </c>
      <c r="HF76" t="e">
        <f>'Technical Skills Weighting'!B840+"`FU!%$a"</f>
        <v>#VALUE!</v>
      </c>
      <c r="HG76" t="e">
        <f>'Technical Skills Weighting'!B841+"`FU!%$b"</f>
        <v>#VALUE!</v>
      </c>
      <c r="HH76" t="e">
        <f>'Technical Skills Weighting'!B842+"`FU!%$c"</f>
        <v>#VALUE!</v>
      </c>
      <c r="HI76" t="e">
        <f>'Technical Skills Weighting'!B843+"`FU!%$d"</f>
        <v>#VALUE!</v>
      </c>
      <c r="HJ76" t="e">
        <f>'Technical Skills Weighting'!B844+"`FU!%$e"</f>
        <v>#VALUE!</v>
      </c>
      <c r="HK76" t="e">
        <f>'Technical Skills Weighting'!B845+"`FU!%$f"</f>
        <v>#VALUE!</v>
      </c>
      <c r="HL76" t="e">
        <f>'Technical Skills Weighting'!B846+"`FU!%$g"</f>
        <v>#VALUE!</v>
      </c>
      <c r="HM76" t="e">
        <f>'Technical Skills Weighting'!B847+"`FU!%$h"</f>
        <v>#VALUE!</v>
      </c>
      <c r="HN76" t="e">
        <f>'Technical Skills Weighting'!B848+"`FU!%$i"</f>
        <v>#VALUE!</v>
      </c>
      <c r="HO76" t="e">
        <f>'Technical Skills Weighting'!B849+"`FU!%$j"</f>
        <v>#VALUE!</v>
      </c>
      <c r="HP76" t="e">
        <f>'Technical Skills Weighting'!B850+"`FU!%$k"</f>
        <v>#VALUE!</v>
      </c>
      <c r="HQ76" t="e">
        <f>'Technical Skills Weighting'!B851+"`FU!%$l"</f>
        <v>#VALUE!</v>
      </c>
      <c r="HR76" t="e">
        <f>'Technical Skills Weighting'!B852+"`FU!%$m"</f>
        <v>#VALUE!</v>
      </c>
      <c r="HS76" t="e">
        <f>'Technical Skills Weighting'!B853+"`FU!%$n"</f>
        <v>#VALUE!</v>
      </c>
      <c r="HT76" t="e">
        <f>'Technical Skills Weighting'!B854+"`FU!%$o"</f>
        <v>#VALUE!</v>
      </c>
      <c r="HU76" t="e">
        <f>'Technical Skills Weighting'!B855+"`FU!%$p"</f>
        <v>#VALUE!</v>
      </c>
      <c r="HV76" t="e">
        <f>'Technical Skills Weighting'!B856+"`FU!%$q"</f>
        <v>#VALUE!</v>
      </c>
      <c r="HW76" t="e">
        <f>'Technical Skills Weighting'!B857+"`FU!%$r"</f>
        <v>#VALUE!</v>
      </c>
      <c r="HX76" t="e">
        <f>'Technical Skills Weighting'!B858+"`FU!%$s"</f>
        <v>#VALUE!</v>
      </c>
      <c r="HY76" t="e">
        <f>'Technical Skills Weighting'!B859+"`FU!%$t"</f>
        <v>#VALUE!</v>
      </c>
      <c r="HZ76" t="e">
        <f>'Technical Skills Weighting'!B860+"`FU!%$u"</f>
        <v>#VALUE!</v>
      </c>
      <c r="IA76" t="e">
        <f>'Technical Skills Weighting'!B861+"`FU!%$v"</f>
        <v>#VALUE!</v>
      </c>
      <c r="IB76" t="e">
        <f>'Technical Skills Weighting'!B862+"`FU!%$w"</f>
        <v>#VALUE!</v>
      </c>
      <c r="IC76" t="e">
        <f>'Technical Skills Weighting'!B863+"`FU!%$x"</f>
        <v>#VALUE!</v>
      </c>
      <c r="ID76" t="e">
        <f>'Technical Skills Weighting'!B864+"`FU!%$y"</f>
        <v>#VALUE!</v>
      </c>
      <c r="IE76" t="e">
        <f>'Technical Skills Weighting'!B865+"`FU!%$z"</f>
        <v>#VALUE!</v>
      </c>
      <c r="IF76" t="e">
        <f>'Technical Skills Weighting'!B866+"`FU!%${"</f>
        <v>#VALUE!</v>
      </c>
      <c r="IG76" t="e">
        <f>'Technical Skills Weighting'!B867+"`FU!%$|"</f>
        <v>#VALUE!</v>
      </c>
      <c r="IH76" t="e">
        <f>'Technical Skills Weighting'!B868+"`FU!%$}"</f>
        <v>#VALUE!</v>
      </c>
      <c r="II76" t="e">
        <f>'Technical Skills Weighting'!B869+"`FU!%$~"</f>
        <v>#VALUE!</v>
      </c>
      <c r="IJ76" t="e">
        <f>'Technical Skills Weighting'!B870+"`FU!%%#"</f>
        <v>#VALUE!</v>
      </c>
      <c r="IK76" t="e">
        <f>'Technical Skills Weighting'!B871+"`FU!%%$"</f>
        <v>#VALUE!</v>
      </c>
      <c r="IL76" t="e">
        <f>'Technical Skills Weighting'!B872+"`FU!%%%"</f>
        <v>#VALUE!</v>
      </c>
      <c r="IM76" t="e">
        <f>'Technical Skills Weighting'!B873+"`FU!%%&amp;"</f>
        <v>#VALUE!</v>
      </c>
      <c r="IN76" t="e">
        <f>'Technical Skills Weighting'!B874+"`FU!%%'"</f>
        <v>#VALUE!</v>
      </c>
      <c r="IO76" t="e">
        <f>'Technical Skills Weighting'!B875+"`FU!%%("</f>
        <v>#VALUE!</v>
      </c>
      <c r="IP76" t="e">
        <f>'Technical Skills Weighting'!B876+"`FU!%%)"</f>
        <v>#VALUE!</v>
      </c>
      <c r="IQ76" t="e">
        <f>'Technical Skills Weighting'!B877+"`FU!%%."</f>
        <v>#VALUE!</v>
      </c>
      <c r="IR76" t="e">
        <f>'Technical Skills Weighting'!B878+"`FU!%%/"</f>
        <v>#VALUE!</v>
      </c>
      <c r="IS76" t="e">
        <f>'Technical Skills Weighting'!B879+"`FU!%%0"</f>
        <v>#VALUE!</v>
      </c>
      <c r="IT76" t="e">
        <f>'Technical Skills Weighting'!B880+"`FU!%%1"</f>
        <v>#VALUE!</v>
      </c>
      <c r="IU76" t="e">
        <f>'Technical Skills Weighting'!B881+"`FU!%%2"</f>
        <v>#VALUE!</v>
      </c>
      <c r="IV76" t="e">
        <f>'Technical Skills Weighting'!B882+"`FU!%%3"</f>
        <v>#VALUE!</v>
      </c>
    </row>
    <row r="77" spans="6:256" x14ac:dyDescent="0.25">
      <c r="F77" t="e">
        <f>'Technical Skills Weighting'!B883+"`FU!%%4"</f>
        <v>#VALUE!</v>
      </c>
      <c r="G77" t="e">
        <f>'Technical Skills Weighting'!B884+"`FU!%%5"</f>
        <v>#VALUE!</v>
      </c>
      <c r="H77" t="e">
        <f>'Technical Skills Weighting'!B885+"`FU!%%6"</f>
        <v>#VALUE!</v>
      </c>
      <c r="I77" t="e">
        <f>'Technical Skills Weighting'!B886+"`FU!%%7"</f>
        <v>#VALUE!</v>
      </c>
      <c r="J77" t="e">
        <f>'Technical Skills Weighting'!B887+"`FU!%%8"</f>
        <v>#VALUE!</v>
      </c>
      <c r="K77" t="e">
        <f>'Technical Skills Weighting'!B888+"`FU!%%9"</f>
        <v>#VALUE!</v>
      </c>
      <c r="L77" t="e">
        <f>'Technical Skills Weighting'!B889+"`FU!%%:"</f>
        <v>#VALUE!</v>
      </c>
      <c r="M77" t="e">
        <f>'Technical Skills Weighting'!B890+"`FU!%%;"</f>
        <v>#VALUE!</v>
      </c>
      <c r="N77" t="e">
        <f>'Technical Skills Weighting'!B891+"`FU!%%&lt;"</f>
        <v>#VALUE!</v>
      </c>
      <c r="O77" t="e">
        <f>'Technical Skills Weighting'!B892+"`FU!%%="</f>
        <v>#VALUE!</v>
      </c>
      <c r="P77" t="e">
        <f>'Technical Skills Weighting'!B893+"`FU!%%&gt;"</f>
        <v>#VALUE!</v>
      </c>
      <c r="Q77" t="e">
        <f>'Technical Skills Weighting'!B894+"`FU!%%?"</f>
        <v>#VALUE!</v>
      </c>
      <c r="R77" t="e">
        <f>'Technical Skills Weighting'!B895+"`FU!%%@"</f>
        <v>#VALUE!</v>
      </c>
      <c r="S77" t="e">
        <f>'Technical Skills Weighting'!B896+"`FU!%%A"</f>
        <v>#VALUE!</v>
      </c>
      <c r="T77" t="e">
        <f>'Technical Skills Weighting'!B897+"`FU!%%B"</f>
        <v>#VALUE!</v>
      </c>
      <c r="U77" t="e">
        <f>'Technical Skills Weighting'!B898+"`FU!%%C"</f>
        <v>#VALUE!</v>
      </c>
      <c r="V77" t="e">
        <f>'Technical Skills Weighting'!B899+"`FU!%%D"</f>
        <v>#VALUE!</v>
      </c>
      <c r="W77" t="e">
        <f>'Technical Skills Weighting'!B900+"`FU!%%E"</f>
        <v>#VALUE!</v>
      </c>
      <c r="X77" t="e">
        <f>'Technical Skills Weighting'!B901+"`FU!%%F"</f>
        <v>#VALUE!</v>
      </c>
      <c r="Y77" t="e">
        <f>'Technical Skills Weighting'!B902+"`FU!%%G"</f>
        <v>#VALUE!</v>
      </c>
      <c r="Z77" t="e">
        <f>'Technical Skills Weighting'!B903+"`FU!%%H"</f>
        <v>#VALUE!</v>
      </c>
      <c r="AA77" t="e">
        <f>'Technical Skills Weighting'!B904+"`FU!%%I"</f>
        <v>#VALUE!</v>
      </c>
      <c r="AB77" t="e">
        <f>'Technical Skills Weighting'!B905+"`FU!%%J"</f>
        <v>#VALUE!</v>
      </c>
      <c r="AC77" t="e">
        <f>'Technical Skills Weighting'!B906+"`FU!%%K"</f>
        <v>#VALUE!</v>
      </c>
      <c r="AD77" t="e">
        <f>'Technical Skills Weighting'!B907+"`FU!%%L"</f>
        <v>#VALUE!</v>
      </c>
      <c r="AE77" t="e">
        <f>'Technical Skills Weighting'!B908+"`FU!%%M"</f>
        <v>#VALUE!</v>
      </c>
      <c r="AF77" t="e">
        <f>'Technical Skills Weighting'!B909+"`FU!%%N"</f>
        <v>#VALUE!</v>
      </c>
      <c r="AG77" t="e">
        <f>'Technical Skills Weighting'!B910+"`FU!%%O"</f>
        <v>#VALUE!</v>
      </c>
      <c r="AH77" t="e">
        <f>'Technical Skills Weighting'!B911+"`FU!%%P"</f>
        <v>#VALUE!</v>
      </c>
      <c r="AI77" t="e">
        <f>'Technical Skills Weighting'!B912+"`FU!%%Q"</f>
        <v>#VALUE!</v>
      </c>
      <c r="AJ77" t="e">
        <f>'Technical Skills Weighting'!B913+"`FU!%%R"</f>
        <v>#VALUE!</v>
      </c>
      <c r="AK77" t="e">
        <f>'Technical Skills Weighting'!B914+"`FU!%%S"</f>
        <v>#VALUE!</v>
      </c>
      <c r="AL77" t="e">
        <f>'Technical Skills Weighting'!B915+"`FU!%%T"</f>
        <v>#VALUE!</v>
      </c>
      <c r="AM77" t="e">
        <f>'Technical Skills Weighting'!B916+"`FU!%%U"</f>
        <v>#VALUE!</v>
      </c>
      <c r="AN77" t="e">
        <f>'Technical Skills Weighting'!B917+"`FU!%%V"</f>
        <v>#VALUE!</v>
      </c>
      <c r="AO77" t="e">
        <f>'Technical Skills Weighting'!B918+"`FU!%%W"</f>
        <v>#VALUE!</v>
      </c>
      <c r="AP77" t="e">
        <f>'Technical Skills Weighting'!B919+"`FU!%%X"</f>
        <v>#VALUE!</v>
      </c>
      <c r="AQ77" t="e">
        <f>'Technical Skills Weighting'!B920+"`FU!%%Y"</f>
        <v>#VALUE!</v>
      </c>
      <c r="AR77" t="e">
        <f>'Technical Skills Weighting'!B921+"`FU!%%Z"</f>
        <v>#VALUE!</v>
      </c>
      <c r="AS77" t="e">
        <f>'Technical Skills Weighting'!B922+"`FU!%%["</f>
        <v>#VALUE!</v>
      </c>
      <c r="AT77" t="e">
        <f>'Technical Skills Weighting'!B923+"`FU!%%\"</f>
        <v>#VALUE!</v>
      </c>
      <c r="AU77" t="e">
        <f>'Technical Skills Weighting'!B924+"`FU!%%]"</f>
        <v>#VALUE!</v>
      </c>
      <c r="AV77" t="e">
        <f>'Technical Skills Weighting'!B925+"`FU!%%^"</f>
        <v>#VALUE!</v>
      </c>
      <c r="AW77" t="e">
        <f>'Technical Skills Weighting'!B926+"`FU!%%_"</f>
        <v>#VALUE!</v>
      </c>
      <c r="AX77" t="e">
        <f>'Technical Skills Weighting'!B927+"`FU!%%`"</f>
        <v>#VALUE!</v>
      </c>
      <c r="AY77" t="e">
        <f>'Technical Skills Weighting'!B928+"`FU!%%a"</f>
        <v>#VALUE!</v>
      </c>
      <c r="AZ77" t="e">
        <f>'Technical Skills Weighting'!B929+"`FU!%%b"</f>
        <v>#VALUE!</v>
      </c>
      <c r="BA77" t="e">
        <f>'Technical Skills Weighting'!B930+"`FU!%%c"</f>
        <v>#VALUE!</v>
      </c>
      <c r="BB77" t="e">
        <f>'Technical Skills Weighting'!B931+"`FU!%%d"</f>
        <v>#VALUE!</v>
      </c>
      <c r="BC77" t="e">
        <f>'Technical Skills Weighting'!B932+"`FU!%%e"</f>
        <v>#VALUE!</v>
      </c>
      <c r="BD77" t="e">
        <f>'Technical Skills Weighting'!B933+"`FU!%%f"</f>
        <v>#VALUE!</v>
      </c>
      <c r="BE77" t="e">
        <f>'Technical Skills Weighting'!B934+"`FU!%%g"</f>
        <v>#VALUE!</v>
      </c>
      <c r="BF77" t="e">
        <f>'Technical Skills Weighting'!B935+"`FU!%%h"</f>
        <v>#VALUE!</v>
      </c>
      <c r="BG77" t="e">
        <f>'Technical Skills Weighting'!B936+"`FU!%%i"</f>
        <v>#VALUE!</v>
      </c>
      <c r="BH77" t="e">
        <f>'Technical Skills Weighting'!B937+"`FU!%%j"</f>
        <v>#VALUE!</v>
      </c>
      <c r="BI77" t="e">
        <f>'Technical Skills Weighting'!B938+"`FU!%%k"</f>
        <v>#VALUE!</v>
      </c>
      <c r="BJ77" t="e">
        <f>'Technical Skills Weighting'!B939+"`FU!%%l"</f>
        <v>#VALUE!</v>
      </c>
      <c r="BK77" t="e">
        <f>'Technical Skills Weighting'!B940+"`FU!%%m"</f>
        <v>#VALUE!</v>
      </c>
      <c r="BL77" t="e">
        <f>'Technical Skills Weighting'!B941+"`FU!%%n"</f>
        <v>#VALUE!</v>
      </c>
      <c r="BM77" t="e">
        <f>'Technical Skills Weighting'!B942+"`FU!%%o"</f>
        <v>#VALUE!</v>
      </c>
      <c r="BN77" t="e">
        <f>'Technical Skills Weighting'!B943+"`FU!%%p"</f>
        <v>#VALUE!</v>
      </c>
      <c r="BO77" t="e">
        <f>'Technical Skills Weighting'!B944+"`FU!%%q"</f>
        <v>#VALUE!</v>
      </c>
      <c r="BP77" t="e">
        <f>'Technical Skills Weighting'!B945+"`FU!%%r"</f>
        <v>#VALUE!</v>
      </c>
      <c r="BQ77" t="e">
        <f>'Technical Skills Weighting'!B946+"`FU!%%s"</f>
        <v>#VALUE!</v>
      </c>
      <c r="BR77" t="e">
        <f>'Technical Skills Weighting'!B947+"`FU!%%t"</f>
        <v>#VALUE!</v>
      </c>
      <c r="BS77" t="e">
        <f>'Technical Skills Weighting'!B948+"`FU!%%u"</f>
        <v>#VALUE!</v>
      </c>
      <c r="BT77" t="e">
        <f>'Technical Skills Weighting'!B949+"`FU!%%v"</f>
        <v>#VALUE!</v>
      </c>
      <c r="BU77" t="e">
        <f>'Technical Skills Weighting'!B950+"`FU!%%w"</f>
        <v>#VALUE!</v>
      </c>
      <c r="BV77" t="e">
        <f>'Technical Skills Weighting'!B951+"`FU!%%x"</f>
        <v>#VALUE!</v>
      </c>
      <c r="BW77" t="e">
        <f>'Technical Skills Weighting'!B952+"`FU!%%y"</f>
        <v>#VALUE!</v>
      </c>
      <c r="BX77" t="e">
        <f>'Technical Skills Weighting'!B953+"`FU!%%z"</f>
        <v>#VALUE!</v>
      </c>
      <c r="BY77" t="e">
        <f>'Technical Skills Weighting'!B954+"`FU!%%{"</f>
        <v>#VALUE!</v>
      </c>
      <c r="BZ77" t="e">
        <f>'Technical Skills Weighting'!B955+"`FU!%%|"</f>
        <v>#VALUE!</v>
      </c>
      <c r="CA77" t="e">
        <f>'Technical Skills Weighting'!B956+"`FU!%%}"</f>
        <v>#VALUE!</v>
      </c>
      <c r="CB77" t="e">
        <f>'Technical Skills Weighting'!B957+"`FU!%%~"</f>
        <v>#VALUE!</v>
      </c>
      <c r="CC77" t="e">
        <f>'Technical Skills Weighting'!B958+"`FU!%&amp;#"</f>
        <v>#VALUE!</v>
      </c>
      <c r="CD77" t="e">
        <f>'Technical Skills Weighting'!B959+"`FU!%&amp;$"</f>
        <v>#VALUE!</v>
      </c>
      <c r="CE77" t="e">
        <f>'Technical Skills Weighting'!B960+"`FU!%&amp;%"</f>
        <v>#VALUE!</v>
      </c>
      <c r="CF77" t="e">
        <f>'Technical Skills Weighting'!B961+"`FU!%&amp;&amp;"</f>
        <v>#VALUE!</v>
      </c>
      <c r="CG77" t="e">
        <f>'Technical Skills Weighting'!B962+"`FU!%&amp;'"</f>
        <v>#VALUE!</v>
      </c>
      <c r="CH77" t="e">
        <f>'Technical Skills Weighting'!B963+"`FU!%&amp;("</f>
        <v>#VALUE!</v>
      </c>
      <c r="CI77" t="e">
        <f>'Technical Skills Weighting'!B964+"`FU!%&amp;)"</f>
        <v>#VALUE!</v>
      </c>
      <c r="CJ77" t="e">
        <f>'Technical Skills Weighting'!B965+"`FU!%&amp;."</f>
        <v>#VALUE!</v>
      </c>
      <c r="CK77" t="e">
        <f>'Technical Skills Weighting'!B966+"`FU!%&amp;/"</f>
        <v>#VALUE!</v>
      </c>
      <c r="CL77" t="e">
        <f>'Technical Skills Weighting'!B967+"`FU!%&amp;0"</f>
        <v>#VALUE!</v>
      </c>
      <c r="CM77" t="e">
        <f>'Technical Skills Weighting'!B968+"`FU!%&amp;1"</f>
        <v>#VALUE!</v>
      </c>
      <c r="CN77" t="e">
        <f>'Technical Skills Weighting'!B969+"`FU!%&amp;2"</f>
        <v>#VALUE!</v>
      </c>
      <c r="CO77" t="e">
        <f>'Technical Skills Weighting'!B970+"`FU!%&amp;3"</f>
        <v>#VALUE!</v>
      </c>
      <c r="CP77" t="e">
        <f>'Technical Skills Weighting'!B971+"`FU!%&amp;4"</f>
        <v>#VALUE!</v>
      </c>
      <c r="CQ77" t="e">
        <f>'Technical Skills Weighting'!B972+"`FU!%&amp;5"</f>
        <v>#VALUE!</v>
      </c>
      <c r="CR77" t="e">
        <f>'Technical Skills Weighting'!B973+"`FU!%&amp;6"</f>
        <v>#VALUE!</v>
      </c>
      <c r="CS77" t="e">
        <f>'Technical Skills Weighting'!B974+"`FU!%&amp;7"</f>
        <v>#VALUE!</v>
      </c>
      <c r="CT77" t="e">
        <f>'Technical Skills Weighting'!B975+"`FU!%&amp;8"</f>
        <v>#VALUE!</v>
      </c>
      <c r="CU77" t="e">
        <f>'Technical Skills Weighting'!B976+"`FU!%&amp;9"</f>
        <v>#VALUE!</v>
      </c>
      <c r="CV77" t="e">
        <f>'Technical Skills Weighting'!B977+"`FU!%&amp;:"</f>
        <v>#VALUE!</v>
      </c>
      <c r="CW77" t="e">
        <f>'Technical Skills Weighting'!B978+"`FU!%&amp;;"</f>
        <v>#VALUE!</v>
      </c>
      <c r="CX77" t="e">
        <f>'Technical Skills Weighting'!B979+"`FU!%&amp;&lt;"</f>
        <v>#VALUE!</v>
      </c>
      <c r="CY77" t="e">
        <f>'Technical Skills Weighting'!B980+"`FU!%&amp;="</f>
        <v>#VALUE!</v>
      </c>
      <c r="CZ77" t="e">
        <f>'Technical Skills Weighting'!B981+"`FU!%&amp;&gt;"</f>
        <v>#VALUE!</v>
      </c>
      <c r="DA77" t="e">
        <f>'Technical Skills Weighting'!B982+"`FU!%&amp;?"</f>
        <v>#VALUE!</v>
      </c>
      <c r="DB77" t="e">
        <f>'Technical Skills Weighting'!B983+"`FU!%&amp;@"</f>
        <v>#VALUE!</v>
      </c>
      <c r="DC77" t="e">
        <f>'Technical Skills Weighting'!B984+"`FU!%&amp;A"</f>
        <v>#VALUE!</v>
      </c>
      <c r="DD77" t="e">
        <f>'Technical Skills Weighting'!B985+"`FU!%&amp;B"</f>
        <v>#VALUE!</v>
      </c>
      <c r="DE77" t="e">
        <f>'Technical Skills Weighting'!B986+"`FU!%&amp;C"</f>
        <v>#VALUE!</v>
      </c>
      <c r="DF77" t="e">
        <f>'Technical Skills Weighting'!B987+"`FU!%&amp;D"</f>
        <v>#VALUE!</v>
      </c>
      <c r="DG77" t="e">
        <f>'Technical Skills Weighting'!B988+"`FU!%&amp;E"</f>
        <v>#VALUE!</v>
      </c>
      <c r="DH77" t="e">
        <f>'Technical Skills Weighting'!B989+"`FU!%&amp;F"</f>
        <v>#VALUE!</v>
      </c>
      <c r="DI77" t="e">
        <f>'Technical Skills Weighting'!B990+"`FU!%&amp;G"</f>
        <v>#VALUE!</v>
      </c>
      <c r="DJ77" t="e">
        <f>'Technical Skills Weighting'!B991+"`FU!%&amp;H"</f>
        <v>#VALUE!</v>
      </c>
      <c r="DK77" t="e">
        <f>'Technical Skills Weighting'!B992+"`FU!%&amp;I"</f>
        <v>#VALUE!</v>
      </c>
      <c r="DL77" t="e">
        <f>'Technical Skills Weighting'!B993+"`FU!%&amp;J"</f>
        <v>#VALUE!</v>
      </c>
      <c r="DM77" t="e">
        <f>'Technical Skills Weighting'!B994+"`FU!%&amp;K"</f>
        <v>#VALUE!</v>
      </c>
      <c r="DN77" t="e">
        <f>'Technical Skills Weighting'!B995+"`FU!%&amp;L"</f>
        <v>#VALUE!</v>
      </c>
      <c r="DO77" t="e">
        <f>'Technical Skills Weighting'!B996+"`FU!%&amp;M"</f>
        <v>#VALUE!</v>
      </c>
      <c r="DP77" t="e">
        <f>'Technical Skills Weighting'!B997+"`FU!%&amp;N"</f>
        <v>#VALUE!</v>
      </c>
      <c r="DQ77" t="e">
        <f>'Technical Skills Weighting'!B998+"`FU!%&amp;O"</f>
        <v>#VALUE!</v>
      </c>
      <c r="DR77" t="e">
        <f>'Technical Skills Weighting'!B999+"`FU!%&amp;P"</f>
        <v>#VALUE!</v>
      </c>
      <c r="DS77" t="e">
        <f>'Technical Skills Weighting'!B1000+"`FU!%&amp;Q"</f>
        <v>#VALUE!</v>
      </c>
      <c r="DT77" t="e">
        <f>'Technical Skills Weighting'!B1001+"`FU!%&amp;R"</f>
        <v>#VALUE!</v>
      </c>
      <c r="DU77" t="e">
        <f>'Technical Skills Weighting'!B1002+"`FU!%&amp;S"</f>
        <v>#VALUE!</v>
      </c>
      <c r="DV77" t="e">
        <f>'Technical Skills Weighting'!B1003+"`FU!%&amp;T"</f>
        <v>#VALUE!</v>
      </c>
      <c r="DW77" t="e">
        <f>'Technical Skills Weighting'!B1004+"`FU!%&amp;U"</f>
        <v>#VALUE!</v>
      </c>
      <c r="DX77" t="e">
        <f>'Technical Skills Weighting'!B1005+"`FU!%&amp;V"</f>
        <v>#VALUE!</v>
      </c>
      <c r="DY77" t="e">
        <f>'Technical Skills Weighting'!B1006+"`FU!%&amp;W"</f>
        <v>#VALUE!</v>
      </c>
      <c r="DZ77" t="e">
        <f>'Technical Skills Weighting'!B1007+"`FU!%&amp;X"</f>
        <v>#VALUE!</v>
      </c>
      <c r="EA77" t="e">
        <f>'Technical Skills Weighting'!B1008+"`FU!%&amp;Y"</f>
        <v>#VALUE!</v>
      </c>
      <c r="EB77" t="e">
        <f>'Technical Skills Weighting'!B1009+"`FU!%&amp;Z"</f>
        <v>#VALUE!</v>
      </c>
      <c r="EC77" t="e">
        <f>'Technical Skills Weighting'!B1010+"`FU!%&amp;["</f>
        <v>#VALUE!</v>
      </c>
      <c r="ED77" t="e">
        <f>'Technical Skills Weighting'!B1011+"`FU!%&amp;\"</f>
        <v>#VALUE!</v>
      </c>
      <c r="EE77" t="e">
        <f>'Technical Skills Weighting'!B1012+"`FU!%&amp;]"</f>
        <v>#VALUE!</v>
      </c>
      <c r="EF77" t="e">
        <f>'Technical Skills Weighting'!B1013+"`FU!%&amp;^"</f>
        <v>#VALUE!</v>
      </c>
      <c r="EG77" t="e">
        <f>'Technical Skills Weighting'!B1014+"`FU!%&amp;_"</f>
        <v>#VALUE!</v>
      </c>
      <c r="EH77" t="e">
        <f>'Technical Skills Weighting'!B1015+"`FU!%&amp;`"</f>
        <v>#VALUE!</v>
      </c>
      <c r="EI77" t="e">
        <f>'Technical Skills Weighting'!B1016+"`FU!%&amp;a"</f>
        <v>#VALUE!</v>
      </c>
      <c r="EJ77" t="e">
        <f>'Technical Skills Weighting'!B1017+"`FU!%&amp;b"</f>
        <v>#VALUE!</v>
      </c>
      <c r="EK77" t="e">
        <f>'Technical Skills Weighting'!B1018+"`FU!%&amp;c"</f>
        <v>#VALUE!</v>
      </c>
      <c r="EL77" t="e">
        <f>'Technical Skills Weighting'!B1019+"`FU!%&amp;d"</f>
        <v>#VALUE!</v>
      </c>
      <c r="EM77" t="e">
        <f>'Technical Skills Weighting'!B1020+"`FU!%&amp;e"</f>
        <v>#VALUE!</v>
      </c>
      <c r="EN77" t="e">
        <f>'Technical Skills Weighting'!B1021+"`FU!%&amp;f"</f>
        <v>#VALUE!</v>
      </c>
      <c r="EO77" t="e">
        <f>'Technical Skills Weighting'!B1022+"`FU!%&amp;g"</f>
        <v>#VALUE!</v>
      </c>
      <c r="EP77" t="e">
        <f>'Technical Skills Weighting'!B1023+"`FU!%&amp;h"</f>
        <v>#VALUE!</v>
      </c>
      <c r="EQ77" t="e">
        <f>'Technical Skills Weighting'!B1024+"`FU!%&amp;i"</f>
        <v>#VALUE!</v>
      </c>
      <c r="ER77" t="e">
        <f>'Technical Skills Weighting'!B1025+"`FU!%&amp;j"</f>
        <v>#VALUE!</v>
      </c>
      <c r="ES77" t="e">
        <f>'Technical Skills Weighting'!B1026+"`FU!%&amp;k"</f>
        <v>#VALUE!</v>
      </c>
      <c r="ET77" t="e">
        <f>'Technical Skills Weighting'!B1027+"`FU!%&amp;l"</f>
        <v>#VALUE!</v>
      </c>
      <c r="EU77" t="e">
        <f>'Technical Skills Weighting'!B1028+"`FU!%&amp;m"</f>
        <v>#VALUE!</v>
      </c>
      <c r="EV77" t="e">
        <f>'Technical Skills Weighting'!B1029+"`FU!%&amp;n"</f>
        <v>#VALUE!</v>
      </c>
      <c r="EW77" t="e">
        <f>'Technical Skills Weighting'!B1030+"`FU!%&amp;o"</f>
        <v>#VALUE!</v>
      </c>
      <c r="EX77" t="e">
        <f>'Technical Skills Weighting'!B1031+"`FU!%&amp;p"</f>
        <v>#VALUE!</v>
      </c>
      <c r="EY77" t="e">
        <f>'Technical Skills Weighting'!B1032+"`FU!%&amp;q"</f>
        <v>#VALUE!</v>
      </c>
      <c r="EZ77" t="e">
        <f>'Technical Skills Weighting'!B1033+"`FU!%&amp;r"</f>
        <v>#VALUE!</v>
      </c>
      <c r="FA77" t="e">
        <f>'Technical Skills Weighting'!B1034+"`FU!%&amp;s"</f>
        <v>#VALUE!</v>
      </c>
      <c r="FB77" t="e">
        <f>'Technical Skills Weighting'!B1035+"`FU!%&amp;t"</f>
        <v>#VALUE!</v>
      </c>
      <c r="FC77" t="e">
        <f>'Technical Skills Weighting'!B1036+"`FU!%&amp;u"</f>
        <v>#VALUE!</v>
      </c>
      <c r="FD77" t="e">
        <f>'Technical Skills Weighting'!B1037+"`FU!%&amp;v"</f>
        <v>#VALUE!</v>
      </c>
      <c r="FE77" t="e">
        <f>'Technical Skills Weighting'!B1038+"`FU!%&amp;w"</f>
        <v>#VALUE!</v>
      </c>
      <c r="FF77" t="e">
        <f>'Technical Skills Weighting'!B1039+"`FU!%&amp;x"</f>
        <v>#VALUE!</v>
      </c>
      <c r="FG77" t="e">
        <f>'Technical Skills Weighting'!B1040+"`FU!%&amp;y"</f>
        <v>#VALUE!</v>
      </c>
      <c r="FH77" t="e">
        <f>'Technical Skills Weighting'!B1041+"`FU!%&amp;z"</f>
        <v>#VALUE!</v>
      </c>
      <c r="FI77" t="e">
        <f>'Technical Skills Weighting'!B1042+"`FU!%&amp;{"</f>
        <v>#VALUE!</v>
      </c>
      <c r="FJ77" t="e">
        <f>'Technical Skills Weighting'!B1043+"`FU!%&amp;|"</f>
        <v>#VALUE!</v>
      </c>
      <c r="FK77" t="e">
        <f>'Technical Skills Weighting'!B1044+"`FU!%&amp;}"</f>
        <v>#VALUE!</v>
      </c>
      <c r="FL77" t="e">
        <f>'Technical Skills Weighting'!B1045+"`FU!%&amp;~"</f>
        <v>#VALUE!</v>
      </c>
      <c r="FM77" t="e">
        <f>'Technical Skills Weighting'!B1046+"`FU!%'#"</f>
        <v>#VALUE!</v>
      </c>
      <c r="FN77" t="e">
        <f>'Technical Skills Weighting'!B1047+"`FU!%'$"</f>
        <v>#VALUE!</v>
      </c>
      <c r="FO77" t="e">
        <f>'Technical Skills Weighting'!B1048+"`FU!%'%"</f>
        <v>#VALUE!</v>
      </c>
      <c r="FP77" t="e">
        <f>'Technical Skills Weighting'!B1049+"`FU!%'&amp;"</f>
        <v>#VALUE!</v>
      </c>
      <c r="FQ77" t="e">
        <f>'Technical Skills Weighting'!B1050+"`FU!%''"</f>
        <v>#VALUE!</v>
      </c>
      <c r="FR77" t="e">
        <f>'Technical Skills Weighting'!B1051+"`FU!%'("</f>
        <v>#VALUE!</v>
      </c>
      <c r="FS77" t="e">
        <f>'Technical Skills Weighting'!B1052+"`FU!%')"</f>
        <v>#VALUE!</v>
      </c>
      <c r="FT77" t="e">
        <f>'Technical Skills Weighting'!B1053+"`FU!%'."</f>
        <v>#VALUE!</v>
      </c>
      <c r="FU77" t="e">
        <f>'Technical Skills Weighting'!B1054+"`FU!%'/"</f>
        <v>#VALUE!</v>
      </c>
      <c r="FV77" t="e">
        <f>'Technical Skills Weighting'!B1055+"`FU!%'0"</f>
        <v>#VALUE!</v>
      </c>
      <c r="FW77" t="e">
        <f>'Technical Skills Weighting'!B1056+"`FU!%'1"</f>
        <v>#VALUE!</v>
      </c>
      <c r="FX77" t="e">
        <f>'Technical Skills Weighting'!B1057+"`FU!%'2"</f>
        <v>#VALUE!</v>
      </c>
      <c r="FY77" t="e">
        <f>'Technical Skills Weighting'!B1058+"`FU!%'3"</f>
        <v>#VALUE!</v>
      </c>
      <c r="FZ77" t="e">
        <f>'Technical Skills Weighting'!B1059+"`FU!%'4"</f>
        <v>#VALUE!</v>
      </c>
      <c r="GA77" t="e">
        <f>'Technical Skills Weighting'!B1060+"`FU!%'5"</f>
        <v>#VALUE!</v>
      </c>
      <c r="GB77" t="e">
        <f>'Technical Skills Weighting'!B1061+"`FU!%'6"</f>
        <v>#VALUE!</v>
      </c>
      <c r="GC77" t="e">
        <f>'Technical Skills Weighting'!B1062+"`FU!%'7"</f>
        <v>#VALUE!</v>
      </c>
      <c r="GD77" t="e">
        <f>'Technical Skills Weighting'!B1063+"`FU!%'8"</f>
        <v>#VALUE!</v>
      </c>
      <c r="GE77" t="e">
        <f>'Technical Skills Weighting'!B1064+"`FU!%'9"</f>
        <v>#VALUE!</v>
      </c>
      <c r="GF77" t="e">
        <f>'Technical Skills Weighting'!B1065+"`FU!%':"</f>
        <v>#VALUE!</v>
      </c>
      <c r="GG77" t="e">
        <f>'Technical Skills Weighting'!B1066+"`FU!%';"</f>
        <v>#VALUE!</v>
      </c>
      <c r="GH77" t="e">
        <f>'Technical Skills Weighting'!B1067+"`FU!%'&lt;"</f>
        <v>#VALUE!</v>
      </c>
      <c r="GI77" t="e">
        <f>'Technical Skills Weighting'!B1068+"`FU!%'="</f>
        <v>#VALUE!</v>
      </c>
      <c r="GJ77" t="e">
        <f>'Technical Skills Weighting'!B1069+"`FU!%'&gt;"</f>
        <v>#VALUE!</v>
      </c>
      <c r="GK77" t="e">
        <f>'Technical Skills Weighting'!B1070+"`FU!%'?"</f>
        <v>#VALUE!</v>
      </c>
      <c r="GL77" t="e">
        <f>'Technical Skills Weighting'!B1071+"`FU!%'@"</f>
        <v>#VALUE!</v>
      </c>
      <c r="GM77" t="e">
        <f>'Technical Skills Weighting'!B1072+"`FU!%'A"</f>
        <v>#VALUE!</v>
      </c>
      <c r="GN77" t="e">
        <f>'Technical Skills Weighting'!B1073+"`FU!%'B"</f>
        <v>#VALUE!</v>
      </c>
      <c r="GO77" t="e">
        <f>'Technical Skills Weighting'!B1074+"`FU!%'C"</f>
        <v>#VALUE!</v>
      </c>
      <c r="GP77" t="e">
        <f>'Technical Skills Weighting'!B1075+"`FU!%'D"</f>
        <v>#VALUE!</v>
      </c>
      <c r="GQ77" t="e">
        <f>'Technical Skills Weighting'!B1076+"`FU!%'E"</f>
        <v>#VALUE!</v>
      </c>
      <c r="GR77" t="e">
        <f>'Technical Skills Weighting'!B1077+"`FU!%'F"</f>
        <v>#VALUE!</v>
      </c>
      <c r="GS77" t="e">
        <f>'Technical Skills Weighting'!B1078+"`FU!%'G"</f>
        <v>#VALUE!</v>
      </c>
      <c r="GT77" t="e">
        <f>'Technical Skills Weighting'!B1079+"`FU!%'H"</f>
        <v>#VALUE!</v>
      </c>
      <c r="GU77" t="e">
        <f>'Technical Skills Weighting'!B1080+"`FU!%'I"</f>
        <v>#VALUE!</v>
      </c>
      <c r="GV77" t="e">
        <f>'Technical Skills Weighting'!B1081+"`FU!%'J"</f>
        <v>#VALUE!</v>
      </c>
      <c r="GW77" t="e">
        <f>'Technical Skills Weighting'!B1082+"`FU!%'K"</f>
        <v>#VALUE!</v>
      </c>
      <c r="GX77" t="e">
        <f>'Technical Skills Weighting'!B1083+"`FU!%'L"</f>
        <v>#VALUE!</v>
      </c>
      <c r="GY77" t="e">
        <f>'Technical Skills Weighting'!B1084+"`FU!%'M"</f>
        <v>#VALUE!</v>
      </c>
      <c r="GZ77" t="e">
        <f>'Technical Skills Weighting'!B1085+"`FU!%'N"</f>
        <v>#VALUE!</v>
      </c>
      <c r="HA77" t="e">
        <f>'Technical Skills Weighting'!B1086+"`FU!%'O"</f>
        <v>#VALUE!</v>
      </c>
      <c r="HB77" t="e">
        <f>'Technical Skills Weighting'!B1087+"`FU!%'P"</f>
        <v>#VALUE!</v>
      </c>
      <c r="HC77" t="e">
        <f>'Technical Skills Weighting'!B1088+"`FU!%'Q"</f>
        <v>#VALUE!</v>
      </c>
      <c r="HD77" t="e">
        <f>'Technical Skills Weighting'!B1089+"`FU!%'R"</f>
        <v>#VALUE!</v>
      </c>
      <c r="HE77" t="e">
        <f>'Technical Skills Weighting'!B1090+"`FU!%'S"</f>
        <v>#VALUE!</v>
      </c>
      <c r="HF77" t="e">
        <f>'Technical Skills Weighting'!B1091+"`FU!%'T"</f>
        <v>#VALUE!</v>
      </c>
      <c r="HG77" t="e">
        <f>'Technical Skills Weighting'!B1092+"`FU!%'U"</f>
        <v>#VALUE!</v>
      </c>
      <c r="HH77" t="e">
        <f>'Technical Skills Weighting'!B1093+"`FU!%'V"</f>
        <v>#VALUE!</v>
      </c>
      <c r="HI77" t="e">
        <f>'Technical Skills Weighting'!B1094+"`FU!%'W"</f>
        <v>#VALUE!</v>
      </c>
      <c r="HJ77" t="e">
        <f>'Technical Skills Weighting'!B1095+"`FU!%'X"</f>
        <v>#VALUE!</v>
      </c>
      <c r="HK77" t="e">
        <f>'Technical Skills Weighting'!B1096+"`FU!%'Y"</f>
        <v>#VALUE!</v>
      </c>
      <c r="HL77" t="e">
        <f>'Technical Skills Weighting'!B1097+"`FU!%'Z"</f>
        <v>#VALUE!</v>
      </c>
      <c r="HM77" t="e">
        <f>'Technical Skills Weighting'!B1098+"`FU!%'["</f>
        <v>#VALUE!</v>
      </c>
      <c r="HN77" t="e">
        <f>'Technical Skills Weighting'!B1099+"`FU!%'\"</f>
        <v>#VALUE!</v>
      </c>
      <c r="HO77" t="e">
        <f>'Technical Skills Weighting'!B1100+"`FU!%']"</f>
        <v>#VALUE!</v>
      </c>
      <c r="HP77" t="e">
        <f>'Technical Skills Weighting'!B1101+"`FU!%'^"</f>
        <v>#VALUE!</v>
      </c>
      <c r="HQ77" t="e">
        <f>'Technical Skills Weighting'!B1102+"`FU!%'_"</f>
        <v>#VALUE!</v>
      </c>
      <c r="HR77" t="e">
        <f>'Technical Skills Weighting'!B1103+"`FU!%'`"</f>
        <v>#VALUE!</v>
      </c>
      <c r="HS77" t="e">
        <f>'Technical Skills Weighting'!B1104+"`FU!%'a"</f>
        <v>#VALUE!</v>
      </c>
      <c r="HT77" t="e">
        <f>'Technical Skills Weighting'!B1105+"`FU!%'b"</f>
        <v>#VALUE!</v>
      </c>
      <c r="HU77" t="e">
        <f>'Technical Skills Weighting'!B1106+"`FU!%'c"</f>
        <v>#VALUE!</v>
      </c>
      <c r="HV77" t="e">
        <f>'Technical Skills Weighting'!B1107+"`FU!%'d"</f>
        <v>#VALUE!</v>
      </c>
      <c r="HW77" t="e">
        <f>'Technical Skills Weighting'!B1108+"`FU!%'e"</f>
        <v>#VALUE!</v>
      </c>
      <c r="HX77" t="e">
        <f>'Technical Skills Weighting'!B1109+"`FU!%'f"</f>
        <v>#VALUE!</v>
      </c>
      <c r="HY77" t="e">
        <f>'Technical Skills Weighting'!B1110+"`FU!%'g"</f>
        <v>#VALUE!</v>
      </c>
      <c r="HZ77" t="e">
        <f>'Technical Skills Weighting'!B1111+"`FU!%'h"</f>
        <v>#VALUE!</v>
      </c>
      <c r="IA77" t="e">
        <f>'Technical Skills Weighting'!B1112+"`FU!%'i"</f>
        <v>#VALUE!</v>
      </c>
      <c r="IB77" t="e">
        <f>'Technical Skills Weighting'!B1113+"`FU!%'j"</f>
        <v>#VALUE!</v>
      </c>
      <c r="IC77" t="e">
        <f>'Technical Skills Weighting'!B1114+"`FU!%'k"</f>
        <v>#VALUE!</v>
      </c>
      <c r="ID77" t="e">
        <f>'Technical Skills Weighting'!B1115+"`FU!%'l"</f>
        <v>#VALUE!</v>
      </c>
      <c r="IE77" t="e">
        <f>'Technical Skills Weighting'!B1116+"`FU!%'m"</f>
        <v>#VALUE!</v>
      </c>
      <c r="IF77" t="e">
        <f>'Technical Skills Weighting'!B1117+"`FU!%'n"</f>
        <v>#VALUE!</v>
      </c>
      <c r="IG77" t="e">
        <f>'Technical Skills Weighting'!B1118+"`FU!%'o"</f>
        <v>#VALUE!</v>
      </c>
      <c r="IH77" t="e">
        <f>'Technical Skills Weighting'!B1119+"`FU!%'p"</f>
        <v>#VALUE!</v>
      </c>
      <c r="II77" t="e">
        <f>'Technical Skills Weighting'!B1120+"`FU!%'q"</f>
        <v>#VALUE!</v>
      </c>
      <c r="IJ77" t="e">
        <f>'Technical Skills Weighting'!B1121+"`FU!%'r"</f>
        <v>#VALUE!</v>
      </c>
      <c r="IK77" t="e">
        <f>'Technical Skills Weighting'!B1122+"`FU!%'s"</f>
        <v>#VALUE!</v>
      </c>
      <c r="IL77" t="e">
        <f>'Technical Skills Weighting'!B1123+"`FU!%'t"</f>
        <v>#VALUE!</v>
      </c>
      <c r="IM77" t="e">
        <f>'Technical Skills Weighting'!B1124+"`FU!%'u"</f>
        <v>#VALUE!</v>
      </c>
      <c r="IN77" t="e">
        <f>'Technical Skills Weighting'!B1125+"`FU!%'v"</f>
        <v>#VALUE!</v>
      </c>
      <c r="IO77" t="e">
        <f>'Technical Skills Weighting'!B1126+"`FU!%'w"</f>
        <v>#VALUE!</v>
      </c>
      <c r="IP77" t="e">
        <f>'Technical Skills Weighting'!B1127+"`FU!%'x"</f>
        <v>#VALUE!</v>
      </c>
      <c r="IQ77" t="e">
        <f>'Technical Skills Weighting'!B1128+"`FU!%'y"</f>
        <v>#VALUE!</v>
      </c>
      <c r="IR77" t="e">
        <f>'Technical Skills Weighting'!B1129+"`FU!%'z"</f>
        <v>#VALUE!</v>
      </c>
      <c r="IS77" t="e">
        <f>'Technical Skills Weighting'!B1130+"`FU!%'{"</f>
        <v>#VALUE!</v>
      </c>
      <c r="IT77" t="e">
        <f>'Technical Skills Weighting'!B1131+"`FU!%'|"</f>
        <v>#VALUE!</v>
      </c>
      <c r="IU77" t="e">
        <f>'Technical Skills Weighting'!B1132+"`FU!%'}"</f>
        <v>#VALUE!</v>
      </c>
      <c r="IV77" t="e">
        <f>'Technical Skills Weighting'!B1133+"`FU!%'~"</f>
        <v>#VALUE!</v>
      </c>
    </row>
    <row r="78" spans="6:256" x14ac:dyDescent="0.25">
      <c r="F78" t="e">
        <f>'Technical Skills Weighting'!B1134+"`FU!%(#"</f>
        <v>#VALUE!</v>
      </c>
      <c r="G78" t="e">
        <f>'Technical Skills Weighting'!B1135+"`FU!%($"</f>
        <v>#VALUE!</v>
      </c>
      <c r="H78" t="e">
        <f>'Technical Skills Weighting'!B1136+"`FU!%(%"</f>
        <v>#VALUE!</v>
      </c>
      <c r="I78" t="e">
        <f>'Technical Skills Weighting'!B1137+"`FU!%(&amp;"</f>
        <v>#VALUE!</v>
      </c>
      <c r="J78" t="e">
        <f>'Technical Skills Weighting'!B1138+"`FU!%('"</f>
        <v>#VALUE!</v>
      </c>
      <c r="K78" t="e">
        <f>'Technical Skills Weighting'!B1139+"`FU!%(("</f>
        <v>#VALUE!</v>
      </c>
      <c r="L78" t="e">
        <f>'Technical Skills Weighting'!B1140+"`FU!%()"</f>
        <v>#VALUE!</v>
      </c>
      <c r="M78" t="e">
        <f>'Technical Skills Weighting'!B1141+"`FU!%(."</f>
        <v>#VALUE!</v>
      </c>
      <c r="N78" t="e">
        <f>'Technical Skills Weighting'!B1142+"`FU!%(/"</f>
        <v>#VALUE!</v>
      </c>
      <c r="O78" t="e">
        <f>'Technical Skills Weighting'!B1143+"`FU!%(0"</f>
        <v>#VALUE!</v>
      </c>
      <c r="P78" t="e">
        <f>'Technical Skills Weighting'!B1144+"`FU!%(1"</f>
        <v>#VALUE!</v>
      </c>
      <c r="Q78" t="e">
        <f>'Technical Skills Weighting'!B1145+"`FU!%(2"</f>
        <v>#VALUE!</v>
      </c>
      <c r="R78" t="e">
        <f>'Technical Skills Weighting'!B1146+"`FU!%(3"</f>
        <v>#VALUE!</v>
      </c>
      <c r="S78" t="e">
        <f>'Technical Skills Weighting'!B1147+"`FU!%(4"</f>
        <v>#VALUE!</v>
      </c>
      <c r="T78" t="e">
        <f>'Technical Skills Weighting'!B1148+"`FU!%(5"</f>
        <v>#VALUE!</v>
      </c>
      <c r="U78" t="e">
        <f>'Technical Skills Weighting'!B1149+"`FU!%(6"</f>
        <v>#VALUE!</v>
      </c>
      <c r="V78" t="e">
        <f>'Technical Skills Weighting'!B1150+"`FU!%(7"</f>
        <v>#VALUE!</v>
      </c>
      <c r="W78" t="e">
        <f>'Technical Skills Weighting'!B1151+"`FU!%(8"</f>
        <v>#VALUE!</v>
      </c>
      <c r="X78" t="e">
        <f>'Technical Skills Weighting'!B1152+"`FU!%(9"</f>
        <v>#VALUE!</v>
      </c>
      <c r="Y78" t="e">
        <f>'Technical Skills Weighting'!B1153+"`FU!%(:"</f>
        <v>#VALUE!</v>
      </c>
      <c r="Z78" t="e">
        <f>'Technical Skills Weighting'!B1154+"`FU!%(;"</f>
        <v>#VALUE!</v>
      </c>
      <c r="AA78" t="e">
        <f>'Technical Skills Weighting'!B1155+"`FU!%(&lt;"</f>
        <v>#VALUE!</v>
      </c>
      <c r="AB78" t="e">
        <f>'Technical Skills Weighting'!B1156+"`FU!%(="</f>
        <v>#VALUE!</v>
      </c>
      <c r="AC78" t="e">
        <f>'Technical Skills Weighting'!B1157+"`FU!%(&gt;"</f>
        <v>#VALUE!</v>
      </c>
      <c r="AD78" t="e">
        <f>'Technical Skills Weighting'!B1158+"`FU!%(?"</f>
        <v>#VALUE!</v>
      </c>
      <c r="AE78" t="e">
        <f>'Technical Skills Weighting'!B1159+"`FU!%(@"</f>
        <v>#VALUE!</v>
      </c>
      <c r="AF78" t="e">
        <f>'Technical Skills Weighting'!B1160+"`FU!%(A"</f>
        <v>#VALUE!</v>
      </c>
      <c r="AG78" t="e">
        <f>'Technical Skills Weighting'!B1161+"`FU!%(B"</f>
        <v>#VALUE!</v>
      </c>
      <c r="AH78" t="e">
        <f>'Technical Skills Weighting'!B1162+"`FU!%(C"</f>
        <v>#VALUE!</v>
      </c>
      <c r="AI78" t="e">
        <f>'Technical Skills Weighting'!B1163+"`FU!%(D"</f>
        <v>#VALUE!</v>
      </c>
      <c r="AJ78" t="e">
        <f>'Technical Skills Weighting'!B1164+"`FU!%(E"</f>
        <v>#VALUE!</v>
      </c>
      <c r="AK78" t="e">
        <f>'Technical Skills Weighting'!B1165+"`FU!%(F"</f>
        <v>#VALUE!</v>
      </c>
      <c r="AL78" t="e">
        <f>'Technical Skills Weighting'!B1166+"`FU!%(G"</f>
        <v>#VALUE!</v>
      </c>
      <c r="AM78" t="e">
        <f>'Technical Skills Weighting'!B1167+"`FU!%(H"</f>
        <v>#VALUE!</v>
      </c>
      <c r="AN78" t="e">
        <f>'Technical Skills Weighting'!B1168+"`FU!%(I"</f>
        <v>#VALUE!</v>
      </c>
      <c r="AO78" t="e">
        <f>'Technical Skills Weighting'!B1169+"`FU!%(J"</f>
        <v>#VALUE!</v>
      </c>
      <c r="AP78" t="e">
        <f>'Technical Skills Weighting'!B1170+"`FU!%(K"</f>
        <v>#VALUE!</v>
      </c>
      <c r="AQ78" t="e">
        <f>'Technical Skills Weighting'!B1171+"`FU!%(L"</f>
        <v>#VALUE!</v>
      </c>
      <c r="AR78" t="e">
        <f>'Technical Skills Weighting'!B1172+"`FU!%(M"</f>
        <v>#VALUE!</v>
      </c>
      <c r="AS78" t="e">
        <f>'Technical Skills Weighting'!B1173+"`FU!%(N"</f>
        <v>#VALUE!</v>
      </c>
      <c r="AT78" t="e">
        <f>'Technical Skills Weighting'!B1174+"`FU!%(O"</f>
        <v>#VALUE!</v>
      </c>
      <c r="AU78" t="e">
        <f>'Technical Skills Weighting'!B1175+"`FU!%(P"</f>
        <v>#VALUE!</v>
      </c>
      <c r="AV78" t="e">
        <f>'Technical Skills Weighting'!B1176+"`FU!%(Q"</f>
        <v>#VALUE!</v>
      </c>
      <c r="AW78" t="e">
        <f>'Technical Skills Weighting'!B1177+"`FU!%(R"</f>
        <v>#VALUE!</v>
      </c>
      <c r="AX78" t="e">
        <f>'Technical Skills Weighting'!B1178+"`FU!%(S"</f>
        <v>#VALUE!</v>
      </c>
      <c r="AY78" t="e">
        <f>'Technical Skills Weighting'!B1179+"`FU!%(T"</f>
        <v>#VALUE!</v>
      </c>
      <c r="AZ78" t="e">
        <f>'Technical Skills Weighting'!B1180+"`FU!%(U"</f>
        <v>#VALUE!</v>
      </c>
      <c r="BA78" t="e">
        <f>'Technical Skills Weighting'!B1181+"`FU!%(V"</f>
        <v>#VALUE!</v>
      </c>
      <c r="BB78" t="e">
        <f>'Technical Skills Weighting'!B1182+"`FU!%(W"</f>
        <v>#VALUE!</v>
      </c>
      <c r="BC78" t="e">
        <f>'Technical Skills Weighting'!B1183+"`FU!%(X"</f>
        <v>#VALUE!</v>
      </c>
      <c r="BD78" t="e">
        <f>'Technical Skills Weighting'!B1184+"`FU!%(Y"</f>
        <v>#VALUE!</v>
      </c>
      <c r="BE78" t="e">
        <f>'Technical Skills Weighting'!B1185+"`FU!%(Z"</f>
        <v>#VALUE!</v>
      </c>
      <c r="BF78" t="e">
        <f>'Technical Skills Weighting'!B1186+"`FU!%(["</f>
        <v>#VALUE!</v>
      </c>
      <c r="BG78" t="e">
        <f>'Technical Skills Weighting'!B1187+"`FU!%(\"</f>
        <v>#VALUE!</v>
      </c>
      <c r="BH78" t="e">
        <f>'Technical Skills Weighting'!B1188+"`FU!%(]"</f>
        <v>#VALUE!</v>
      </c>
      <c r="BI78" t="e">
        <f>'Technical Skills Weighting'!B1189+"`FU!%(^"</f>
        <v>#VALUE!</v>
      </c>
      <c r="BJ78" t="e">
        <f>'Technical Skills Weighting'!B1190+"`FU!%(_"</f>
        <v>#VALUE!</v>
      </c>
      <c r="BK78" t="e">
        <f>'Technical Skills Weighting'!B1191+"`FU!%(`"</f>
        <v>#VALUE!</v>
      </c>
      <c r="BL78" t="e">
        <f>'Technical Skills Weighting'!B1192+"`FU!%(a"</f>
        <v>#VALUE!</v>
      </c>
      <c r="BM78" t="e">
        <f>'Technical Skills Weighting'!B1193+"`FU!%(b"</f>
        <v>#VALUE!</v>
      </c>
      <c r="BN78" t="e">
        <f>'Technical Skills Weighting'!B1194+"`FU!%(c"</f>
        <v>#VALUE!</v>
      </c>
      <c r="BO78" t="e">
        <f>'Technical Skills Weighting'!B1195+"`FU!%(d"</f>
        <v>#VALUE!</v>
      </c>
      <c r="BP78" t="e">
        <f>'Technical Skills Weighting'!B1196+"`FU!%(e"</f>
        <v>#VALUE!</v>
      </c>
      <c r="BQ78" t="e">
        <f>'Technical Skills Weighting'!B1197+"`FU!%(f"</f>
        <v>#VALUE!</v>
      </c>
      <c r="BR78" t="e">
        <f>'Technical Skills Weighting'!B1198+"`FU!%(g"</f>
        <v>#VALUE!</v>
      </c>
      <c r="BS78" t="e">
        <f>'Technical Skills Weighting'!B1199+"`FU!%(h"</f>
        <v>#VALUE!</v>
      </c>
      <c r="BT78" t="e">
        <f>'Technical Skills Weighting'!B1200+"`FU!%(i"</f>
        <v>#VALUE!</v>
      </c>
      <c r="BU78" t="e">
        <f>'Technical Skills Weighting'!B1201+"`FU!%(j"</f>
        <v>#VALUE!</v>
      </c>
      <c r="BV78" t="e">
        <f>'Technical Skills Weighting'!B1202+"`FU!%(k"</f>
        <v>#VALUE!</v>
      </c>
      <c r="BW78" t="e">
        <f>'Technical Skills Weighting'!B1203+"`FU!%(l"</f>
        <v>#VALUE!</v>
      </c>
      <c r="BX78" t="e">
        <f>'Technical Skills Weighting'!B1204+"`FU!%(m"</f>
        <v>#VALUE!</v>
      </c>
      <c r="BY78" t="e">
        <f>'Technical Skills Weighting'!B1205+"`FU!%(n"</f>
        <v>#VALUE!</v>
      </c>
      <c r="BZ78" t="e">
        <f>'Technical Skills Weighting'!B1206+"`FU!%(o"</f>
        <v>#VALUE!</v>
      </c>
      <c r="CA78" t="e">
        <f>'Technical Skills Weighting'!B1207+"`FU!%(p"</f>
        <v>#VALUE!</v>
      </c>
      <c r="CB78" t="e">
        <f>'Technical Skills Weighting'!B1208+"`FU!%(q"</f>
        <v>#VALUE!</v>
      </c>
      <c r="CC78" t="e">
        <f>'Technical Skills Weighting'!B1209+"`FU!%(r"</f>
        <v>#VALUE!</v>
      </c>
      <c r="CD78" t="e">
        <f>'Technical Skills Weighting'!B1210+"`FU!%(s"</f>
        <v>#VALUE!</v>
      </c>
      <c r="CE78" t="e">
        <f>'Technical Skills Weighting'!B1211+"`FU!%(t"</f>
        <v>#VALUE!</v>
      </c>
      <c r="CF78" t="e">
        <f>'Technical Skills Weighting'!B1212+"`FU!%(u"</f>
        <v>#VALUE!</v>
      </c>
      <c r="CG78" t="e">
        <f>'Technical Skills Weighting'!B1213+"`FU!%(v"</f>
        <v>#VALUE!</v>
      </c>
      <c r="CH78" t="e">
        <f>'Technical Skills Weighting'!B1214+"`FU!%(w"</f>
        <v>#VALUE!</v>
      </c>
      <c r="CI78" t="e">
        <f>'Technical Skills Weighting'!B1215+"`FU!%(x"</f>
        <v>#VALUE!</v>
      </c>
      <c r="CJ78" t="e">
        <f>'Technical Skills Weighting'!B1216+"`FU!%(y"</f>
        <v>#VALUE!</v>
      </c>
      <c r="CK78" t="e">
        <f>'Technical Skills Weighting'!B1217+"`FU!%(z"</f>
        <v>#VALUE!</v>
      </c>
      <c r="CL78" t="e">
        <f>'Technical Skills Weighting'!B1218+"`FU!%({"</f>
        <v>#VALUE!</v>
      </c>
      <c r="CM78" t="e">
        <f>'Technical Skills Weighting'!B1219+"`FU!%(|"</f>
        <v>#VALUE!</v>
      </c>
      <c r="CN78" t="e">
        <f>'Technical Skills Weighting'!B1220+"`FU!%(}"</f>
        <v>#VALUE!</v>
      </c>
      <c r="CO78" t="e">
        <f>'Technical Skills Weighting'!B1221+"`FU!%(~"</f>
        <v>#VALUE!</v>
      </c>
      <c r="CP78" t="e">
        <f>'Technical Skills Weighting'!B1222+"`FU!%)#"</f>
        <v>#VALUE!</v>
      </c>
      <c r="CQ78" t="e">
        <f>'Technical Skills Weighting'!B1223+"`FU!%)$"</f>
        <v>#VALUE!</v>
      </c>
      <c r="CR78" t="e">
        <f>'Technical Skills Weighting'!B1224+"`FU!%)%"</f>
        <v>#VALUE!</v>
      </c>
      <c r="CS78" t="e">
        <f>'Technical Skills Weighting'!B1225+"`FU!%)&amp;"</f>
        <v>#VALUE!</v>
      </c>
      <c r="CT78" t="e">
        <f>'Technical Skills Weighting'!B1226+"`FU!%)'"</f>
        <v>#VALUE!</v>
      </c>
      <c r="CU78" t="e">
        <f>'Technical Skills Weighting'!B1227+"`FU!%)("</f>
        <v>#VALUE!</v>
      </c>
      <c r="CV78" t="e">
        <f>'Technical Skills Weighting'!B1228+"`FU!%))"</f>
        <v>#VALUE!</v>
      </c>
      <c r="CW78" t="e">
        <f>'Technical Skills Weighting'!B1229+"`FU!%)."</f>
        <v>#VALUE!</v>
      </c>
      <c r="CX78" t="e">
        <f>'Technical Skills Weighting'!B1230+"`FU!%)/"</f>
        <v>#VALUE!</v>
      </c>
      <c r="CY78" t="e">
        <f>'Technical Skills Weighting'!B1231+"`FU!%)0"</f>
        <v>#VALUE!</v>
      </c>
      <c r="CZ78" t="e">
        <f>'Technical Skills Weighting'!B1232+"`FU!%)1"</f>
        <v>#VALUE!</v>
      </c>
      <c r="DA78" t="e">
        <f>'Technical Skills Weighting'!B1233+"`FU!%)2"</f>
        <v>#VALUE!</v>
      </c>
      <c r="DB78" t="e">
        <f>'Technical Skills Weighting'!B1234+"`FU!%)3"</f>
        <v>#VALUE!</v>
      </c>
      <c r="DC78" t="e">
        <f>'Technical Skills Weighting'!B1235+"`FU!%)4"</f>
        <v>#VALUE!</v>
      </c>
      <c r="DD78" t="e">
        <f>'Technical Skills Weighting'!B1236+"`FU!%)5"</f>
        <v>#VALUE!</v>
      </c>
      <c r="DE78" t="e">
        <f>'Technical Skills Weighting'!B1237+"`FU!%)6"</f>
        <v>#VALUE!</v>
      </c>
      <c r="DF78" t="e">
        <f>'Technical Skills Weighting'!B1238+"`FU!%)7"</f>
        <v>#VALUE!</v>
      </c>
      <c r="DG78" t="e">
        <f>'Technical Skills Weighting'!B1239+"`FU!%)8"</f>
        <v>#VALUE!</v>
      </c>
      <c r="DH78" t="e">
        <f>'Technical Skills Weighting'!B1240+"`FU!%)9"</f>
        <v>#VALUE!</v>
      </c>
      <c r="DI78" t="e">
        <f>'Technical Skills Weighting'!B1241+"`FU!%):"</f>
        <v>#VALUE!</v>
      </c>
      <c r="DJ78" t="e">
        <f>'Technical Skills Weighting'!B1242+"`FU!%);"</f>
        <v>#VALUE!</v>
      </c>
      <c r="DK78" t="e">
        <f>'Technical Skills Weighting'!B1243+"`FU!%)&lt;"</f>
        <v>#VALUE!</v>
      </c>
      <c r="DL78" t="e">
        <f>'Technical Skills Weighting'!B1244+"`FU!%)="</f>
        <v>#VALUE!</v>
      </c>
      <c r="DM78" t="e">
        <f>'Technical Skills Weighting'!B1245+"`FU!%)&gt;"</f>
        <v>#VALUE!</v>
      </c>
      <c r="DN78" t="e">
        <f>'Technical Skills Weighting'!B1246+"`FU!%)?"</f>
        <v>#VALUE!</v>
      </c>
      <c r="DO78" t="e">
        <f>'Technical Skills Weighting'!B1247+"`FU!%)@"</f>
        <v>#VALUE!</v>
      </c>
      <c r="DP78" t="e">
        <f>'Technical Skills Weighting'!B1248+"`FU!%)A"</f>
        <v>#VALUE!</v>
      </c>
      <c r="DQ78" t="e">
        <f>'Technical Skills Weighting'!B1249+"`FU!%)B"</f>
        <v>#VALUE!</v>
      </c>
      <c r="DR78" t="e">
        <f>'Technical Skills Weighting'!B1250+"`FU!%)C"</f>
        <v>#VALUE!</v>
      </c>
      <c r="DS78" t="e">
        <f>'Technical Skills Weighting'!B1251+"`FU!%)D"</f>
        <v>#VALUE!</v>
      </c>
      <c r="DT78" t="e">
        <f>'Technical Skills Weighting'!B1252+"`FU!%)E"</f>
        <v>#VALUE!</v>
      </c>
      <c r="DU78" t="e">
        <f>'Technical Skills Weighting'!B1253+"`FU!%)F"</f>
        <v>#VALUE!</v>
      </c>
      <c r="DV78" t="e">
        <f>'Technical Skills Weighting'!B1254+"`FU!%)G"</f>
        <v>#VALUE!</v>
      </c>
      <c r="DW78" t="e">
        <f>'Technical Skills Weighting'!B1255+"`FU!%)H"</f>
        <v>#VALUE!</v>
      </c>
      <c r="DX78" t="e">
        <f>'Technical Skills Weighting'!B1256+"`FU!%)I"</f>
        <v>#VALUE!</v>
      </c>
      <c r="DY78" t="e">
        <f>'Technical Skills Weighting'!B1257+"`FU!%)J"</f>
        <v>#VALUE!</v>
      </c>
      <c r="DZ78" t="e">
        <f>'Technical Skills Weighting'!B1258+"`FU!%)K"</f>
        <v>#VALUE!</v>
      </c>
      <c r="EA78" t="e">
        <f>'Technical Skills Weighting'!B1259+"`FU!%)L"</f>
        <v>#VALUE!</v>
      </c>
      <c r="EB78" t="e">
        <f>'Technical Skills Weighting'!B1260+"`FU!%)M"</f>
        <v>#VALUE!</v>
      </c>
      <c r="EC78" t="e">
        <f>'Technical Skills Weighting'!B1261+"`FU!%)N"</f>
        <v>#VALUE!</v>
      </c>
      <c r="ED78" t="e">
        <f>'Technical Skills Weighting'!B1262+"`FU!%)O"</f>
        <v>#VALUE!</v>
      </c>
      <c r="EE78" t="e">
        <f>'Technical Skills Weighting'!B1263+"`FU!%)P"</f>
        <v>#VALUE!</v>
      </c>
      <c r="EF78" t="e">
        <f>'Technical Skills Weighting'!B1264+"`FU!%)Q"</f>
        <v>#VALUE!</v>
      </c>
      <c r="EG78" t="e">
        <f>'Technical Skills Weighting'!B1265+"`FU!%)R"</f>
        <v>#VALUE!</v>
      </c>
      <c r="EH78" t="e">
        <f>'Technical Skills Weighting'!B1266+"`FU!%)S"</f>
        <v>#VALUE!</v>
      </c>
      <c r="EI78" t="e">
        <f>'Technical Skills Weighting'!B1267+"`FU!%)T"</f>
        <v>#VALUE!</v>
      </c>
      <c r="EJ78" t="e">
        <f>'Technical Skills Weighting'!B1268+"`FU!%)U"</f>
        <v>#VALUE!</v>
      </c>
      <c r="EK78" t="e">
        <f>'Technical Skills Weighting'!B1269+"`FU!%)V"</f>
        <v>#VALUE!</v>
      </c>
      <c r="EL78" t="e">
        <f>'Technical Skills Weighting'!B1270+"`FU!%)W"</f>
        <v>#VALUE!</v>
      </c>
      <c r="EM78" t="e">
        <f>'Technical Skills Weighting'!B1271+"`FU!%)X"</f>
        <v>#VALUE!</v>
      </c>
      <c r="EN78" t="e">
        <f>'Technical Skills Weighting'!B1272+"`FU!%)Y"</f>
        <v>#VALUE!</v>
      </c>
      <c r="EO78" t="e">
        <f>'Technical Skills Weighting'!B1273+"`FU!%)Z"</f>
        <v>#VALUE!</v>
      </c>
      <c r="EP78" t="e">
        <f>'Technical Skills Weighting'!B1274+"`FU!%)["</f>
        <v>#VALUE!</v>
      </c>
      <c r="EQ78" t="e">
        <f>'Technical Skills Weighting'!B1275+"`FU!%)\"</f>
        <v>#VALUE!</v>
      </c>
      <c r="ER78" t="e">
        <f>'Technical Skills Weighting'!B1276+"`FU!%)]"</f>
        <v>#VALUE!</v>
      </c>
      <c r="ES78" t="e">
        <f>'Technical Skills Weighting'!B1277+"`FU!%)^"</f>
        <v>#VALUE!</v>
      </c>
      <c r="ET78" t="e">
        <f>'Technical Skills Weighting'!B1278+"`FU!%)_"</f>
        <v>#VALUE!</v>
      </c>
      <c r="EU78" t="e">
        <f>'Technical Skills Weighting'!B1279+"`FU!%)`"</f>
        <v>#VALUE!</v>
      </c>
      <c r="EV78" t="e">
        <f>'Technical Skills Weighting'!B1280+"`FU!%)a"</f>
        <v>#VALUE!</v>
      </c>
      <c r="EW78" t="e">
        <f>'Technical Skills Weighting'!B1281+"`FU!%)b"</f>
        <v>#VALUE!</v>
      </c>
      <c r="EX78" t="e">
        <f>'Technical Skills Weighting'!B1282+"`FU!%)c"</f>
        <v>#VALUE!</v>
      </c>
      <c r="EY78" t="e">
        <f>'Technical Skills Weighting'!B1283+"`FU!%)d"</f>
        <v>#VALUE!</v>
      </c>
      <c r="EZ78" t="e">
        <f>'Technical Skills Weighting'!B1284+"`FU!%)e"</f>
        <v>#VALUE!</v>
      </c>
      <c r="FA78" t="e">
        <f>'Technical Skills Weighting'!B1285+"`FU!%)f"</f>
        <v>#VALUE!</v>
      </c>
      <c r="FB78" t="e">
        <f>'Technical Skills Weighting'!B1286+"`FU!%)g"</f>
        <v>#VALUE!</v>
      </c>
      <c r="FC78" t="e">
        <f>'Technical Skills Weighting'!B1287+"`FU!%)h"</f>
        <v>#VALUE!</v>
      </c>
      <c r="FD78" t="e">
        <f>'Technical Skills Weighting'!B1288+"`FU!%)i"</f>
        <v>#VALUE!</v>
      </c>
      <c r="FE78" t="e">
        <f>'Technical Skills Weighting'!B1289+"`FU!%)j"</f>
        <v>#VALUE!</v>
      </c>
      <c r="FF78" t="e">
        <f>'Technical Skills Weighting'!B1290+"`FU!%)k"</f>
        <v>#VALUE!</v>
      </c>
      <c r="FG78" t="e">
        <f>'Technical Skills Weighting'!B1291+"`FU!%)l"</f>
        <v>#VALUE!</v>
      </c>
      <c r="FH78" t="e">
        <f>'Technical Skills Weighting'!B1292+"`FU!%)m"</f>
        <v>#VALUE!</v>
      </c>
      <c r="FI78" t="e">
        <f>'Technical Skills Weighting'!B1293+"`FU!%)n"</f>
        <v>#VALUE!</v>
      </c>
      <c r="FJ78" t="e">
        <f>'Technical Skills Weighting'!B1294+"`FU!%)o"</f>
        <v>#VALUE!</v>
      </c>
      <c r="FK78" t="e">
        <f>'Technical Skills Weighting'!B1295+"`FU!%)p"</f>
        <v>#VALUE!</v>
      </c>
      <c r="FL78" t="e">
        <f>'Technical Skills Weighting'!B1296+"`FU!%)q"</f>
        <v>#VALUE!</v>
      </c>
      <c r="FM78" t="e">
        <f>'Technical Skills Weighting'!B1297+"`FU!%)r"</f>
        <v>#VALUE!</v>
      </c>
      <c r="FN78" t="e">
        <f>'Technical Skills Weighting'!B1298+"`FU!%)s"</f>
        <v>#VALUE!</v>
      </c>
      <c r="FO78" t="e">
        <f>'Technical Skills Weighting'!B1299+"`FU!%)t"</f>
        <v>#VALUE!</v>
      </c>
      <c r="FP78" t="e">
        <f>'Technical Skills Weighting'!B1300+"`FU!%)u"</f>
        <v>#VALUE!</v>
      </c>
      <c r="FQ78" t="e">
        <f>'Technical Skills Weighting'!B1301+"`FU!%)v"</f>
        <v>#VALUE!</v>
      </c>
      <c r="FR78" t="e">
        <f>'Technical Skills Weighting'!B1302+"`FU!%)w"</f>
        <v>#VALUE!</v>
      </c>
      <c r="FS78" t="e">
        <f>'Technical Skills Weighting'!B1303+"`FU!%)x"</f>
        <v>#VALUE!</v>
      </c>
      <c r="FT78" t="e">
        <f>'Technical Skills Weighting'!B1304+"`FU!%)y"</f>
        <v>#VALUE!</v>
      </c>
      <c r="FU78" t="e">
        <f>'Technical Skills Weighting'!B1305+"`FU!%)z"</f>
        <v>#VALUE!</v>
      </c>
      <c r="FV78" t="e">
        <f>'Technical Skills Weighting'!B1306+"`FU!%){"</f>
        <v>#VALUE!</v>
      </c>
      <c r="FW78" t="e">
        <f>'Technical Skills Weighting'!B1307+"`FU!%)|"</f>
        <v>#VALUE!</v>
      </c>
      <c r="FX78" t="e">
        <f>'Technical Skills Weighting'!B1308+"`FU!%)}"</f>
        <v>#VALUE!</v>
      </c>
      <c r="FY78" t="e">
        <f>'Technical Skills Weighting'!B1309+"`FU!%)~"</f>
        <v>#VALUE!</v>
      </c>
      <c r="FZ78" t="e">
        <f>'Technical Skills Weighting'!B1310+"`FU!%.#"</f>
        <v>#VALUE!</v>
      </c>
      <c r="GA78" t="e">
        <f>'Technical Skills Weighting'!B1311+"`FU!%.$"</f>
        <v>#VALUE!</v>
      </c>
      <c r="GB78" t="e">
        <f>'Technical Skills Weighting'!B1312+"`FU!%.%"</f>
        <v>#VALUE!</v>
      </c>
      <c r="GC78" t="e">
        <f>'Technical Skills Weighting'!B1313+"`FU!%.&amp;"</f>
        <v>#VALUE!</v>
      </c>
      <c r="GD78" t="e">
        <f>'Technical Skills Weighting'!B1314+"`FU!%.'"</f>
        <v>#VALUE!</v>
      </c>
      <c r="GE78" t="e">
        <f>'Technical Skills Weighting'!B1315+"`FU!%.("</f>
        <v>#VALUE!</v>
      </c>
      <c r="GF78" t="e">
        <f>'Technical Skills Weighting'!B1316+"`FU!%.)"</f>
        <v>#VALUE!</v>
      </c>
      <c r="GG78" t="e">
        <f>'Technical Skills Weighting'!B1317+"`FU!%.."</f>
        <v>#VALUE!</v>
      </c>
      <c r="GH78" t="e">
        <f>'Technical Skills Weighting'!B1318+"`FU!%./"</f>
        <v>#VALUE!</v>
      </c>
      <c r="GI78" t="e">
        <f>'Technical Skills Weighting'!B1319+"`FU!%.0"</f>
        <v>#VALUE!</v>
      </c>
      <c r="GJ78" t="e">
        <f>'Technical Skills Weighting'!B1320+"`FU!%.1"</f>
        <v>#VALUE!</v>
      </c>
      <c r="GK78" t="e">
        <f>'Technical Skills Weighting'!B1321+"`FU!%.2"</f>
        <v>#VALUE!</v>
      </c>
      <c r="GL78" t="e">
        <f>'Technical Skills Weighting'!B1322+"`FU!%.3"</f>
        <v>#VALUE!</v>
      </c>
      <c r="GM78" t="e">
        <f>'Technical Skills Weighting'!B1323+"`FU!%.4"</f>
        <v>#VALUE!</v>
      </c>
      <c r="GN78" t="e">
        <f>'Technical Skills Weighting'!B1324+"`FU!%.5"</f>
        <v>#VALUE!</v>
      </c>
      <c r="GO78" t="e">
        <f>'Technical Skills Weighting'!B1325+"`FU!%.6"</f>
        <v>#VALUE!</v>
      </c>
      <c r="GP78" t="e">
        <f>'Technical Skills Weighting'!B1326+"`FU!%.7"</f>
        <v>#VALUE!</v>
      </c>
      <c r="GQ78" t="e">
        <f>'Technical Skills Weighting'!B1327+"`FU!%.8"</f>
        <v>#VALUE!</v>
      </c>
      <c r="GR78" t="e">
        <f>'Technical Skills Weighting'!B1328+"`FU!%.9"</f>
        <v>#VALUE!</v>
      </c>
      <c r="GS78" t="e">
        <f>'Technical Skills Weighting'!B1329+"`FU!%.:"</f>
        <v>#VALUE!</v>
      </c>
      <c r="GT78" t="e">
        <f>'Technical Skills Weighting'!B1330+"`FU!%.;"</f>
        <v>#VALUE!</v>
      </c>
      <c r="GU78" t="e">
        <f>'Technical Skills Weighting'!B1331+"`FU!%.&lt;"</f>
        <v>#VALUE!</v>
      </c>
      <c r="GV78" t="e">
        <f>'Technical Skills Weighting'!B1332+"`FU!%.="</f>
        <v>#VALUE!</v>
      </c>
      <c r="GW78" t="e">
        <f>'Technical Skills Weighting'!B1333+"`FU!%.&gt;"</f>
        <v>#VALUE!</v>
      </c>
      <c r="GX78" t="e">
        <f>'Technical Skills Weighting'!B1334+"`FU!%.?"</f>
        <v>#VALUE!</v>
      </c>
      <c r="GY78" t="e">
        <f>'Technical Skills Weighting'!B1335+"`FU!%.@"</f>
        <v>#VALUE!</v>
      </c>
      <c r="GZ78" t="e">
        <f>'Technical Skills Weighting'!B1336+"`FU!%.A"</f>
        <v>#VALUE!</v>
      </c>
      <c r="HA78" t="e">
        <f>'Technical Skills Weighting'!B1337+"`FU!%.B"</f>
        <v>#VALUE!</v>
      </c>
      <c r="HB78" t="e">
        <f>'Technical Skills Weighting'!B1338+"`FU!%.C"</f>
        <v>#VALUE!</v>
      </c>
      <c r="HC78" t="e">
        <f>'Technical Skills Weighting'!B1339+"`FU!%.D"</f>
        <v>#VALUE!</v>
      </c>
      <c r="HD78" t="e">
        <f>'Technical Skills Weighting'!B1340+"`FU!%.E"</f>
        <v>#VALUE!</v>
      </c>
      <c r="HE78" t="e">
        <f>'Technical Skills Weighting'!B1341+"`FU!%.F"</f>
        <v>#VALUE!</v>
      </c>
      <c r="HF78" t="e">
        <f>'Technical Skills Weighting'!B1342+"`FU!%.G"</f>
        <v>#VALUE!</v>
      </c>
      <c r="HG78" t="e">
        <f>'Technical Skills Weighting'!B1343+"`FU!%.H"</f>
        <v>#VALUE!</v>
      </c>
      <c r="HH78" t="e">
        <f>'Technical Skills Weighting'!B1344+"`FU!%.I"</f>
        <v>#VALUE!</v>
      </c>
      <c r="HI78" t="e">
        <f>'Technical Skills Weighting'!B1345+"`FU!%.J"</f>
        <v>#VALUE!</v>
      </c>
      <c r="HJ78" t="e">
        <f>'Technical Skills Weighting'!B1346+"`FU!%.K"</f>
        <v>#VALUE!</v>
      </c>
      <c r="HK78" t="e">
        <f>'Technical Skills Weighting'!B1347+"`FU!%.L"</f>
        <v>#VALUE!</v>
      </c>
      <c r="HL78" t="e">
        <f>'Technical Skills Weighting'!B1348+"`FU!%.M"</f>
        <v>#VALUE!</v>
      </c>
      <c r="HM78" t="e">
        <f>'Technical Skills Weighting'!B1349+"`FU!%.N"</f>
        <v>#VALUE!</v>
      </c>
      <c r="HN78" t="e">
        <f>'Technical Skills Weighting'!B1350+"`FU!%.O"</f>
        <v>#VALUE!</v>
      </c>
      <c r="HO78" t="e">
        <f>'Technical Skills Weighting'!B1351+"`FU!%.P"</f>
        <v>#VALUE!</v>
      </c>
      <c r="HP78" t="e">
        <f>'Technical Skills Weighting'!B1352+"`FU!%.Q"</f>
        <v>#VALUE!</v>
      </c>
      <c r="HQ78" t="e">
        <f>'Technical Skills Weighting'!B1353+"`FU!%.R"</f>
        <v>#VALUE!</v>
      </c>
      <c r="HR78" t="e">
        <f>'Technical Skills Weighting'!B1354+"`FU!%.S"</f>
        <v>#VALUE!</v>
      </c>
      <c r="HS78" t="e">
        <f>'Technical Skills Weighting'!B1355+"`FU!%.T"</f>
        <v>#VALUE!</v>
      </c>
      <c r="HT78" t="e">
        <f>'Technical Skills Weighting'!B1356+"`FU!%.U"</f>
        <v>#VALUE!</v>
      </c>
      <c r="HU78" t="e">
        <f>'Technical Skills Weighting'!B1357+"`FU!%.V"</f>
        <v>#VALUE!</v>
      </c>
      <c r="HV78" t="e">
        <f>'Technical Skills Weighting'!B1358+"`FU!%.W"</f>
        <v>#VALUE!</v>
      </c>
      <c r="HW78" t="e">
        <f>'Technical Skills Weighting'!B1359+"`FU!%.X"</f>
        <v>#VALUE!</v>
      </c>
      <c r="HX78" t="e">
        <f>'Technical Skills Weighting'!B1360+"`FU!%.Y"</f>
        <v>#VALUE!</v>
      </c>
      <c r="HY78" t="e">
        <f>'Technical Skills Weighting'!B1361+"`FU!%.Z"</f>
        <v>#VALUE!</v>
      </c>
      <c r="HZ78" t="e">
        <f>'Technical Skills Weighting'!B1362+"`FU!%.["</f>
        <v>#VALUE!</v>
      </c>
      <c r="IA78" t="e">
        <f>'Technical Skills Weighting'!B1363+"`FU!%.\"</f>
        <v>#VALUE!</v>
      </c>
      <c r="IB78" t="e">
        <f>'Technical Skills Weighting'!B1364+"`FU!%.]"</f>
        <v>#VALUE!</v>
      </c>
      <c r="IC78" t="e">
        <f>'Technical Skills Weighting'!B1365+"`FU!%.^"</f>
        <v>#VALUE!</v>
      </c>
      <c r="ID78" t="e">
        <f>'Technical Skills Weighting'!B1366+"`FU!%._"</f>
        <v>#VALUE!</v>
      </c>
      <c r="IE78" t="e">
        <f>'Technical Skills Weighting'!B1367+"`FU!%.`"</f>
        <v>#VALUE!</v>
      </c>
      <c r="IF78" t="e">
        <f>'Technical Skills Weighting'!B1368+"`FU!%.a"</f>
        <v>#VALUE!</v>
      </c>
      <c r="IG78" t="e">
        <f>'Technical Skills Weighting'!B1369+"`FU!%.b"</f>
        <v>#VALUE!</v>
      </c>
      <c r="IH78" t="e">
        <f>'Technical Skills Weighting'!B1370+"`FU!%.c"</f>
        <v>#VALUE!</v>
      </c>
      <c r="II78" t="e">
        <f>'Technical Skills Weighting'!B1371+"`FU!%.d"</f>
        <v>#VALUE!</v>
      </c>
      <c r="IJ78" t="e">
        <f>'Technical Skills Weighting'!B1372+"`FU!%.e"</f>
        <v>#VALUE!</v>
      </c>
      <c r="IK78" t="e">
        <f>'Technical Skills Weighting'!B1373+"`FU!%.f"</f>
        <v>#VALUE!</v>
      </c>
      <c r="IL78" t="e">
        <f>'Technical Skills Weighting'!B1374+"`FU!%.g"</f>
        <v>#VALUE!</v>
      </c>
      <c r="IM78" t="e">
        <f>'Technical Skills Weighting'!B1375+"`FU!%.h"</f>
        <v>#VALUE!</v>
      </c>
      <c r="IN78" t="e">
        <f>'Technical Skills Weighting'!B1376+"`FU!%.i"</f>
        <v>#VALUE!</v>
      </c>
      <c r="IO78" t="e">
        <f>'Technical Skills Weighting'!B1377+"`FU!%.j"</f>
        <v>#VALUE!</v>
      </c>
      <c r="IP78" t="e">
        <f>'Technical Skills Weighting'!B1378+"`FU!%.k"</f>
        <v>#VALUE!</v>
      </c>
      <c r="IQ78" t="e">
        <f>'Technical Skills Weighting'!B1379+"`FU!%.l"</f>
        <v>#VALUE!</v>
      </c>
      <c r="IR78" t="e">
        <f>'Technical Skills Weighting'!B1380+"`FU!%.m"</f>
        <v>#VALUE!</v>
      </c>
      <c r="IS78" t="e">
        <f>'Technical Skills Weighting'!B1381+"`FU!%.n"</f>
        <v>#VALUE!</v>
      </c>
      <c r="IT78" t="e">
        <f>'Technical Skills Weighting'!B1382+"`FU!%.o"</f>
        <v>#VALUE!</v>
      </c>
      <c r="IU78" t="e">
        <f>'Technical Skills Weighting'!B1383+"`FU!%.p"</f>
        <v>#VALUE!</v>
      </c>
      <c r="IV78" t="e">
        <f>'Technical Skills Weighting'!B1384+"`FU!%.q"</f>
        <v>#VALUE!</v>
      </c>
    </row>
    <row r="79" spans="6:256" x14ac:dyDescent="0.25">
      <c r="F79" t="e">
        <f>'Technical Skills Weighting'!B1385+"`FU!%.r"</f>
        <v>#VALUE!</v>
      </c>
      <c r="G79" t="e">
        <f>'Technical Skills Weighting'!B1386+"`FU!%.s"</f>
        <v>#VALUE!</v>
      </c>
      <c r="H79" t="e">
        <f>'Technical Skills Weighting'!B1387+"`FU!%.t"</f>
        <v>#VALUE!</v>
      </c>
      <c r="I79" t="e">
        <f>'Technical Skills Weighting'!B1388+"`FU!%.u"</f>
        <v>#VALUE!</v>
      </c>
      <c r="J79" t="e">
        <f>'Technical Skills Weighting'!B1389+"`FU!%.v"</f>
        <v>#VALUE!</v>
      </c>
      <c r="K79" t="e">
        <f>'Technical Skills Weighting'!B1390+"`FU!%.w"</f>
        <v>#VALUE!</v>
      </c>
      <c r="L79" t="e">
        <f>'Technical Skills Weighting'!B1391+"`FU!%.x"</f>
        <v>#VALUE!</v>
      </c>
      <c r="M79" t="e">
        <f>'Technical Skills Weighting'!B1392+"`FU!%.y"</f>
        <v>#VALUE!</v>
      </c>
      <c r="N79" t="e">
        <f>'Technical Skills Weighting'!B1393+"`FU!%.z"</f>
        <v>#VALUE!</v>
      </c>
      <c r="O79" t="e">
        <f>'Technical Skills Weighting'!B1394+"`FU!%.{"</f>
        <v>#VALUE!</v>
      </c>
      <c r="P79" t="e">
        <f>'Technical Skills Weighting'!B1395+"`FU!%.|"</f>
        <v>#VALUE!</v>
      </c>
      <c r="Q79" t="e">
        <f>'Technical Skills Weighting'!B1396+"`FU!%.}"</f>
        <v>#VALUE!</v>
      </c>
      <c r="R79" t="e">
        <f>'Technical Skills Weighting'!B1397+"`FU!%.~"</f>
        <v>#VALUE!</v>
      </c>
      <c r="S79" t="e">
        <f>'Technical Skills Weighting'!B1398+"`FU!%/#"</f>
        <v>#VALUE!</v>
      </c>
      <c r="T79" t="e">
        <f>'Technical Skills Weighting'!B1399+"`FU!%/$"</f>
        <v>#VALUE!</v>
      </c>
      <c r="U79" t="e">
        <f>'Technical Skills Weighting'!B1400+"`FU!%/%"</f>
        <v>#VALUE!</v>
      </c>
      <c r="V79" t="e">
        <f>'Technical Skills Weighting'!B1401+"`FU!%/&amp;"</f>
        <v>#VALUE!</v>
      </c>
      <c r="W79" t="e">
        <f>'Technical Skills Weighting'!B1402+"`FU!%/'"</f>
        <v>#VALUE!</v>
      </c>
      <c r="X79" t="e">
        <f>'Technical Skills Weighting'!B1403+"`FU!%/("</f>
        <v>#VALUE!</v>
      </c>
      <c r="Y79" t="e">
        <f>'Technical Skills Weighting'!B1404+"`FU!%/)"</f>
        <v>#VALUE!</v>
      </c>
      <c r="Z79" t="e">
        <f>'Technical Skills Weighting'!B1405+"`FU!%/."</f>
        <v>#VALUE!</v>
      </c>
      <c r="AA79" t="e">
        <f>'Technical Skills Weighting'!B1406+"`FU!%//"</f>
        <v>#VALUE!</v>
      </c>
      <c r="AB79" t="e">
        <f>'Technical Skills Weighting'!B1407+"`FU!%/0"</f>
        <v>#VALUE!</v>
      </c>
      <c r="AC79" t="e">
        <f>'Technical Skills Weighting'!B1408+"`FU!%/1"</f>
        <v>#VALUE!</v>
      </c>
      <c r="AD79" t="e">
        <f>'Technical Skills Weighting'!B1409+"`FU!%/2"</f>
        <v>#VALUE!</v>
      </c>
      <c r="AE79" t="e">
        <f>'Technical Skills Weighting'!B1410+"`FU!%/3"</f>
        <v>#VALUE!</v>
      </c>
      <c r="AF79" t="e">
        <f>'Technical Skills Weighting'!B1411+"`FU!%/4"</f>
        <v>#VALUE!</v>
      </c>
      <c r="AG79" t="e">
        <f>'Technical Skills Weighting'!B1412+"`FU!%/5"</f>
        <v>#VALUE!</v>
      </c>
      <c r="AH79" t="e">
        <f>'Technical Skills Weighting'!B1413+"`FU!%/6"</f>
        <v>#VALUE!</v>
      </c>
      <c r="AI79" t="e">
        <f>'Technical Skills Weighting'!B1414+"`FU!%/7"</f>
        <v>#VALUE!</v>
      </c>
      <c r="AJ79" t="e">
        <f>'Technical Skills Weighting'!B1415+"`FU!%/8"</f>
        <v>#VALUE!</v>
      </c>
      <c r="AK79" t="e">
        <f>'Technical Skills Weighting'!B1416+"`FU!%/9"</f>
        <v>#VALUE!</v>
      </c>
      <c r="AL79" t="e">
        <f>'Technical Skills Weighting'!B1417+"`FU!%/:"</f>
        <v>#VALUE!</v>
      </c>
      <c r="AM79" t="e">
        <f>'Technical Skills Weighting'!B1418+"`FU!%/;"</f>
        <v>#VALUE!</v>
      </c>
      <c r="AN79" t="e">
        <f>'Technical Skills Weighting'!B1419+"`FU!%/&lt;"</f>
        <v>#VALUE!</v>
      </c>
      <c r="AO79" t="e">
        <f>'Technical Skills Weighting'!B1420+"`FU!%/="</f>
        <v>#VALUE!</v>
      </c>
      <c r="AP79" t="e">
        <f>'Technical Skills Weighting'!B1421+"`FU!%/&gt;"</f>
        <v>#VALUE!</v>
      </c>
      <c r="AQ79" t="e">
        <f>'Technical Skills Weighting'!B1422+"`FU!%/?"</f>
        <v>#VALUE!</v>
      </c>
      <c r="AR79" t="e">
        <f>'Technical Skills Weighting'!B1423+"`FU!%/@"</f>
        <v>#VALUE!</v>
      </c>
      <c r="AS79" t="e">
        <f>'Technical Skills Weighting'!B1424+"`FU!%/A"</f>
        <v>#VALUE!</v>
      </c>
      <c r="AT79" t="e">
        <f>'Technical Skills Weighting'!B1425+"`FU!%/B"</f>
        <v>#VALUE!</v>
      </c>
      <c r="AU79" t="e">
        <f>'Technical Skills Weighting'!B1426+"`FU!%/C"</f>
        <v>#VALUE!</v>
      </c>
      <c r="AV79" t="e">
        <f>'Technical Skills Weighting'!B1427+"`FU!%/D"</f>
        <v>#VALUE!</v>
      </c>
      <c r="AW79" t="e">
        <f>'Technical Skills Weighting'!B1428+"`FU!%/E"</f>
        <v>#VALUE!</v>
      </c>
      <c r="AX79" t="e">
        <f>'Technical Skills Weighting'!B1429+"`FU!%/F"</f>
        <v>#VALUE!</v>
      </c>
      <c r="AY79" t="e">
        <f>'Technical Skills Weighting'!B1430+"`FU!%/G"</f>
        <v>#VALUE!</v>
      </c>
      <c r="AZ79" t="e">
        <f>'Technical Skills Weighting'!B1431+"`FU!%/H"</f>
        <v>#VALUE!</v>
      </c>
      <c r="BA79" t="e">
        <f>'Technical Skills Weighting'!B1432+"`FU!%/I"</f>
        <v>#VALUE!</v>
      </c>
      <c r="BB79" t="e">
        <f>'Technical Skills Weighting'!B1433+"`FU!%/J"</f>
        <v>#VALUE!</v>
      </c>
      <c r="BC79" t="e">
        <f>'Technical Skills Weighting'!B1434+"`FU!%/K"</f>
        <v>#VALUE!</v>
      </c>
      <c r="BD79" t="e">
        <f>'Technical Skills Weighting'!B1435+"`FU!%/L"</f>
        <v>#VALUE!</v>
      </c>
      <c r="BE79" t="e">
        <f>'Technical Skills Weighting'!B1436+"`FU!%/M"</f>
        <v>#VALUE!</v>
      </c>
      <c r="BF79" t="e">
        <f>'Technical Skills Weighting'!B1437+"`FU!%/N"</f>
        <v>#VALUE!</v>
      </c>
      <c r="BG79" t="e">
        <f>'Technical Skills Weighting'!B1438+"`FU!%/O"</f>
        <v>#VALUE!</v>
      </c>
      <c r="BH79" t="e">
        <f>'Technical Skills Weighting'!B1439+"`FU!%/P"</f>
        <v>#VALUE!</v>
      </c>
      <c r="BI79" t="e">
        <f>'Technical Skills Weighting'!B1440+"`FU!%/Q"</f>
        <v>#VALUE!</v>
      </c>
      <c r="BJ79" t="e">
        <f>'Technical Skills Weighting'!B1441+"`FU!%/R"</f>
        <v>#VALUE!</v>
      </c>
      <c r="BK79" t="e">
        <f>'Technical Skills Weighting'!B1442+"`FU!%/S"</f>
        <v>#VALUE!</v>
      </c>
      <c r="BL79" t="e">
        <f>'Technical Skills Weighting'!B1443+"`FU!%/T"</f>
        <v>#VALUE!</v>
      </c>
      <c r="BM79" t="e">
        <f>'Technical Skills Weighting'!B1444+"`FU!%/U"</f>
        <v>#VALUE!</v>
      </c>
      <c r="BN79" t="e">
        <f>'Technical Skills Weighting'!B1445+"`FU!%/V"</f>
        <v>#VALUE!</v>
      </c>
      <c r="BO79" t="e">
        <f>'Technical Skills Weighting'!B1446+"`FU!%/W"</f>
        <v>#VALUE!</v>
      </c>
      <c r="BP79" t="e">
        <f>'Technical Skills Weighting'!B1447+"`FU!%/X"</f>
        <v>#VALUE!</v>
      </c>
      <c r="BQ79" t="e">
        <f>'Technical Skills Weighting'!B1448+"`FU!%/Y"</f>
        <v>#VALUE!</v>
      </c>
      <c r="BR79" t="e">
        <f>'Technical Skills Weighting'!B1449+"`FU!%/Z"</f>
        <v>#VALUE!</v>
      </c>
      <c r="BS79" t="e">
        <f>'Technical Skills Weighting'!B1450+"`FU!%/["</f>
        <v>#VALUE!</v>
      </c>
      <c r="BT79" t="e">
        <f>'Technical Skills Weighting'!B1451+"`FU!%/\"</f>
        <v>#VALUE!</v>
      </c>
      <c r="BU79" t="e">
        <f>'Technical Skills Weighting'!B1452+"`FU!%/]"</f>
        <v>#VALUE!</v>
      </c>
      <c r="BV79" t="e">
        <f>'Technical Skills Weighting'!B1453+"`FU!%/^"</f>
        <v>#VALUE!</v>
      </c>
      <c r="BW79" t="e">
        <f>'Technical Skills Weighting'!B1454+"`FU!%/_"</f>
        <v>#VALUE!</v>
      </c>
      <c r="BX79" t="e">
        <f>'Technical Skills Weighting'!B1455+"`FU!%/`"</f>
        <v>#VALUE!</v>
      </c>
      <c r="BY79" t="e">
        <f>'Technical Skills Weighting'!B1456+"`FU!%/a"</f>
        <v>#VALUE!</v>
      </c>
      <c r="BZ79" t="e">
        <f>'Technical Skills Weighting'!B1457+"`FU!%/b"</f>
        <v>#VALUE!</v>
      </c>
      <c r="CA79" t="e">
        <f>'Technical Skills Weighting'!B1458+"`FU!%/c"</f>
        <v>#VALUE!</v>
      </c>
      <c r="CB79" t="e">
        <f>'Technical Skills Weighting'!B1459+"`FU!%/d"</f>
        <v>#VALUE!</v>
      </c>
      <c r="CC79" t="e">
        <f>'Technical Skills Weighting'!B1460+"`FU!%/e"</f>
        <v>#VALUE!</v>
      </c>
      <c r="CD79" t="e">
        <f>'Technical Skills Weighting'!B1461+"`FU!%/f"</f>
        <v>#VALUE!</v>
      </c>
      <c r="CE79" t="e">
        <f>'Technical Skills Weighting'!B1462+"`FU!%/g"</f>
        <v>#VALUE!</v>
      </c>
      <c r="CF79" t="e">
        <f>'Technical Skills Weighting'!B1463+"`FU!%/h"</f>
        <v>#VALUE!</v>
      </c>
      <c r="CG79" t="e">
        <f>'Technical Skills Weighting'!B1464+"`FU!%/i"</f>
        <v>#VALUE!</v>
      </c>
      <c r="CH79" t="e">
        <f>'Technical Skills Weighting'!B1465+"`FU!%/j"</f>
        <v>#VALUE!</v>
      </c>
      <c r="CI79" t="e">
        <f>'Technical Skills Weighting'!B1466+"`FU!%/k"</f>
        <v>#VALUE!</v>
      </c>
      <c r="CJ79" t="e">
        <f>'Technical Skills Weighting'!B1467+"`FU!%/l"</f>
        <v>#VALUE!</v>
      </c>
      <c r="CK79" t="e">
        <f>'Technical Skills Weighting'!B1468+"`FU!%/m"</f>
        <v>#VALUE!</v>
      </c>
      <c r="CL79" t="e">
        <f>'Technical Skills Weighting'!B1469+"`FU!%/n"</f>
        <v>#VALUE!</v>
      </c>
      <c r="CM79" t="e">
        <f>'Technical Skills Weighting'!B1470+"`FU!%/o"</f>
        <v>#VALUE!</v>
      </c>
      <c r="CN79" t="e">
        <f>'Technical Skills Weighting'!B1471+"`FU!%/p"</f>
        <v>#VALUE!</v>
      </c>
      <c r="CO79" t="e">
        <f>'Technical Skills Weighting'!B1472+"`FU!%/q"</f>
        <v>#VALUE!</v>
      </c>
      <c r="CP79" t="e">
        <f>'Technical Skills Weighting'!B1473+"`FU!%/r"</f>
        <v>#VALUE!</v>
      </c>
      <c r="CQ79" t="e">
        <f>'Technical Skills Weighting'!B1474+"`FU!%/s"</f>
        <v>#VALUE!</v>
      </c>
      <c r="CR79" t="e">
        <f>'Technical Skills Weighting'!B1475+"`FU!%/t"</f>
        <v>#VALUE!</v>
      </c>
      <c r="CS79" t="e">
        <f>'Technical Skills Weighting'!B1476+"`FU!%/u"</f>
        <v>#VALUE!</v>
      </c>
      <c r="CT79" t="e">
        <f>'Technical Skills Weighting'!B1477+"`FU!%/v"</f>
        <v>#VALUE!</v>
      </c>
      <c r="CU79" t="e">
        <f>'Technical Skills Weighting'!B1478+"`FU!%/w"</f>
        <v>#VALUE!</v>
      </c>
      <c r="CV79" t="e">
        <f>'Technical Skills Weighting'!B1479+"`FU!%/x"</f>
        <v>#VALUE!</v>
      </c>
      <c r="CW79" t="e">
        <f>'Technical Skills Weighting'!B1480+"`FU!%/y"</f>
        <v>#VALUE!</v>
      </c>
      <c r="CX79" t="e">
        <f>'Technical Skills Weighting'!B1481+"`FU!%/z"</f>
        <v>#VALUE!</v>
      </c>
      <c r="CY79" t="e">
        <f>'Technical Skills Weighting'!B1482+"`FU!%/{"</f>
        <v>#VALUE!</v>
      </c>
      <c r="CZ79" t="e">
        <f>'Technical Skills Weighting'!B1483+"`FU!%/|"</f>
        <v>#VALUE!</v>
      </c>
      <c r="DA79" t="e">
        <f>'Technical Skills Weighting'!B1484+"`FU!%/}"</f>
        <v>#VALUE!</v>
      </c>
      <c r="DB79" t="e">
        <f>'Technical Skills Weighting'!B1485+"`FU!%/~"</f>
        <v>#VALUE!</v>
      </c>
      <c r="DC79" t="e">
        <f>'Technical Skills Weighting'!B1486+"`FU!%0#"</f>
        <v>#VALUE!</v>
      </c>
      <c r="DD79" t="e">
        <f>'Technical Skills Weighting'!B1487+"`FU!%0$"</f>
        <v>#VALUE!</v>
      </c>
      <c r="DE79" t="e">
        <f>'Technical Skills Weighting'!B1488+"`FU!%0%"</f>
        <v>#VALUE!</v>
      </c>
      <c r="DF79" t="e">
        <f>'Technical Skills Weighting'!B1489+"`FU!%0&amp;"</f>
        <v>#VALUE!</v>
      </c>
      <c r="DG79" t="e">
        <f>'Technical Skills Weighting'!B1490+"`FU!%0'"</f>
        <v>#VALUE!</v>
      </c>
      <c r="DH79" t="e">
        <f>'Technical Skills Weighting'!B1491+"`FU!%0("</f>
        <v>#VALUE!</v>
      </c>
      <c r="DI79" t="e">
        <f>'Technical Skills Weighting'!B1492+"`FU!%0)"</f>
        <v>#VALUE!</v>
      </c>
      <c r="DJ79" t="e">
        <f>'Technical Skills Weighting'!B1493+"`FU!%0."</f>
        <v>#VALUE!</v>
      </c>
      <c r="DK79" t="e">
        <f>'Technical Skills Weighting'!B1494+"`FU!%0/"</f>
        <v>#VALUE!</v>
      </c>
      <c r="DL79" t="e">
        <f>'Technical Skills Weighting'!B1495+"`FU!%00"</f>
        <v>#VALUE!</v>
      </c>
      <c r="DM79" t="e">
        <f>'Technical Skills Weighting'!B1496+"`FU!%01"</f>
        <v>#VALUE!</v>
      </c>
      <c r="DN79" t="e">
        <f>'Technical Skills Weighting'!B1497+"`FU!%02"</f>
        <v>#VALUE!</v>
      </c>
      <c r="DO79" t="e">
        <f>'Technical Skills Weighting'!B1498+"`FU!%03"</f>
        <v>#VALUE!</v>
      </c>
      <c r="DP79" t="e">
        <f>'Technical Skills Weighting'!B1499+"`FU!%04"</f>
        <v>#VALUE!</v>
      </c>
      <c r="DQ79" t="e">
        <f>'Technical Skills Weighting'!B1500+"`FU!%05"</f>
        <v>#VALUE!</v>
      </c>
      <c r="DR79" t="e">
        <f>'Technical Skills Weighting'!B1501+"`FU!%06"</f>
        <v>#VALUE!</v>
      </c>
      <c r="DS79" t="e">
        <f>'Technical Skills Weighting'!B1502+"`FU!%07"</f>
        <v>#VALUE!</v>
      </c>
      <c r="DT79" t="e">
        <f>'Technical Skills Weighting'!B1503+"`FU!%08"</f>
        <v>#VALUE!</v>
      </c>
      <c r="DU79" t="e">
        <f>'Technical Skills Weighting'!B1504+"`FU!%09"</f>
        <v>#VALUE!</v>
      </c>
      <c r="DV79" t="e">
        <f>'Technical Skills Weighting'!B1505+"`FU!%0:"</f>
        <v>#VALUE!</v>
      </c>
      <c r="DW79" t="e">
        <f>'Technical Skills Weighting'!B1506+"`FU!%0;"</f>
        <v>#VALUE!</v>
      </c>
      <c r="DX79" t="e">
        <f>'Technical Skills Weighting'!B1507+"`FU!%0&lt;"</f>
        <v>#VALUE!</v>
      </c>
      <c r="DY79" t="e">
        <f>'Technical Skills Weighting'!B1508+"`FU!%0="</f>
        <v>#VALUE!</v>
      </c>
      <c r="DZ79" t="e">
        <f>'Technical Skills Weighting'!B1509+"`FU!%0&gt;"</f>
        <v>#VALUE!</v>
      </c>
      <c r="EA79" t="e">
        <f>'Technical Skills Weighting'!B1510+"`FU!%0?"</f>
        <v>#VALUE!</v>
      </c>
      <c r="EB79" t="e">
        <f>'Technical Skills Weighting'!B1511+"`FU!%0@"</f>
        <v>#VALUE!</v>
      </c>
      <c r="EC79" t="e">
        <f>'Technical Skills Weighting'!B1512+"`FU!%0A"</f>
        <v>#VALUE!</v>
      </c>
      <c r="ED79" t="e">
        <f>'Technical Skills Weighting'!B1513+"`FU!%0B"</f>
        <v>#VALUE!</v>
      </c>
      <c r="EE79" t="e">
        <f>'Technical Skills Weighting'!B1514+"`FU!%0C"</f>
        <v>#VALUE!</v>
      </c>
      <c r="EF79" t="e">
        <f>'Technical Skills Weighting'!B1515+"`FU!%0D"</f>
        <v>#VALUE!</v>
      </c>
      <c r="EG79" t="e">
        <f>'Technical Skills Weighting'!B1516+"`FU!%0E"</f>
        <v>#VALUE!</v>
      </c>
      <c r="EH79" t="e">
        <f>'Technical Skills Weighting'!B1517+"`FU!%0F"</f>
        <v>#VALUE!</v>
      </c>
      <c r="EI79" t="e">
        <f>'Technical Skills Weighting'!B1518+"`FU!%0G"</f>
        <v>#VALUE!</v>
      </c>
      <c r="EJ79" t="e">
        <f>'Technical Skills Weighting'!B1519+"`FU!%0H"</f>
        <v>#VALUE!</v>
      </c>
      <c r="EK79" t="e">
        <f>'Technical Skills Weighting'!B1520+"`FU!%0I"</f>
        <v>#VALUE!</v>
      </c>
      <c r="EL79" t="e">
        <f>'Technical Skills Weighting'!B1521+"`FU!%0J"</f>
        <v>#VALUE!</v>
      </c>
      <c r="EM79" t="e">
        <f>'Technical Skills Weighting'!B1522+"`FU!%0K"</f>
        <v>#VALUE!</v>
      </c>
      <c r="EN79" t="e">
        <f>'Technical Skills Weighting'!B1523+"`FU!%0L"</f>
        <v>#VALUE!</v>
      </c>
      <c r="EO79" t="e">
        <f>'Technical Skills Weighting'!B1524+"`FU!%0M"</f>
        <v>#VALUE!</v>
      </c>
      <c r="EP79" t="e">
        <f>'Technical Skills Weighting'!B1525+"`FU!%0N"</f>
        <v>#VALUE!</v>
      </c>
      <c r="EQ79" t="e">
        <f>'Technical Skills Weighting'!B1526+"`FU!%0O"</f>
        <v>#VALUE!</v>
      </c>
      <c r="ER79" t="e">
        <f>'Technical Skills Weighting'!B1527+"`FU!%0P"</f>
        <v>#VALUE!</v>
      </c>
      <c r="ES79" t="e">
        <f>'Technical Skills Weighting'!B1528+"`FU!%0Q"</f>
        <v>#VALUE!</v>
      </c>
      <c r="ET79" t="e">
        <f>'Technical Skills Weighting'!B1529+"`FU!%0R"</f>
        <v>#VALUE!</v>
      </c>
      <c r="EU79" t="e">
        <f>'Technical Skills Weighting'!B1530+"`FU!%0S"</f>
        <v>#VALUE!</v>
      </c>
      <c r="EV79" t="e">
        <f>'Technical Skills Weighting'!B1531+"`FU!%0T"</f>
        <v>#VALUE!</v>
      </c>
      <c r="EW79" t="e">
        <f>'Technical Skills Weighting'!B1532+"`FU!%0U"</f>
        <v>#VALUE!</v>
      </c>
      <c r="EX79" t="e">
        <f>'Technical Skills Weighting'!B1533+"`FU!%0V"</f>
        <v>#VALUE!</v>
      </c>
      <c r="EY79" t="e">
        <f>'Technical Skills Weighting'!B1534+"`FU!%0W"</f>
        <v>#VALUE!</v>
      </c>
      <c r="EZ79" t="e">
        <f>'Technical Skills Weighting'!B1535+"`FU!%0X"</f>
        <v>#VALUE!</v>
      </c>
      <c r="FA79" t="e">
        <f>'Technical Skills Weighting'!B1536+"`FU!%0Y"</f>
        <v>#VALUE!</v>
      </c>
      <c r="FB79" t="e">
        <f>'Technical Skills Weighting'!B1537+"`FU!%0Z"</f>
        <v>#VALUE!</v>
      </c>
      <c r="FC79" t="e">
        <f>'Technical Skills Weighting'!B1538+"`FU!%0["</f>
        <v>#VALUE!</v>
      </c>
      <c r="FD79" t="e">
        <f>'Technical Skills Weighting'!B1539+"`FU!%0\"</f>
        <v>#VALUE!</v>
      </c>
      <c r="FE79" t="e">
        <f>'Technical Skills Weighting'!B1540+"`FU!%0]"</f>
        <v>#VALUE!</v>
      </c>
      <c r="FF79" t="e">
        <f>'Technical Skills Weighting'!B1541+"`FU!%0^"</f>
        <v>#VALUE!</v>
      </c>
      <c r="FG79" t="e">
        <f>'Technical Skills Weighting'!B1542+"`FU!%0_"</f>
        <v>#VALUE!</v>
      </c>
      <c r="FH79" t="e">
        <f>'Technical Skills Weighting'!B1543+"`FU!%0`"</f>
        <v>#VALUE!</v>
      </c>
      <c r="FI79" t="e">
        <f>'Technical Skills Weighting'!B1544+"`FU!%0a"</f>
        <v>#VALUE!</v>
      </c>
      <c r="FJ79" t="e">
        <f>'Technical Skills Weighting'!B1545+"`FU!%0b"</f>
        <v>#VALUE!</v>
      </c>
      <c r="FK79" t="e">
        <f>'Technical Skills Weighting'!B1546+"`FU!%0c"</f>
        <v>#VALUE!</v>
      </c>
      <c r="FL79" t="e">
        <f>'Technical Skills Weighting'!B1547+"`FU!%0d"</f>
        <v>#VALUE!</v>
      </c>
      <c r="FM79" t="e">
        <f>'Technical Skills Weighting'!B1548+"`FU!%0e"</f>
        <v>#VALUE!</v>
      </c>
      <c r="FN79" t="e">
        <f>'Technical Skills Weighting'!B1549+"`FU!%0f"</f>
        <v>#VALUE!</v>
      </c>
      <c r="FO79" t="e">
        <f>'Technical Skills Weighting'!B1550+"`FU!%0g"</f>
        <v>#VALUE!</v>
      </c>
      <c r="FP79" t="e">
        <f>'Technical Skills Weighting'!B1551+"`FU!%0h"</f>
        <v>#VALUE!</v>
      </c>
      <c r="FQ79" t="e">
        <f>'Technical Skills Weighting'!B1552+"`FU!%0i"</f>
        <v>#VALUE!</v>
      </c>
      <c r="FR79" t="e">
        <f>'Technical Skills Weighting'!B1553+"`FU!%0j"</f>
        <v>#VALUE!</v>
      </c>
      <c r="FS79" t="e">
        <f>'Technical Skills Weighting'!B1554+"`FU!%0k"</f>
        <v>#VALUE!</v>
      </c>
      <c r="FT79" t="e">
        <f>'Technical Skills Weighting'!B1555+"`FU!%0l"</f>
        <v>#VALUE!</v>
      </c>
      <c r="FU79" t="e">
        <f>'Technical Skills Weighting'!B1556+"`FU!%0m"</f>
        <v>#VALUE!</v>
      </c>
      <c r="FV79" t="e">
        <f>'Technical Skills Weighting'!B1557+"`FU!%0n"</f>
        <v>#VALUE!</v>
      </c>
      <c r="FW79" t="e">
        <f>'Technical Skills Weighting'!B1558+"`FU!%0o"</f>
        <v>#VALUE!</v>
      </c>
      <c r="FX79" t="e">
        <f>'Technical Skills Weighting'!B1559+"`FU!%0p"</f>
        <v>#VALUE!</v>
      </c>
      <c r="FY79" t="e">
        <f>'Technical Skills Weighting'!B1560+"`FU!%0q"</f>
        <v>#VALUE!</v>
      </c>
      <c r="FZ79" t="e">
        <f>'Technical Skills Weighting'!B1561+"`FU!%0r"</f>
        <v>#VALUE!</v>
      </c>
      <c r="GA79" t="e">
        <f>'Technical Skills Weighting'!B1562+"`FU!%0s"</f>
        <v>#VALUE!</v>
      </c>
      <c r="GB79" t="e">
        <f>'Technical Skills Weighting'!B1563+"`FU!%0t"</f>
        <v>#VALUE!</v>
      </c>
      <c r="GC79" t="e">
        <f>'Technical Skills Weighting'!B1564+"`FU!%0u"</f>
        <v>#VALUE!</v>
      </c>
      <c r="GD79" t="e">
        <f>'Technical Skills Weighting'!B1565+"`FU!%0v"</f>
        <v>#VALUE!</v>
      </c>
      <c r="GE79" t="e">
        <f>'Technical Skills Weighting'!B1566+"`FU!%0w"</f>
        <v>#VALUE!</v>
      </c>
      <c r="GF79" t="e">
        <f>'Technical Skills Weighting'!B1567+"`FU!%0x"</f>
        <v>#VALUE!</v>
      </c>
      <c r="GG79" t="e">
        <f>'Technical Skills Weighting'!B1568+"`FU!%0y"</f>
        <v>#VALUE!</v>
      </c>
      <c r="GH79" t="e">
        <f>'Technical Skills Weighting'!B1569+"`FU!%0z"</f>
        <v>#VALUE!</v>
      </c>
      <c r="GI79" t="e">
        <f>'Technical Skills Weighting'!B1570+"`FU!%0{"</f>
        <v>#VALUE!</v>
      </c>
      <c r="GJ79" t="e">
        <f>'Technical Skills Weighting'!B1571+"`FU!%0|"</f>
        <v>#VALUE!</v>
      </c>
      <c r="GK79" t="e">
        <f>'Technical Skills Weighting'!B1572+"`FU!%0}"</f>
        <v>#VALUE!</v>
      </c>
      <c r="GL79" t="e">
        <f>'Technical Skills Weighting'!B1573+"`FU!%0~"</f>
        <v>#VALUE!</v>
      </c>
      <c r="GM79" t="e">
        <f>'Technical Skills Weighting'!B1574+"`FU!%1#"</f>
        <v>#VALUE!</v>
      </c>
      <c r="GN79" t="e">
        <f>'Technical Skills Weighting'!B1575+"`FU!%1$"</f>
        <v>#VALUE!</v>
      </c>
      <c r="GO79" t="e">
        <f>'Technical Skills Weighting'!B1576+"`FU!%1%"</f>
        <v>#VALUE!</v>
      </c>
      <c r="GP79" t="e">
        <f>'Technical Skills Weighting'!B1577+"`FU!%1&amp;"</f>
        <v>#VALUE!</v>
      </c>
      <c r="GQ79" t="e">
        <f>'Technical Skills Weighting'!B1578+"`FU!%1'"</f>
        <v>#VALUE!</v>
      </c>
      <c r="GR79" t="e">
        <f>'Technical Skills Weighting'!B1579+"`FU!%1("</f>
        <v>#VALUE!</v>
      </c>
      <c r="GS79" t="e">
        <f>'Technical Skills Weighting'!B1580+"`FU!%1)"</f>
        <v>#VALUE!</v>
      </c>
      <c r="GT79" t="e">
        <f>'Technical Skills Weighting'!B1581+"`FU!%1."</f>
        <v>#VALUE!</v>
      </c>
      <c r="GU79" t="e">
        <f>'Technical Skills Weighting'!B1582+"`FU!%1/"</f>
        <v>#VALUE!</v>
      </c>
      <c r="GV79" t="e">
        <f>'Technical Skills Weighting'!B1583+"`FU!%10"</f>
        <v>#VALUE!</v>
      </c>
      <c r="GW79" t="e">
        <f>'Technical Skills Weighting'!B1584+"`FU!%11"</f>
        <v>#VALUE!</v>
      </c>
      <c r="GX79" t="e">
        <f>'Technical Skills Weighting'!B1585+"`FU!%12"</f>
        <v>#VALUE!</v>
      </c>
      <c r="GY79" t="e">
        <f>'Technical Skills Weighting'!B1586+"`FU!%13"</f>
        <v>#VALUE!</v>
      </c>
      <c r="GZ79" t="e">
        <f>'Technical Skills Weighting'!B1587+"`FU!%14"</f>
        <v>#VALUE!</v>
      </c>
      <c r="HA79" t="e">
        <f>'Technical Skills Weighting'!B1588+"`FU!%15"</f>
        <v>#VALUE!</v>
      </c>
      <c r="HB79" t="e">
        <f>'Technical Skills Weighting'!B1589+"`FU!%16"</f>
        <v>#VALUE!</v>
      </c>
      <c r="HC79" t="e">
        <f>'Technical Skills Weighting'!B1590+"`FU!%17"</f>
        <v>#VALUE!</v>
      </c>
      <c r="HD79" t="e">
        <f>'Technical Skills Weighting'!B1591+"`FU!%18"</f>
        <v>#VALUE!</v>
      </c>
      <c r="HE79" t="e">
        <f>'Technical Skills Weighting'!B1592+"`FU!%19"</f>
        <v>#VALUE!</v>
      </c>
      <c r="HF79" t="e">
        <f>'Technical Skills Weighting'!B1593+"`FU!%1:"</f>
        <v>#VALUE!</v>
      </c>
      <c r="HG79" t="e">
        <f>'Technical Skills Weighting'!B1594+"`FU!%1;"</f>
        <v>#VALUE!</v>
      </c>
      <c r="HH79" t="e">
        <f>'Technical Skills Weighting'!B1595+"`FU!%1&lt;"</f>
        <v>#VALUE!</v>
      </c>
      <c r="HI79" t="e">
        <f>'Technical Skills Weighting'!B1596+"`FU!%1="</f>
        <v>#VALUE!</v>
      </c>
      <c r="HJ79" t="e">
        <f>'Technical Skills Weighting'!B1597+"`FU!%1&gt;"</f>
        <v>#VALUE!</v>
      </c>
      <c r="HK79" t="e">
        <f>'Technical Skills Weighting'!B1598+"`FU!%1?"</f>
        <v>#VALUE!</v>
      </c>
      <c r="HL79" t="e">
        <f>'Technical Skills Weighting'!B1599+"`FU!%1@"</f>
        <v>#VALUE!</v>
      </c>
      <c r="HM79" t="e">
        <f>'Technical Skills Weighting'!B1600+"`FU!%1A"</f>
        <v>#VALUE!</v>
      </c>
      <c r="HN79" t="e">
        <f>'Technical Skills Weighting'!B1601+"`FU!%1B"</f>
        <v>#VALUE!</v>
      </c>
      <c r="HO79" t="e">
        <f>'Technical Skills Weighting'!B1602+"`FU!%1C"</f>
        <v>#VALUE!</v>
      </c>
      <c r="HP79" t="e">
        <f>'Technical Skills Weighting'!B1603+"`FU!%1D"</f>
        <v>#VALUE!</v>
      </c>
      <c r="HQ79" t="e">
        <f>'Technical Skills Weighting'!B1604+"`FU!%1E"</f>
        <v>#VALUE!</v>
      </c>
      <c r="HR79" t="e">
        <f>'Technical Skills Weighting'!B1605+"`FU!%1F"</f>
        <v>#VALUE!</v>
      </c>
      <c r="HS79" t="e">
        <f>'Technical Skills Weighting'!B1606+"`FU!%1G"</f>
        <v>#VALUE!</v>
      </c>
      <c r="HT79" t="e">
        <f>'Technical Skills Weighting'!B1607+"`FU!%1H"</f>
        <v>#VALUE!</v>
      </c>
      <c r="HU79" t="e">
        <f>'Technical Skills Weighting'!B1608+"`FU!%1I"</f>
        <v>#VALUE!</v>
      </c>
      <c r="HV79" t="e">
        <f>'Technical Skills Weighting'!B1609+"`FU!%1J"</f>
        <v>#VALUE!</v>
      </c>
      <c r="HW79" t="e">
        <f>'Technical Skills Weighting'!B1610+"`FU!%1K"</f>
        <v>#VALUE!</v>
      </c>
      <c r="HX79" t="e">
        <f>'Technical Skills Weighting'!B1611+"`FU!%1L"</f>
        <v>#VALUE!</v>
      </c>
      <c r="HY79" t="e">
        <f>'Technical Skills Weighting'!B1612+"`FU!%1M"</f>
        <v>#VALUE!</v>
      </c>
      <c r="HZ79" t="e">
        <f>'Technical Skills Weighting'!B1613+"`FU!%1N"</f>
        <v>#VALUE!</v>
      </c>
      <c r="IA79" t="e">
        <f>'Technical Skills Weighting'!B1614+"`FU!%1O"</f>
        <v>#VALUE!</v>
      </c>
      <c r="IB79" t="e">
        <f>'Technical Skills Weighting'!B1615+"`FU!%1P"</f>
        <v>#VALUE!</v>
      </c>
      <c r="IC79" t="e">
        <f>'Technical Skills Weighting'!B1616+"`FU!%1Q"</f>
        <v>#VALUE!</v>
      </c>
      <c r="ID79" t="e">
        <f>'Technical Skills Weighting'!B1617+"`FU!%1R"</f>
        <v>#VALUE!</v>
      </c>
      <c r="IE79" t="e">
        <f>'Technical Skills Weighting'!B1618+"`FU!%1S"</f>
        <v>#VALUE!</v>
      </c>
      <c r="IF79" t="e">
        <f>'Technical Skills Weighting'!B1619+"`FU!%1T"</f>
        <v>#VALUE!</v>
      </c>
      <c r="IG79" t="e">
        <f>'Technical Skills Weighting'!B1620+"`FU!%1U"</f>
        <v>#VALUE!</v>
      </c>
      <c r="IH79" t="e">
        <f>'Technical Skills Weighting'!B1621+"`FU!%1V"</f>
        <v>#VALUE!</v>
      </c>
      <c r="II79" t="e">
        <f>'Technical Skills Weighting'!B1622+"`FU!%1W"</f>
        <v>#VALUE!</v>
      </c>
      <c r="IJ79" t="e">
        <f>'Technical Skills Weighting'!B1623+"`FU!%1X"</f>
        <v>#VALUE!</v>
      </c>
      <c r="IK79" t="e">
        <f>'Technical Skills Weighting'!B1624+"`FU!%1Y"</f>
        <v>#VALUE!</v>
      </c>
      <c r="IL79" t="e">
        <f>'Technical Skills Weighting'!B1625+"`FU!%1Z"</f>
        <v>#VALUE!</v>
      </c>
      <c r="IM79" t="e">
        <f>'Technical Skills Weighting'!B1626+"`FU!%1["</f>
        <v>#VALUE!</v>
      </c>
      <c r="IN79" t="e">
        <f>'Technical Skills Weighting'!B1627+"`FU!%1\"</f>
        <v>#VALUE!</v>
      </c>
      <c r="IO79" t="e">
        <f>'Technical Skills Weighting'!B1628+"`FU!%1]"</f>
        <v>#VALUE!</v>
      </c>
      <c r="IP79" t="e">
        <f>'Technical Skills Weighting'!B1629+"`FU!%1^"</f>
        <v>#VALUE!</v>
      </c>
      <c r="IQ79" t="e">
        <f>'Technical Skills Weighting'!B1630+"`FU!%1_"</f>
        <v>#VALUE!</v>
      </c>
      <c r="IR79" t="e">
        <f>'Technical Skills Weighting'!B1631+"`FU!%1`"</f>
        <v>#VALUE!</v>
      </c>
      <c r="IS79" t="e">
        <f>'Technical Skills Weighting'!B1632+"`FU!%1a"</f>
        <v>#VALUE!</v>
      </c>
      <c r="IT79" t="e">
        <f>'Technical Skills Weighting'!B1633+"`FU!%1b"</f>
        <v>#VALUE!</v>
      </c>
      <c r="IU79" t="e">
        <f>'Technical Skills Weighting'!B1634+"`FU!%1c"</f>
        <v>#VALUE!</v>
      </c>
      <c r="IV79" t="e">
        <f>'Technical Skills Weighting'!B1635+"`FU!%1d"</f>
        <v>#VALUE!</v>
      </c>
    </row>
    <row r="80" spans="6:256" x14ac:dyDescent="0.25">
      <c r="F80" t="e">
        <f>'Technical Skills Weighting'!B1636+"`FU!%1e"</f>
        <v>#VALUE!</v>
      </c>
      <c r="G80" t="e">
        <f>'Technical Skills Weighting'!B1637+"`FU!%1f"</f>
        <v>#VALUE!</v>
      </c>
      <c r="H80" t="e">
        <f>'Technical Skills Weighting'!B1638+"`FU!%1g"</f>
        <v>#VALUE!</v>
      </c>
      <c r="I80" t="e">
        <f>'Technical Skills Weighting'!B1639+"`FU!%1h"</f>
        <v>#VALUE!</v>
      </c>
      <c r="J80" t="e">
        <f>'Technical Skills Weighting'!B1640+"`FU!%1i"</f>
        <v>#VALUE!</v>
      </c>
      <c r="K80" t="e">
        <f>'Technical Skills Weighting'!B1641+"`FU!%1j"</f>
        <v>#VALUE!</v>
      </c>
      <c r="L80" t="e">
        <f>'Technical Skills Weighting'!B1642+"`FU!%1k"</f>
        <v>#VALUE!</v>
      </c>
      <c r="M80" t="e">
        <f>'Technical Skills Weighting'!B1643+"`FU!%1l"</f>
        <v>#VALUE!</v>
      </c>
      <c r="N80" t="e">
        <f>'Technical Skills Weighting'!B1644+"`FU!%1m"</f>
        <v>#VALUE!</v>
      </c>
      <c r="O80" t="e">
        <f>'Technical Skills Weighting'!B1645+"`FU!%1n"</f>
        <v>#VALUE!</v>
      </c>
      <c r="P80" t="e">
        <f>'Technical Skills Weighting'!B1646+"`FU!%1o"</f>
        <v>#VALUE!</v>
      </c>
      <c r="Q80" t="e">
        <f>'Technical Skills Weighting'!B1647+"`FU!%1p"</f>
        <v>#VALUE!</v>
      </c>
      <c r="R80" t="e">
        <f>'Technical Skills Weighting'!B1648+"`FU!%1q"</f>
        <v>#VALUE!</v>
      </c>
      <c r="S80" t="e">
        <f>'Technical Skills Weighting'!B1649+"`FU!%1r"</f>
        <v>#VALUE!</v>
      </c>
      <c r="T80" t="e">
        <f>'Technical Skills Weighting'!B1650+"`FU!%1s"</f>
        <v>#VALUE!</v>
      </c>
      <c r="U80" t="e">
        <f>'Technical Skills Weighting'!B1651+"`FU!%1t"</f>
        <v>#VALUE!</v>
      </c>
      <c r="V80" t="e">
        <f>'Technical Skills Weighting'!B1652+"`FU!%1u"</f>
        <v>#VALUE!</v>
      </c>
      <c r="W80" t="e">
        <f>'Technical Skills Weighting'!B1653+"`FU!%1v"</f>
        <v>#VALUE!</v>
      </c>
      <c r="X80" t="e">
        <f>'Technical Skills Weighting'!B1654+"`FU!%1w"</f>
        <v>#VALUE!</v>
      </c>
      <c r="Y80" t="e">
        <f>'Technical Skills Weighting'!B1655+"`FU!%1x"</f>
        <v>#VALUE!</v>
      </c>
      <c r="Z80" t="e">
        <f>'Technical Skills Weighting'!B1656+"`FU!%1y"</f>
        <v>#VALUE!</v>
      </c>
      <c r="AA80" t="e">
        <f>'Technical Skills Weighting'!B1657+"`FU!%1z"</f>
        <v>#VALUE!</v>
      </c>
      <c r="AB80" t="e">
        <f>'Technical Skills Weighting'!B1658+"`FU!%1{"</f>
        <v>#VALUE!</v>
      </c>
      <c r="AC80" t="e">
        <f>'Technical Skills Weighting'!B1659+"`FU!%1|"</f>
        <v>#VALUE!</v>
      </c>
      <c r="AD80" t="e">
        <f>'Technical Skills Weighting'!B1660+"`FU!%1}"</f>
        <v>#VALUE!</v>
      </c>
      <c r="AE80" t="e">
        <f>'Technical Skills Weighting'!B1661+"`FU!%1~"</f>
        <v>#VALUE!</v>
      </c>
      <c r="AF80" t="e">
        <f>'Technical Skills Weighting'!B1662+"`FU!%2#"</f>
        <v>#VALUE!</v>
      </c>
      <c r="AG80" t="e">
        <f>'Technical Skills Weighting'!B1663+"`FU!%2$"</f>
        <v>#VALUE!</v>
      </c>
      <c r="AH80" t="e">
        <f>'Technical Skills Weighting'!B1664+"`FU!%2%"</f>
        <v>#VALUE!</v>
      </c>
      <c r="AI80" t="e">
        <f>'Technical Skills Weighting'!B1665+"`FU!%2&amp;"</f>
        <v>#VALUE!</v>
      </c>
      <c r="AJ80" t="e">
        <f>'Technical Skills Weighting'!B1666+"`FU!%2'"</f>
        <v>#VALUE!</v>
      </c>
      <c r="AK80" t="e">
        <f>'Technical Skills Weighting'!B1667+"`FU!%2("</f>
        <v>#VALUE!</v>
      </c>
      <c r="AL80" t="e">
        <f>'Technical Skills Weighting'!B1668+"`FU!%2)"</f>
        <v>#VALUE!</v>
      </c>
      <c r="AM80" t="e">
        <f>'Technical Skills Weighting'!B1669+"`FU!%2."</f>
        <v>#VALUE!</v>
      </c>
      <c r="AN80" t="e">
        <f>'Technical Skills Weighting'!B1670+"`FU!%2/"</f>
        <v>#VALUE!</v>
      </c>
      <c r="AO80" t="e">
        <f>'Technical Skills Weighting'!B1671+"`FU!%20"</f>
        <v>#VALUE!</v>
      </c>
      <c r="AP80" t="e">
        <f>'Technical Skills Weighting'!B1672+"`FU!%21"</f>
        <v>#VALUE!</v>
      </c>
      <c r="AQ80" t="e">
        <f>'Technical Skills Weighting'!B1673+"`FU!%22"</f>
        <v>#VALUE!</v>
      </c>
      <c r="AR80" t="e">
        <f>'Technical Skills Weighting'!B1674+"`FU!%23"</f>
        <v>#VALUE!</v>
      </c>
      <c r="AS80" t="e">
        <f>'Technical Skills Weighting'!B1675+"`FU!%24"</f>
        <v>#VALUE!</v>
      </c>
      <c r="AT80" t="e">
        <f>'Technical Skills Weighting'!B1676+"`FU!%25"</f>
        <v>#VALUE!</v>
      </c>
      <c r="AU80" t="e">
        <f>'Technical Skills Weighting'!B1677+"`FU!%26"</f>
        <v>#VALUE!</v>
      </c>
      <c r="AV80" t="e">
        <f>'Technical Skills Weighting'!B1678+"`FU!%27"</f>
        <v>#VALUE!</v>
      </c>
      <c r="AW80" t="e">
        <f>'Technical Skills Weighting'!B1679+"`FU!%28"</f>
        <v>#VALUE!</v>
      </c>
      <c r="AX80" t="e">
        <f>'Technical Skills Weighting'!B1680+"`FU!%29"</f>
        <v>#VALUE!</v>
      </c>
      <c r="AY80" t="e">
        <f>'Technical Skills Weighting'!B1681+"`FU!%2:"</f>
        <v>#VALUE!</v>
      </c>
      <c r="AZ80" t="e">
        <f>'Technical Skills Weighting'!B1682+"`FU!%2;"</f>
        <v>#VALUE!</v>
      </c>
      <c r="BA80" t="e">
        <f>'Technical Skills Weighting'!B1683+"`FU!%2&lt;"</f>
        <v>#VALUE!</v>
      </c>
      <c r="BB80" t="e">
        <f>'Technical Skills Weighting'!B1684+"`FU!%2="</f>
        <v>#VALUE!</v>
      </c>
      <c r="BC80" t="e">
        <f>'Technical Skills Weighting'!B1685+"`FU!%2&gt;"</f>
        <v>#VALUE!</v>
      </c>
      <c r="BD80" t="e">
        <f>'Technical Skills Weighting'!B1686+"`FU!%2?"</f>
        <v>#VALUE!</v>
      </c>
      <c r="BE80" t="e">
        <f>'Technical Skills Weighting'!B1687+"`FU!%2@"</f>
        <v>#VALUE!</v>
      </c>
      <c r="BF80" t="e">
        <f>'Technical Skills Weighting'!B1688+"`FU!%2A"</f>
        <v>#VALUE!</v>
      </c>
      <c r="BG80" t="e">
        <f>'Technical Skills Weighting'!B1689+"`FU!%2B"</f>
        <v>#VALUE!</v>
      </c>
      <c r="BH80" t="e">
        <f>'Technical Skills Weighting'!B1690+"`FU!%2C"</f>
        <v>#VALUE!</v>
      </c>
      <c r="BI80" t="e">
        <f>'Technical Skills Weighting'!B1691+"`FU!%2D"</f>
        <v>#VALUE!</v>
      </c>
      <c r="BJ80" t="e">
        <f>'Technical Skills Weighting'!B1692+"`FU!%2E"</f>
        <v>#VALUE!</v>
      </c>
      <c r="BK80" t="e">
        <f>'Technical Skills Weighting'!B1693+"`FU!%2F"</f>
        <v>#VALUE!</v>
      </c>
      <c r="BL80" t="e">
        <f>'Technical Skills Weighting'!B1694+"`FU!%2G"</f>
        <v>#VALUE!</v>
      </c>
      <c r="BM80" t="e">
        <f>'Technical Skills Weighting'!B1695+"`FU!%2H"</f>
        <v>#VALUE!</v>
      </c>
      <c r="BN80" t="e">
        <f>'Technical Skills Weighting'!B1696+"`FU!%2I"</f>
        <v>#VALUE!</v>
      </c>
      <c r="BO80" t="e">
        <f>'Technical Skills Weighting'!B1697+"`FU!%2J"</f>
        <v>#VALUE!</v>
      </c>
      <c r="BP80" t="e">
        <f>'Technical Skills Weighting'!B1698+"`FU!%2K"</f>
        <v>#VALUE!</v>
      </c>
      <c r="BQ80" t="e">
        <f>'Technical Skills Weighting'!B1699+"`FU!%2L"</f>
        <v>#VALUE!</v>
      </c>
      <c r="BR80" t="e">
        <f>'Technical Skills Weighting'!B1700+"`FU!%2M"</f>
        <v>#VALUE!</v>
      </c>
      <c r="BS80" t="e">
        <f>'Technical Skills Weighting'!B1701+"`FU!%2N"</f>
        <v>#VALUE!</v>
      </c>
      <c r="BT80" t="e">
        <f>'Technical Skills Weighting'!B1702+"`FU!%2O"</f>
        <v>#VALUE!</v>
      </c>
      <c r="BU80" t="e">
        <f>'Technical Skills Weighting'!B1703+"`FU!%2P"</f>
        <v>#VALUE!</v>
      </c>
      <c r="BV80" t="e">
        <f>'Technical Skills Weighting'!B1704+"`FU!%2Q"</f>
        <v>#VALUE!</v>
      </c>
      <c r="BW80" t="e">
        <f>'Technical Skills Weighting'!B1705+"`FU!%2R"</f>
        <v>#VALUE!</v>
      </c>
      <c r="BX80" t="e">
        <f>'Technical Skills Weighting'!B1706+"`FU!%2S"</f>
        <v>#VALUE!</v>
      </c>
      <c r="BY80" t="e">
        <f>'Technical Skills Weighting'!B1707+"`FU!%2T"</f>
        <v>#VALUE!</v>
      </c>
      <c r="BZ80" t="e">
        <f>'Technical Skills Weighting'!B1708+"`FU!%2U"</f>
        <v>#VALUE!</v>
      </c>
      <c r="CA80" t="e">
        <f>'Technical Skills Weighting'!B1709+"`FU!%2V"</f>
        <v>#VALUE!</v>
      </c>
      <c r="CB80" t="e">
        <f>'Technical Skills Weighting'!B1710+"`FU!%2W"</f>
        <v>#VALUE!</v>
      </c>
      <c r="CC80" t="e">
        <f>'Technical Skills Weighting'!B1711+"`FU!%2X"</f>
        <v>#VALUE!</v>
      </c>
      <c r="CD80" t="e">
        <f>'Technical Skills Weighting'!B1712+"`FU!%2Y"</f>
        <v>#VALUE!</v>
      </c>
      <c r="CE80" t="e">
        <f>'Technical Skills Weighting'!B1713+"`FU!%2Z"</f>
        <v>#VALUE!</v>
      </c>
      <c r="CF80" t="e">
        <f>'Technical Skills Weighting'!B1714+"`FU!%2["</f>
        <v>#VALUE!</v>
      </c>
      <c r="CG80" t="e">
        <f>'Technical Skills Weighting'!B1715+"`FU!%2\"</f>
        <v>#VALUE!</v>
      </c>
      <c r="CH80" t="e">
        <f>'Technical Skills Weighting'!B1716+"`FU!%2]"</f>
        <v>#VALUE!</v>
      </c>
      <c r="CI80" t="e">
        <f>'Technical Skills Weighting'!B1717+"`FU!%2^"</f>
        <v>#VALUE!</v>
      </c>
      <c r="CJ80" t="e">
        <f>'Technical Skills Weighting'!B1718+"`FU!%2_"</f>
        <v>#VALUE!</v>
      </c>
      <c r="CK80" t="e">
        <f>'Technical Skills Weighting'!B1719+"`FU!%2`"</f>
        <v>#VALUE!</v>
      </c>
      <c r="CL80" t="e">
        <f>'Technical Skills Weighting'!B1720+"`FU!%2a"</f>
        <v>#VALUE!</v>
      </c>
      <c r="CM80" t="e">
        <f>'Technical Skills Weighting'!B1721+"`FU!%2b"</f>
        <v>#VALUE!</v>
      </c>
      <c r="CN80" t="e">
        <f>'Technical Skills Weighting'!B1722+"`FU!%2c"</f>
        <v>#VALUE!</v>
      </c>
      <c r="CO80" t="e">
        <f>'Technical Skills Weighting'!B1723+"`FU!%2d"</f>
        <v>#VALUE!</v>
      </c>
      <c r="CP80" t="e">
        <f>'Technical Skills Weighting'!B1724+"`FU!%2e"</f>
        <v>#VALUE!</v>
      </c>
      <c r="CQ80" t="e">
        <f>'Technical Skills Weighting'!B1725+"`FU!%2f"</f>
        <v>#VALUE!</v>
      </c>
      <c r="CR80" t="e">
        <f>'Technical Skills Weighting'!B1726+"`FU!%2g"</f>
        <v>#VALUE!</v>
      </c>
      <c r="CS80" t="e">
        <f>'Technical Skills Weighting'!B1727+"`FU!%2h"</f>
        <v>#VALUE!</v>
      </c>
      <c r="CT80" t="e">
        <f>'Technical Skills Weighting'!B1728+"`FU!%2i"</f>
        <v>#VALUE!</v>
      </c>
      <c r="CU80" t="e">
        <f>'Technical Skills Weighting'!B1729+"`FU!%2j"</f>
        <v>#VALUE!</v>
      </c>
      <c r="CV80" t="e">
        <f>'Technical Skills Weighting'!B1730+"`FU!%2k"</f>
        <v>#VALUE!</v>
      </c>
      <c r="CW80" t="e">
        <f>'Technical Skills Weighting'!B1731+"`FU!%2l"</f>
        <v>#VALUE!</v>
      </c>
      <c r="CX80" t="e">
        <f>'Technical Skills Weighting'!B1732+"`FU!%2m"</f>
        <v>#VALUE!</v>
      </c>
      <c r="CY80" t="e">
        <f>'Technical Skills Weighting'!B1733+"`FU!%2n"</f>
        <v>#VALUE!</v>
      </c>
      <c r="CZ80" t="e">
        <f>'Technical Skills Weighting'!B1734+"`FU!%2o"</f>
        <v>#VALUE!</v>
      </c>
      <c r="DA80" t="e">
        <f>'Technical Skills Weighting'!B1735+"`FU!%2p"</f>
        <v>#VALUE!</v>
      </c>
      <c r="DB80" t="e">
        <f>'Technical Skills Weighting'!B1736+"`FU!%2q"</f>
        <v>#VALUE!</v>
      </c>
      <c r="DC80" t="e">
        <f>'Technical Skills Weighting'!B1737+"`FU!%2r"</f>
        <v>#VALUE!</v>
      </c>
      <c r="DD80" t="e">
        <f>'Technical Skills Weighting'!B1738+"`FU!%2s"</f>
        <v>#VALUE!</v>
      </c>
      <c r="DE80" t="e">
        <f>'Technical Skills Weighting'!B1739+"`FU!%2t"</f>
        <v>#VALUE!</v>
      </c>
      <c r="DF80" t="e">
        <f>'Technical Skills Weighting'!B1740+"`FU!%2u"</f>
        <v>#VALUE!</v>
      </c>
      <c r="DG80" t="e">
        <f>'Technical Skills Weighting'!B1741+"`FU!%2v"</f>
        <v>#VALUE!</v>
      </c>
      <c r="DH80" t="e">
        <f>'Technical Skills Weighting'!B1742+"`FU!%2w"</f>
        <v>#VALUE!</v>
      </c>
      <c r="DI80" t="e">
        <f>'Technical Skills Weighting'!B1743+"`FU!%2x"</f>
        <v>#VALUE!</v>
      </c>
      <c r="DJ80" t="e">
        <f>'Technical Skills Weighting'!B1744+"`FU!%2y"</f>
        <v>#VALUE!</v>
      </c>
      <c r="DK80" t="e">
        <f>'Technical Skills Weighting'!B1745+"`FU!%2z"</f>
        <v>#VALUE!</v>
      </c>
      <c r="DL80" t="e">
        <f>'Technical Skills Weighting'!B1746+"`FU!%2{"</f>
        <v>#VALUE!</v>
      </c>
      <c r="DM80" t="e">
        <f>'Technical Skills Weighting'!B1747+"`FU!%2|"</f>
        <v>#VALUE!</v>
      </c>
      <c r="DN80" t="e">
        <f>'Technical Skills Weighting'!B1748+"`FU!%2}"</f>
        <v>#VALUE!</v>
      </c>
      <c r="DO80" t="e">
        <f>'Technical Skills Weighting'!B1749+"`FU!%2~"</f>
        <v>#VALUE!</v>
      </c>
      <c r="DP80" t="e">
        <f>'Technical Skills Weighting'!B1750+"`FU!%3#"</f>
        <v>#VALUE!</v>
      </c>
      <c r="DQ80" t="e">
        <f>'Technical Skills Weighting'!B1751+"`FU!%3$"</f>
        <v>#VALUE!</v>
      </c>
      <c r="DR80" t="e">
        <f>'Technical Skills Weighting'!B1752+"`FU!%3%"</f>
        <v>#VALUE!</v>
      </c>
      <c r="DS80" t="e">
        <f>'Technical Skills Weighting'!B1753+"`FU!%3&amp;"</f>
        <v>#VALUE!</v>
      </c>
      <c r="DT80" t="e">
        <f>'Technical Skills Weighting'!B1754+"`FU!%3'"</f>
        <v>#VALUE!</v>
      </c>
      <c r="DU80" t="e">
        <f>'Technical Skills Weighting'!B1755+"`FU!%3("</f>
        <v>#VALUE!</v>
      </c>
      <c r="DV80" t="e">
        <f>'Technical Skills Weighting'!B1756+"`FU!%3)"</f>
        <v>#VALUE!</v>
      </c>
      <c r="DW80" t="e">
        <f>'Technical Skills Weighting'!B1757+"`FU!%3."</f>
        <v>#VALUE!</v>
      </c>
      <c r="DX80" t="e">
        <f>'Technical Skills Weighting'!B1758+"`FU!%3/"</f>
        <v>#VALUE!</v>
      </c>
      <c r="DY80" t="e">
        <f>'Technical Skills Weighting'!B1759+"`FU!%30"</f>
        <v>#VALUE!</v>
      </c>
      <c r="DZ80" t="e">
        <f>'Technical Skills Weighting'!B1760+"`FU!%31"</f>
        <v>#VALUE!</v>
      </c>
      <c r="EA80" t="e">
        <f>'Technical Skills Weighting'!B1761+"`FU!%32"</f>
        <v>#VALUE!</v>
      </c>
      <c r="EB80" t="e">
        <f>'Technical Skills Weighting'!B1762+"`FU!%33"</f>
        <v>#VALUE!</v>
      </c>
      <c r="EC80" t="e">
        <f>'Technical Skills Weighting'!B1763+"`FU!%34"</f>
        <v>#VALUE!</v>
      </c>
      <c r="ED80" t="e">
        <f>'Technical Skills Weighting'!B1764+"`FU!%35"</f>
        <v>#VALUE!</v>
      </c>
      <c r="EE80" t="e">
        <f>'Technical Skills Weighting'!B1765+"`FU!%36"</f>
        <v>#VALUE!</v>
      </c>
      <c r="EF80" t="e">
        <f>'Technical Skills Weighting'!B1766+"`FU!%37"</f>
        <v>#VALUE!</v>
      </c>
      <c r="EG80" t="e">
        <f>'Technical Skills Weighting'!B1767+"`FU!%38"</f>
        <v>#VALUE!</v>
      </c>
      <c r="EH80" t="e">
        <f>'Technical Skills Weighting'!B1768+"`FU!%39"</f>
        <v>#VALUE!</v>
      </c>
      <c r="EI80" t="e">
        <f>'Technical Skills Weighting'!B1769+"`FU!%3:"</f>
        <v>#VALUE!</v>
      </c>
      <c r="EJ80" t="e">
        <f>'Technical Skills Weighting'!B1770+"`FU!%3;"</f>
        <v>#VALUE!</v>
      </c>
      <c r="EK80" t="e">
        <f>'Technical Skills Weighting'!B1771+"`FU!%3&lt;"</f>
        <v>#VALUE!</v>
      </c>
      <c r="EL80" t="e">
        <f>'Technical Skills Weighting'!B1772+"`FU!%3="</f>
        <v>#VALUE!</v>
      </c>
      <c r="EM80" t="e">
        <f>'Technical Skills Weighting'!B1773+"`FU!%3&gt;"</f>
        <v>#VALUE!</v>
      </c>
      <c r="EN80" t="e">
        <f>'Technical Skills Weighting'!B1774+"`FU!%3?"</f>
        <v>#VALUE!</v>
      </c>
      <c r="EO80" t="e">
        <f>'Technical Skills Weighting'!B1775+"`FU!%3@"</f>
        <v>#VALUE!</v>
      </c>
      <c r="EP80" t="e">
        <f>'Technical Skills Weighting'!B1776+"`FU!%3A"</f>
        <v>#VALUE!</v>
      </c>
      <c r="EQ80" t="e">
        <f>'Technical Skills Weighting'!B1777+"`FU!%3B"</f>
        <v>#VALUE!</v>
      </c>
      <c r="ER80" t="e">
        <f>'Technical Skills Weighting'!B1778+"`FU!%3C"</f>
        <v>#VALUE!</v>
      </c>
      <c r="ES80" t="e">
        <f>'Technical Skills Weighting'!B1779+"`FU!%3D"</f>
        <v>#VALUE!</v>
      </c>
      <c r="ET80" t="e">
        <f>'Technical Skills Weighting'!B1780+"`FU!%3E"</f>
        <v>#VALUE!</v>
      </c>
      <c r="EU80" t="e">
        <f>'Technical Skills Weighting'!B1781+"`FU!%3F"</f>
        <v>#VALUE!</v>
      </c>
      <c r="EV80" t="e">
        <f>'Technical Skills Weighting'!B1782+"`FU!%3G"</f>
        <v>#VALUE!</v>
      </c>
      <c r="EW80" t="e">
        <f>'Technical Skills Weighting'!B1783+"`FU!%3H"</f>
        <v>#VALUE!</v>
      </c>
      <c r="EX80" t="e">
        <f>'Technical Skills Weighting'!B1784+"`FU!%3I"</f>
        <v>#VALUE!</v>
      </c>
      <c r="EY80" t="e">
        <f>'Technical Skills Weighting'!B1785+"`FU!%3J"</f>
        <v>#VALUE!</v>
      </c>
      <c r="EZ80" t="e">
        <f>'Technical Skills Weighting'!B1786+"`FU!%3K"</f>
        <v>#VALUE!</v>
      </c>
      <c r="FA80" t="e">
        <f>'Technical Skills Weighting'!B1787+"`FU!%3L"</f>
        <v>#VALUE!</v>
      </c>
      <c r="FB80" t="e">
        <f>'Technical Skills Weighting'!B1788+"`FU!%3M"</f>
        <v>#VALUE!</v>
      </c>
      <c r="FC80" t="e">
        <f>'Technical Skills Weighting'!B1789+"`FU!%3N"</f>
        <v>#VALUE!</v>
      </c>
      <c r="FD80" t="e">
        <f>'Technical Skills Weighting'!B1790+"`FU!%3O"</f>
        <v>#VALUE!</v>
      </c>
      <c r="FE80" t="e">
        <f>'Technical Skills Weighting'!B1791+"`FU!%3P"</f>
        <v>#VALUE!</v>
      </c>
      <c r="FF80" t="e">
        <f>'Technical Skills Weighting'!B1792+"`FU!%3Q"</f>
        <v>#VALUE!</v>
      </c>
      <c r="FG80" t="e">
        <f>'Technical Skills Weighting'!B1793+"`FU!%3R"</f>
        <v>#VALUE!</v>
      </c>
      <c r="FH80" t="e">
        <f>'Technical Skills Weighting'!B1794+"`FU!%3S"</f>
        <v>#VALUE!</v>
      </c>
      <c r="FI80" t="e">
        <f>'Technical Skills Weighting'!B1795+"`FU!%3T"</f>
        <v>#VALUE!</v>
      </c>
      <c r="FJ80" t="e">
        <f>'Technical Skills Weighting'!B1796+"`FU!%3U"</f>
        <v>#VALUE!</v>
      </c>
      <c r="FK80" t="e">
        <f>'Technical Skills Weighting'!B1797+"`FU!%3V"</f>
        <v>#VALUE!</v>
      </c>
      <c r="FL80" t="e">
        <f>'Technical Skills Weighting'!B1798+"`FU!%3W"</f>
        <v>#VALUE!</v>
      </c>
      <c r="FM80" t="e">
        <f>'Technical Skills Weighting'!B1799+"`FU!%3X"</f>
        <v>#VALUE!</v>
      </c>
      <c r="FN80" t="e">
        <f>'Technical Skills Weighting'!B1800+"`FU!%3Y"</f>
        <v>#VALUE!</v>
      </c>
      <c r="FO80" t="e">
        <f>'Technical Skills Weighting'!B1801+"`FU!%3Z"</f>
        <v>#VALUE!</v>
      </c>
      <c r="FP80" t="e">
        <f>'Technical Skills Weighting'!B1802+"`FU!%3["</f>
        <v>#VALUE!</v>
      </c>
      <c r="FQ80" t="e">
        <f>'Technical Skills Weighting'!B1803+"`FU!%3\"</f>
        <v>#VALUE!</v>
      </c>
      <c r="FR80" t="e">
        <f>'Technical Skills Weighting'!B1804+"`FU!%3]"</f>
        <v>#VALUE!</v>
      </c>
      <c r="FS80" t="e">
        <f>'Technical Skills Weighting'!B1805+"`FU!%3^"</f>
        <v>#VALUE!</v>
      </c>
      <c r="FT80" t="e">
        <f>'Technical Skills Weighting'!B1806+"`FU!%3_"</f>
        <v>#VALUE!</v>
      </c>
      <c r="FU80" t="e">
        <f>'Technical Skills Weighting'!B1807+"`FU!%3`"</f>
        <v>#VALUE!</v>
      </c>
      <c r="FV80" t="e">
        <f>'Technical Skills Weighting'!B1808+"`FU!%3a"</f>
        <v>#VALUE!</v>
      </c>
      <c r="FW80" t="e">
        <f>'Technical Skills Weighting'!B1809+"`FU!%3b"</f>
        <v>#VALUE!</v>
      </c>
      <c r="FX80" t="e">
        <f>'Technical Skills Weighting'!B1810+"`FU!%3c"</f>
        <v>#VALUE!</v>
      </c>
      <c r="FY80" t="e">
        <f>'Technical Skills Weighting'!B1811+"`FU!%3d"</f>
        <v>#VALUE!</v>
      </c>
      <c r="FZ80" t="e">
        <f>'Technical Skills Weighting'!B1812+"`FU!%3e"</f>
        <v>#VALUE!</v>
      </c>
      <c r="GA80" t="e">
        <f>'Technical Skills Weighting'!B1813+"`FU!%3f"</f>
        <v>#VALUE!</v>
      </c>
      <c r="GB80" t="e">
        <f>'Technical Skills Weighting'!B1814+"`FU!%3g"</f>
        <v>#VALUE!</v>
      </c>
      <c r="GC80" t="e">
        <f>'Technical Skills Weighting'!B1815+"`FU!%3h"</f>
        <v>#VALUE!</v>
      </c>
      <c r="GD80" t="e">
        <f>'Technical Skills Weighting'!B1816+"`FU!%3i"</f>
        <v>#VALUE!</v>
      </c>
      <c r="GE80" t="e">
        <f>'Technical Skills Weighting'!B1817+"`FU!%3j"</f>
        <v>#VALUE!</v>
      </c>
      <c r="GF80" t="e">
        <f>'Technical Skills Weighting'!B1818+"`FU!%3k"</f>
        <v>#VALUE!</v>
      </c>
      <c r="GG80" t="e">
        <f>'Technical Skills Weighting'!B1819+"`FU!%3l"</f>
        <v>#VALUE!</v>
      </c>
      <c r="GH80" t="e">
        <f>'Technical Skills Weighting'!B1820+"`FU!%3m"</f>
        <v>#VALUE!</v>
      </c>
      <c r="GI80" t="e">
        <f>'Technical Skills Weighting'!B1821+"`FU!%3n"</f>
        <v>#VALUE!</v>
      </c>
      <c r="GJ80" t="e">
        <f>'Technical Skills Weighting'!B1822+"`FU!%3o"</f>
        <v>#VALUE!</v>
      </c>
      <c r="GK80" t="e">
        <f>'Technical Skills Weighting'!B1823+"`FU!%3p"</f>
        <v>#VALUE!</v>
      </c>
      <c r="GL80" t="e">
        <f>'Technical Skills Weighting'!B1824+"`FU!%3q"</f>
        <v>#VALUE!</v>
      </c>
      <c r="GM80" t="e">
        <f>'Technical Skills Weighting'!B1825+"`FU!%3r"</f>
        <v>#VALUE!</v>
      </c>
      <c r="GN80" t="e">
        <f>'Technical Skills Weighting'!B1826+"`FU!%3s"</f>
        <v>#VALUE!</v>
      </c>
      <c r="GO80" t="e">
        <f>'Technical Skills Weighting'!B1827+"`FU!%3t"</f>
        <v>#VALUE!</v>
      </c>
      <c r="GP80" t="e">
        <f>'Technical Skills Weighting'!B1828+"`FU!%3u"</f>
        <v>#VALUE!</v>
      </c>
      <c r="GQ80" t="e">
        <f>'Technical Skills Weighting'!B1829+"`FU!%3v"</f>
        <v>#VALUE!</v>
      </c>
      <c r="GR80" t="e">
        <f>'Technical Skills Weighting'!B1830+"`FU!%3w"</f>
        <v>#VALUE!</v>
      </c>
      <c r="GS80" t="e">
        <f>'Technical Skills Weighting'!B1831+"`FU!%3x"</f>
        <v>#VALUE!</v>
      </c>
      <c r="GT80" t="e">
        <f>'Technical Skills Weighting'!B1832+"`FU!%3y"</f>
        <v>#VALUE!</v>
      </c>
      <c r="GU80" t="e">
        <f>'Technical Skills Weighting'!B1833+"`FU!%3z"</f>
        <v>#VALUE!</v>
      </c>
      <c r="GV80" t="e">
        <f>'Technical Skills Weighting'!B1834+"`FU!%3{"</f>
        <v>#VALUE!</v>
      </c>
      <c r="GW80" t="e">
        <f>'Technical Skills Weighting'!B1835+"`FU!%3|"</f>
        <v>#VALUE!</v>
      </c>
      <c r="GX80" t="e">
        <f>'Technical Skills Weighting'!B1836+"`FU!%3}"</f>
        <v>#VALUE!</v>
      </c>
      <c r="GY80" t="e">
        <f>'Technical Skills Weighting'!B1837+"`FU!%3~"</f>
        <v>#VALUE!</v>
      </c>
      <c r="GZ80" t="e">
        <f>'Technical Skills Weighting'!B1838+"`FU!%4#"</f>
        <v>#VALUE!</v>
      </c>
      <c r="HA80" t="e">
        <f>'Technical Skills Weighting'!B1839+"`FU!%4$"</f>
        <v>#VALUE!</v>
      </c>
      <c r="HB80" t="e">
        <f>'Technical Skills Weighting'!B1840+"`FU!%4%"</f>
        <v>#VALUE!</v>
      </c>
      <c r="HC80" t="e">
        <f>'Technical Skills Weighting'!B1841+"`FU!%4&amp;"</f>
        <v>#VALUE!</v>
      </c>
      <c r="HD80" t="e">
        <f>'Technical Skills Weighting'!B1842+"`FU!%4'"</f>
        <v>#VALUE!</v>
      </c>
      <c r="HE80" t="e">
        <f>'Technical Skills Weighting'!B1843+"`FU!%4("</f>
        <v>#VALUE!</v>
      </c>
      <c r="HF80" t="e">
        <f>'Technical Skills Weighting'!B1844+"`FU!%4)"</f>
        <v>#VALUE!</v>
      </c>
      <c r="HG80" t="e">
        <f>'Technical Skills Weighting'!B1845+"`FU!%4."</f>
        <v>#VALUE!</v>
      </c>
      <c r="HH80" t="e">
        <f>'Technical Skills Weighting'!B1846+"`FU!%4/"</f>
        <v>#VALUE!</v>
      </c>
      <c r="HI80" t="e">
        <f>'Technical Skills Weighting'!B1847+"`FU!%40"</f>
        <v>#VALUE!</v>
      </c>
      <c r="HJ80" t="e">
        <f>'Technical Skills Weighting'!B1848+"`FU!%41"</f>
        <v>#VALUE!</v>
      </c>
      <c r="HK80" t="e">
        <f>'Technical Skills Weighting'!B1849+"`FU!%42"</f>
        <v>#VALUE!</v>
      </c>
      <c r="HL80" t="e">
        <f>'Technical Skills Weighting'!B1850+"`FU!%43"</f>
        <v>#VALUE!</v>
      </c>
      <c r="HM80" t="e">
        <f>'Technical Skills Weighting'!B1851+"`FU!%44"</f>
        <v>#VALUE!</v>
      </c>
      <c r="HN80" t="e">
        <f>'Technical Skills Weighting'!B1852+"`FU!%45"</f>
        <v>#VALUE!</v>
      </c>
      <c r="HO80" t="e">
        <f>'Technical Skills Weighting'!B1853+"`FU!%46"</f>
        <v>#VALUE!</v>
      </c>
      <c r="HP80" t="e">
        <f>'Technical Skills Weighting'!B1854+"`FU!%47"</f>
        <v>#VALUE!</v>
      </c>
      <c r="HQ80" t="e">
        <f>'Technical Skills Weighting'!B1855+"`FU!%48"</f>
        <v>#VALUE!</v>
      </c>
      <c r="HR80" t="e">
        <f>'Technical Skills Weighting'!B1856+"`FU!%49"</f>
        <v>#VALUE!</v>
      </c>
      <c r="HS80" t="e">
        <f>'Technical Skills Weighting'!B1857+"`FU!%4:"</f>
        <v>#VALUE!</v>
      </c>
      <c r="HT80" t="e">
        <f>'Technical Skills Weighting'!B1858+"`FU!%4;"</f>
        <v>#VALUE!</v>
      </c>
      <c r="HU80" t="e">
        <f>'Technical Skills Weighting'!B1859+"`FU!%4&lt;"</f>
        <v>#VALUE!</v>
      </c>
      <c r="HV80" t="e">
        <f>'Technical Skills Weighting'!B1860+"`FU!%4="</f>
        <v>#VALUE!</v>
      </c>
      <c r="HW80" t="e">
        <f>'Technical Skills Weighting'!B1861+"`FU!%4&gt;"</f>
        <v>#VALUE!</v>
      </c>
      <c r="HX80" t="e">
        <f>'Technical Skills Weighting'!B1862+"`FU!%4?"</f>
        <v>#VALUE!</v>
      </c>
      <c r="HY80" t="e">
        <f>'Technical Skills Weighting'!B1863+"`FU!%4@"</f>
        <v>#VALUE!</v>
      </c>
      <c r="HZ80" t="e">
        <f>'Technical Skills Weighting'!B1864+"`FU!%4A"</f>
        <v>#VALUE!</v>
      </c>
      <c r="IA80" t="e">
        <f>'Technical Skills Weighting'!B1865+"`FU!%4B"</f>
        <v>#VALUE!</v>
      </c>
      <c r="IB80" t="e">
        <f>'Technical Skills Weighting'!B1866+"`FU!%4C"</f>
        <v>#VALUE!</v>
      </c>
      <c r="IC80" t="e">
        <f>'Technical Skills Weighting'!B1867+"`FU!%4D"</f>
        <v>#VALUE!</v>
      </c>
      <c r="ID80" t="e">
        <f>'Technical Skills Weighting'!B1868+"`FU!%4E"</f>
        <v>#VALUE!</v>
      </c>
      <c r="IE80" t="e">
        <f>'Technical Skills Weighting'!B1869+"`FU!%4F"</f>
        <v>#VALUE!</v>
      </c>
      <c r="IF80" t="e">
        <f>'Technical Skills Weighting'!B1870+"`FU!%4G"</f>
        <v>#VALUE!</v>
      </c>
      <c r="IG80" t="e">
        <f>'Technical Skills Weighting'!B1871+"`FU!%4H"</f>
        <v>#VALUE!</v>
      </c>
      <c r="IH80" t="e">
        <f>'Technical Skills Weighting'!B1872+"`FU!%4I"</f>
        <v>#VALUE!</v>
      </c>
      <c r="II80" t="e">
        <f>'Technical Skills Weighting'!B1873+"`FU!%4J"</f>
        <v>#VALUE!</v>
      </c>
      <c r="IJ80" t="e">
        <f>'Technical Skills Weighting'!B1874+"`FU!%4K"</f>
        <v>#VALUE!</v>
      </c>
      <c r="IK80" t="e">
        <f>'Technical Skills Weighting'!B1875+"`FU!%4L"</f>
        <v>#VALUE!</v>
      </c>
      <c r="IL80" t="e">
        <f>'Technical Skills Weighting'!B1876+"`FU!%4M"</f>
        <v>#VALUE!</v>
      </c>
      <c r="IM80" t="e">
        <f>'Technical Skills Weighting'!B1877+"`FU!%4N"</f>
        <v>#VALUE!</v>
      </c>
      <c r="IN80" t="e">
        <f>'Technical Skills Weighting'!B1878+"`FU!%4O"</f>
        <v>#VALUE!</v>
      </c>
      <c r="IO80" t="e">
        <f>'Technical Skills Weighting'!B1879+"`FU!%4P"</f>
        <v>#VALUE!</v>
      </c>
      <c r="IP80" t="e">
        <f>'Technical Skills Weighting'!B1880+"`FU!%4Q"</f>
        <v>#VALUE!</v>
      </c>
      <c r="IQ80" t="e">
        <f>'Technical Skills Weighting'!B1881+"`FU!%4R"</f>
        <v>#VALUE!</v>
      </c>
      <c r="IR80" t="e">
        <f>'Technical Skills Weighting'!B1882+"`FU!%4S"</f>
        <v>#VALUE!</v>
      </c>
      <c r="IS80" t="e">
        <f>'Technical Skills Weighting'!B1883+"`FU!%4T"</f>
        <v>#VALUE!</v>
      </c>
      <c r="IT80" t="e">
        <f>'Technical Skills Weighting'!B1884+"`FU!%4U"</f>
        <v>#VALUE!</v>
      </c>
      <c r="IU80" t="e">
        <f>'Technical Skills Weighting'!B1885+"`FU!%4V"</f>
        <v>#VALUE!</v>
      </c>
      <c r="IV80" t="e">
        <f>'Technical Skills Weighting'!B1886+"`FU!%4W"</f>
        <v>#VALUE!</v>
      </c>
    </row>
    <row r="81" spans="6:256" x14ac:dyDescent="0.25">
      <c r="F81" t="e">
        <f>'Technical Skills Weighting'!B1887+"`FU!%4X"</f>
        <v>#VALUE!</v>
      </c>
      <c r="G81" t="e">
        <f>'Technical Skills Weighting'!B1888+"`FU!%4Y"</f>
        <v>#VALUE!</v>
      </c>
      <c r="H81" t="e">
        <f>'Technical Skills Weighting'!B1889+"`FU!%4Z"</f>
        <v>#VALUE!</v>
      </c>
      <c r="I81" t="e">
        <f>'Technical Skills Weighting'!B1890+"`FU!%4["</f>
        <v>#VALUE!</v>
      </c>
      <c r="J81" t="e">
        <f>'Technical Skills Weighting'!B1891+"`FU!%4\"</f>
        <v>#VALUE!</v>
      </c>
      <c r="K81" t="e">
        <f>'Technical Skills Weighting'!B1892+"`FU!%4]"</f>
        <v>#VALUE!</v>
      </c>
      <c r="L81" t="e">
        <f>'Technical Skills Weighting'!B1893+"`FU!%4^"</f>
        <v>#VALUE!</v>
      </c>
      <c r="M81" t="e">
        <f>'Technical Skills Weighting'!B1894+"`FU!%4_"</f>
        <v>#VALUE!</v>
      </c>
      <c r="N81" t="e">
        <f>'Technical Skills Weighting'!B1895+"`FU!%4`"</f>
        <v>#VALUE!</v>
      </c>
      <c r="O81" t="e">
        <f>'Technical Skills Weighting'!B1896+"`FU!%4a"</f>
        <v>#VALUE!</v>
      </c>
      <c r="P81" t="e">
        <f>'Technical Skills Weighting'!B1897+"`FU!%4b"</f>
        <v>#VALUE!</v>
      </c>
      <c r="Q81" t="e">
        <f>'Technical Skills Weighting'!B1898+"`FU!%4c"</f>
        <v>#VALUE!</v>
      </c>
      <c r="R81" t="e">
        <f>'Technical Skills Weighting'!B1899+"`FU!%4d"</f>
        <v>#VALUE!</v>
      </c>
      <c r="S81" t="e">
        <f>'Technical Skills Weighting'!B1900+"`FU!%4e"</f>
        <v>#VALUE!</v>
      </c>
      <c r="T81" t="e">
        <f>'Technical Skills Weighting'!B1901+"`FU!%4f"</f>
        <v>#VALUE!</v>
      </c>
      <c r="U81" t="e">
        <f>'Technical Skills Weighting'!B1902+"`FU!%4g"</f>
        <v>#VALUE!</v>
      </c>
      <c r="V81" t="e">
        <f>'Technical Skills Weighting'!B1903+"`FU!%4h"</f>
        <v>#VALUE!</v>
      </c>
      <c r="W81" t="e">
        <f>'Technical Skills Weighting'!B1904+"`FU!%4i"</f>
        <v>#VALUE!</v>
      </c>
      <c r="X81" t="e">
        <f>'Technical Skills Weighting'!B1905+"`FU!%4j"</f>
        <v>#VALUE!</v>
      </c>
      <c r="Y81" t="e">
        <f>'Technical Skills Weighting'!B1906+"`FU!%4k"</f>
        <v>#VALUE!</v>
      </c>
      <c r="Z81" t="e">
        <f>'Technical Skills Weighting'!B1907+"`FU!%4l"</f>
        <v>#VALUE!</v>
      </c>
      <c r="AA81" t="e">
        <f>'Technical Skills Weighting'!B1908+"`FU!%4m"</f>
        <v>#VALUE!</v>
      </c>
      <c r="AB81" t="e">
        <f>'Technical Skills Weighting'!B1909+"`FU!%4n"</f>
        <v>#VALUE!</v>
      </c>
      <c r="AC81" t="e">
        <f>'Technical Skills Weighting'!B1910+"`FU!%4o"</f>
        <v>#VALUE!</v>
      </c>
      <c r="AD81" t="e">
        <f>'Technical Skills Weighting'!B1911+"`FU!%4p"</f>
        <v>#VALUE!</v>
      </c>
      <c r="AE81" t="e">
        <f>'Technical Skills Weighting'!B1912+"`FU!%4q"</f>
        <v>#VALUE!</v>
      </c>
      <c r="AF81" t="e">
        <f>'Technical Skills Weighting'!B1913+"`FU!%4r"</f>
        <v>#VALUE!</v>
      </c>
      <c r="AG81" t="e">
        <f>'Technical Skills Weighting'!B1914+"`FU!%4s"</f>
        <v>#VALUE!</v>
      </c>
      <c r="AH81" t="e">
        <f>'Technical Skills Weighting'!B1915+"`FU!%4t"</f>
        <v>#VALUE!</v>
      </c>
      <c r="AI81" t="e">
        <f>'Technical Skills Weighting'!B1916+"`FU!%4u"</f>
        <v>#VALUE!</v>
      </c>
      <c r="AJ81" t="e">
        <f>'Technical Skills Weighting'!B1917+"`FU!%4v"</f>
        <v>#VALUE!</v>
      </c>
      <c r="AK81" t="e">
        <f>'Technical Skills Weighting'!B1918+"`FU!%4w"</f>
        <v>#VALUE!</v>
      </c>
      <c r="AL81" t="e">
        <f>'Technical Skills Weighting'!B1919+"`FU!%4x"</f>
        <v>#VALUE!</v>
      </c>
      <c r="AM81" t="e">
        <f>'Technical Skills Weighting'!B1920+"`FU!%4y"</f>
        <v>#VALUE!</v>
      </c>
      <c r="AN81" t="e">
        <f>'Technical Skills Weighting'!B1921+"`FU!%4z"</f>
        <v>#VALUE!</v>
      </c>
      <c r="AO81" t="e">
        <f>'Technical Skills Weighting'!B1922+"`FU!%4{"</f>
        <v>#VALUE!</v>
      </c>
      <c r="AP81" t="e">
        <f>'Technical Skills Weighting'!B1923+"`FU!%4|"</f>
        <v>#VALUE!</v>
      </c>
      <c r="AQ81" t="e">
        <f>'Technical Skills Weighting'!B1924+"`FU!%4}"</f>
        <v>#VALUE!</v>
      </c>
      <c r="AR81" t="e">
        <f>'Technical Skills Weighting'!B1925+"`FU!%4~"</f>
        <v>#VALUE!</v>
      </c>
      <c r="AS81" t="e">
        <f>'Technical Skills Weighting'!B1926+"`FU!%5#"</f>
        <v>#VALUE!</v>
      </c>
      <c r="AT81" t="e">
        <f>'Technical Skills Weighting'!B1927+"`FU!%5$"</f>
        <v>#VALUE!</v>
      </c>
      <c r="AU81" t="e">
        <f>'Technical Skills Weighting'!B1928+"`FU!%5%"</f>
        <v>#VALUE!</v>
      </c>
      <c r="AV81" t="e">
        <f>'Technical Skills Weighting'!B1929+"`FU!%5&amp;"</f>
        <v>#VALUE!</v>
      </c>
      <c r="AW81" t="e">
        <f>'Technical Skills Weighting'!B1930+"`FU!%5'"</f>
        <v>#VALUE!</v>
      </c>
      <c r="AX81" t="e">
        <f>'Technical Skills Weighting'!B1931+"`FU!%5("</f>
        <v>#VALUE!</v>
      </c>
      <c r="AY81" t="e">
        <f>'Technical Skills Weighting'!B1932+"`FU!%5)"</f>
        <v>#VALUE!</v>
      </c>
      <c r="AZ81" t="e">
        <f>'Technical Skills Weighting'!B1933+"`FU!%5."</f>
        <v>#VALUE!</v>
      </c>
      <c r="BA81" t="e">
        <f>'Technical Skills Weighting'!B1934+"`FU!%5/"</f>
        <v>#VALUE!</v>
      </c>
      <c r="BB81" t="e">
        <f>'Technical Skills Weighting'!B1935+"`FU!%50"</f>
        <v>#VALUE!</v>
      </c>
      <c r="BC81" t="e">
        <f>'Technical Skills Weighting'!B1936+"`FU!%51"</f>
        <v>#VALUE!</v>
      </c>
      <c r="BD81" t="e">
        <f>'Technical Skills Weighting'!B1937+"`FU!%52"</f>
        <v>#VALUE!</v>
      </c>
      <c r="BE81" t="e">
        <f>'Technical Skills Weighting'!B1938+"`FU!%53"</f>
        <v>#VALUE!</v>
      </c>
      <c r="BF81" t="e">
        <f>'Technical Skills Weighting'!B1939+"`FU!%54"</f>
        <v>#VALUE!</v>
      </c>
      <c r="BG81" t="e">
        <f>'Technical Skills Weighting'!B1940+"`FU!%55"</f>
        <v>#VALUE!</v>
      </c>
      <c r="BH81" t="e">
        <f>'Technical Skills Weighting'!B1941+"`FU!%56"</f>
        <v>#VALUE!</v>
      </c>
      <c r="BI81" t="e">
        <f>'Technical Skills Weighting'!B1942+"`FU!%57"</f>
        <v>#VALUE!</v>
      </c>
      <c r="BJ81" t="e">
        <f>'Technical Skills Weighting'!B1943+"`FU!%58"</f>
        <v>#VALUE!</v>
      </c>
      <c r="BK81" t="e">
        <f>'Technical Skills Weighting'!B1944+"`FU!%59"</f>
        <v>#VALUE!</v>
      </c>
      <c r="BL81" t="e">
        <f>'Technical Skills Weighting'!B1945+"`FU!%5:"</f>
        <v>#VALUE!</v>
      </c>
      <c r="BM81" t="e">
        <f>'Technical Skills Weighting'!B1946+"`FU!%5;"</f>
        <v>#VALUE!</v>
      </c>
      <c r="BN81" t="e">
        <f>'Technical Skills Weighting'!B1947+"`FU!%5&lt;"</f>
        <v>#VALUE!</v>
      </c>
      <c r="BO81" t="e">
        <f>'Technical Skills Weighting'!B1948+"`FU!%5="</f>
        <v>#VALUE!</v>
      </c>
      <c r="BP81" t="e">
        <f>'Technical Skills Weighting'!B1949+"`FU!%5&gt;"</f>
        <v>#VALUE!</v>
      </c>
      <c r="BQ81" t="e">
        <f>'Technical Skills Weighting'!B1950+"`FU!%5?"</f>
        <v>#VALUE!</v>
      </c>
      <c r="BR81" t="e">
        <f>'Technical Skills Weighting'!B1951+"`FU!%5@"</f>
        <v>#VALUE!</v>
      </c>
      <c r="BS81" t="e">
        <f>'Technical Skills Weighting'!B1952+"`FU!%5A"</f>
        <v>#VALUE!</v>
      </c>
      <c r="BT81" t="e">
        <f>'Technical Skills Weighting'!B1953+"`FU!%5B"</f>
        <v>#VALUE!</v>
      </c>
      <c r="BU81" t="e">
        <f>'Technical Skills Weighting'!B1954+"`FU!%5C"</f>
        <v>#VALUE!</v>
      </c>
      <c r="BV81" t="e">
        <f>'Technical Skills Weighting'!B1955+"`FU!%5D"</f>
        <v>#VALUE!</v>
      </c>
      <c r="BW81" t="e">
        <f>'Technical Skills Weighting'!B1956+"`FU!%5E"</f>
        <v>#VALUE!</v>
      </c>
      <c r="BX81" t="e">
        <f>'Technical Skills Weighting'!B1957+"`FU!%5F"</f>
        <v>#VALUE!</v>
      </c>
      <c r="BY81" t="e">
        <f>'Technical Skills Weighting'!B1958+"`FU!%5G"</f>
        <v>#VALUE!</v>
      </c>
      <c r="BZ81" t="e">
        <f>'Technical Skills Weighting'!B1959+"`FU!%5H"</f>
        <v>#VALUE!</v>
      </c>
      <c r="CA81" t="e">
        <f>'Technical Skills Weighting'!B1960+"`FU!%5I"</f>
        <v>#VALUE!</v>
      </c>
      <c r="CB81" t="e">
        <f>'Technical Skills Weighting'!B1961+"`FU!%5J"</f>
        <v>#VALUE!</v>
      </c>
      <c r="CC81" t="e">
        <f>'Technical Skills Weighting'!B1962+"`FU!%5K"</f>
        <v>#VALUE!</v>
      </c>
      <c r="CD81" t="e">
        <f>'Technical Skills Weighting'!B1963+"`FU!%5L"</f>
        <v>#VALUE!</v>
      </c>
      <c r="CE81" t="e">
        <f>'Technical Skills Weighting'!B1964+"`FU!%5M"</f>
        <v>#VALUE!</v>
      </c>
      <c r="CF81" t="e">
        <f>'Technical Skills Weighting'!B1965+"`FU!%5N"</f>
        <v>#VALUE!</v>
      </c>
      <c r="CG81" t="e">
        <f>'Technical Skills Weighting'!B1966+"`FU!%5O"</f>
        <v>#VALUE!</v>
      </c>
      <c r="CH81" t="e">
        <f>'Technical Skills Weighting'!B1967+"`FU!%5P"</f>
        <v>#VALUE!</v>
      </c>
      <c r="CI81" t="e">
        <f>'Technical Skills Weighting'!B1968+"`FU!%5Q"</f>
        <v>#VALUE!</v>
      </c>
      <c r="CJ81" t="e">
        <f>'Technical Skills Weighting'!B1969+"`FU!%5R"</f>
        <v>#VALUE!</v>
      </c>
      <c r="CK81" t="e">
        <f>'Technical Skills Weighting'!B1970+"`FU!%5S"</f>
        <v>#VALUE!</v>
      </c>
      <c r="CL81" t="e">
        <f>'Technical Skills Weighting'!B1971+"`FU!%5T"</f>
        <v>#VALUE!</v>
      </c>
      <c r="CM81" t="e">
        <f>'Technical Skills Weighting'!B1972+"`FU!%5U"</f>
        <v>#VALUE!</v>
      </c>
      <c r="CN81" t="e">
        <f>'Technical Skills Weighting'!B1973+"`FU!%5V"</f>
        <v>#VALUE!</v>
      </c>
      <c r="CO81" t="e">
        <f>'Technical Skills Weighting'!B1974+"`FU!%5W"</f>
        <v>#VALUE!</v>
      </c>
      <c r="CP81" t="e">
        <f>'Technical Skills Weighting'!B1975+"`FU!%5X"</f>
        <v>#VALUE!</v>
      </c>
      <c r="CQ81" t="e">
        <f>'Technical Skills Weighting'!B1976+"`FU!%5Y"</f>
        <v>#VALUE!</v>
      </c>
      <c r="CR81" t="e">
        <f>'Technical Skills Weighting'!B1977+"`FU!%5Z"</f>
        <v>#VALUE!</v>
      </c>
      <c r="CS81" t="e">
        <f>'Technical Skills Weighting'!B1978+"`FU!%5["</f>
        <v>#VALUE!</v>
      </c>
      <c r="CT81" t="e">
        <f>'Technical Skills Weighting'!B1979+"`FU!%5\"</f>
        <v>#VALUE!</v>
      </c>
      <c r="CU81" t="e">
        <f>'Technical Skills Weighting'!B1980+"`FU!%5]"</f>
        <v>#VALUE!</v>
      </c>
      <c r="CV81" t="e">
        <f>'Technical Skills Weighting'!B1981+"`FU!%5^"</f>
        <v>#VALUE!</v>
      </c>
      <c r="CW81" t="e">
        <f>'Technical Skills Weighting'!B1982+"`FU!%5_"</f>
        <v>#VALUE!</v>
      </c>
      <c r="CX81" t="e">
        <f>'Technical Skills Weighting'!B1983+"`FU!%5`"</f>
        <v>#VALUE!</v>
      </c>
      <c r="CY81" t="e">
        <f>'Technical Skills Weighting'!B1984+"`FU!%5a"</f>
        <v>#VALUE!</v>
      </c>
      <c r="CZ81" t="e">
        <f>'Technical Skills Weighting'!B1985+"`FU!%5b"</f>
        <v>#VALUE!</v>
      </c>
      <c r="DA81" t="e">
        <f>'Technical Skills Weighting'!B1986+"`FU!%5c"</f>
        <v>#VALUE!</v>
      </c>
      <c r="DB81" t="e">
        <f>'Technical Skills Weighting'!B1987+"`FU!%5d"</f>
        <v>#VALUE!</v>
      </c>
      <c r="DC81" t="e">
        <f>'Technical Skills Weighting'!B1988+"`FU!%5e"</f>
        <v>#VALUE!</v>
      </c>
      <c r="DD81" t="e">
        <f>'Technical Skills Weighting'!B1989+"`FU!%5f"</f>
        <v>#VALUE!</v>
      </c>
      <c r="DE81" t="e">
        <f>'Technical Skills Weighting'!B1990+"`FU!%5g"</f>
        <v>#VALUE!</v>
      </c>
      <c r="DF81" t="e">
        <f>'Technical Skills Weighting'!B1991+"`FU!%5h"</f>
        <v>#VALUE!</v>
      </c>
      <c r="DG81" t="e">
        <f>'Technical Skills Weighting'!B1992+"`FU!%5i"</f>
        <v>#VALUE!</v>
      </c>
      <c r="DH81" t="e">
        <f>'Technical Skills Weighting'!B1993+"`FU!%5j"</f>
        <v>#VALUE!</v>
      </c>
      <c r="DI81" t="e">
        <f>'Technical Skills Weighting'!B1994+"`FU!%5k"</f>
        <v>#VALUE!</v>
      </c>
      <c r="DJ81" t="e">
        <f>'Technical Skills Weighting'!B1995+"`FU!%5l"</f>
        <v>#VALUE!</v>
      </c>
      <c r="DK81" t="e">
        <f>'Technical Skills Weighting'!B1996+"`FU!%5m"</f>
        <v>#VALUE!</v>
      </c>
      <c r="DL81" t="e">
        <f>'Technical Skills Weighting'!B1997+"`FU!%5n"</f>
        <v>#VALUE!</v>
      </c>
      <c r="DM81" t="e">
        <f>'Technical Skills Weighting'!B1998+"`FU!%5o"</f>
        <v>#VALUE!</v>
      </c>
      <c r="DN81" t="e">
        <f>'Technical Skills Weighting'!B1999+"`FU!%5p"</f>
        <v>#VALUE!</v>
      </c>
      <c r="DO81" t="e">
        <f>'Technical Skills Weighting'!B2000+"`FU!%5q"</f>
        <v>#VALUE!</v>
      </c>
      <c r="DP81" t="e">
        <f>'Technical Skills Weighting'!B2001+"`FU!%5r"</f>
        <v>#VALUE!</v>
      </c>
      <c r="DQ81" t="e">
        <f>'Technical Skills Weighting'!B2002+"`FU!%5s"</f>
        <v>#VALUE!</v>
      </c>
      <c r="DR81" t="e">
        <f>'Technical Skills Weighting'!B2003+"`FU!%5t"</f>
        <v>#VALUE!</v>
      </c>
      <c r="DS81" t="e">
        <f>'Technical Skills Weighting'!B2004+"`FU!%5u"</f>
        <v>#VALUE!</v>
      </c>
      <c r="DT81" t="e">
        <f>'Technical Skills Weighting'!B2005+"`FU!%5v"</f>
        <v>#VALUE!</v>
      </c>
      <c r="DU81" t="e">
        <f>'Technical Skills Weighting'!B2006+"`FU!%5w"</f>
        <v>#VALUE!</v>
      </c>
      <c r="DV81" t="e">
        <f>'Technical Skills Weighting'!B2007+"`FU!%5x"</f>
        <v>#VALUE!</v>
      </c>
      <c r="DW81" t="e">
        <f>'Technical Skills Weighting'!B2008+"`FU!%5y"</f>
        <v>#VALUE!</v>
      </c>
      <c r="DX81" t="e">
        <f>'Technical Skills Weighting'!B2009+"`FU!%5z"</f>
        <v>#VALUE!</v>
      </c>
      <c r="DY81" t="e">
        <f>'Technical Skills Weighting'!B2010+"`FU!%5{"</f>
        <v>#VALUE!</v>
      </c>
      <c r="DZ81" t="e">
        <f>'Technical Skills Weighting'!B2011+"`FU!%5|"</f>
        <v>#VALUE!</v>
      </c>
      <c r="EA81" t="e">
        <f>'Technical Skills Weighting'!B2012+"`FU!%5}"</f>
        <v>#VALUE!</v>
      </c>
      <c r="EB81" t="e">
        <f>'Technical Skills Weighting'!B2013+"`FU!%5~"</f>
        <v>#VALUE!</v>
      </c>
      <c r="EC81" t="e">
        <f>'Technical Skills Weighting'!B2014+"`FU!%6#"</f>
        <v>#VALUE!</v>
      </c>
      <c r="ED81" t="e">
        <f>'Technical Skills Weighting'!B2015+"`FU!%6$"</f>
        <v>#VALUE!</v>
      </c>
      <c r="EE81" t="e">
        <f>'Technical Skills Weighting'!B2016+"`FU!%6%"</f>
        <v>#VALUE!</v>
      </c>
      <c r="EF81" t="e">
        <f>'Technical Skills Weighting'!B2017+"`FU!%6&amp;"</f>
        <v>#VALUE!</v>
      </c>
      <c r="EG81" t="e">
        <f>'Technical Skills Weighting'!B2018+"`FU!%6'"</f>
        <v>#VALUE!</v>
      </c>
      <c r="EH81" t="e">
        <f>'Technical Skills Weighting'!B2019+"`FU!%6("</f>
        <v>#VALUE!</v>
      </c>
      <c r="EI81" t="e">
        <f>'Technical Skills Weighting'!B2020+"`FU!%6)"</f>
        <v>#VALUE!</v>
      </c>
      <c r="EJ81" t="e">
        <f>'Technical Skills Weighting'!B2021+"`FU!%6."</f>
        <v>#VALUE!</v>
      </c>
      <c r="EK81" t="e">
        <f>'Technical Skills Weighting'!B2022+"`FU!%6/"</f>
        <v>#VALUE!</v>
      </c>
      <c r="EL81" t="e">
        <f>'Technical Skills Weighting'!B2023+"`FU!%60"</f>
        <v>#VALUE!</v>
      </c>
      <c r="EM81" t="e">
        <f>'Technical Skills Weighting'!B2024+"`FU!%61"</f>
        <v>#VALUE!</v>
      </c>
      <c r="EN81" t="e">
        <f>'Technical Skills Weighting'!B2025+"`FU!%62"</f>
        <v>#VALUE!</v>
      </c>
      <c r="EO81" t="e">
        <f>'Technical Skills Weighting'!B2026+"`FU!%63"</f>
        <v>#VALUE!</v>
      </c>
      <c r="EP81" t="e">
        <f>'Technical Skills Weighting'!B2027+"`FU!%64"</f>
        <v>#VALUE!</v>
      </c>
      <c r="EQ81" t="e">
        <f>'Technical Skills Weighting'!B2028+"`FU!%65"</f>
        <v>#VALUE!</v>
      </c>
      <c r="ER81" t="e">
        <f>'Technical Skills Weighting'!B2029+"`FU!%66"</f>
        <v>#VALUE!</v>
      </c>
      <c r="ES81" t="e">
        <f>'Technical Skills Weighting'!B2030+"`FU!%67"</f>
        <v>#VALUE!</v>
      </c>
      <c r="ET81" t="e">
        <f>'Technical Skills Weighting'!B2031+"`FU!%68"</f>
        <v>#VALUE!</v>
      </c>
      <c r="EU81" t="e">
        <f>'Technical Skills Weighting'!B2032+"`FU!%69"</f>
        <v>#VALUE!</v>
      </c>
      <c r="EV81" t="e">
        <f>'Technical Skills Weighting'!B2033+"`FU!%6:"</f>
        <v>#VALUE!</v>
      </c>
      <c r="EW81" t="e">
        <f>'Technical Skills Weighting'!B2034+"`FU!%6;"</f>
        <v>#VALUE!</v>
      </c>
      <c r="EX81" t="e">
        <f>'Technical Skills Weighting'!B2035+"`FU!%6&lt;"</f>
        <v>#VALUE!</v>
      </c>
      <c r="EY81" t="e">
        <f>'Technical Skills Weighting'!B2036+"`FU!%6="</f>
        <v>#VALUE!</v>
      </c>
      <c r="EZ81" t="e">
        <f>'Technical Skills Weighting'!B2037+"`FU!%6&gt;"</f>
        <v>#VALUE!</v>
      </c>
      <c r="FA81" t="e">
        <f>'Technical Skills Weighting'!B2038+"`FU!%6?"</f>
        <v>#VALUE!</v>
      </c>
      <c r="FB81" t="e">
        <f>'Technical Skills Weighting'!B2039+"`FU!%6@"</f>
        <v>#VALUE!</v>
      </c>
      <c r="FC81" t="e">
        <f>'Technical Skills Weighting'!B2040+"`FU!%6A"</f>
        <v>#VALUE!</v>
      </c>
      <c r="FD81" t="e">
        <f>'Technical Skills Weighting'!B2041+"`FU!%6B"</f>
        <v>#VALUE!</v>
      </c>
      <c r="FE81" t="e">
        <f>'Technical Skills Weighting'!B2042+"`FU!%6C"</f>
        <v>#VALUE!</v>
      </c>
      <c r="FF81" t="e">
        <f>'Technical Skills Weighting'!B2043+"`FU!%6D"</f>
        <v>#VALUE!</v>
      </c>
      <c r="FG81" t="e">
        <f>'Technical Skills Weighting'!B2044+"`FU!%6E"</f>
        <v>#VALUE!</v>
      </c>
      <c r="FH81" t="e">
        <f>'Technical Skills Weighting'!B2045+"`FU!%6F"</f>
        <v>#VALUE!</v>
      </c>
      <c r="FI81" t="e">
        <f>'Technical Skills Weighting'!B2046+"`FU!%6G"</f>
        <v>#VALUE!</v>
      </c>
      <c r="FJ81" t="e">
        <f>'Technical Skills Weighting'!B2047+"`FU!%6H"</f>
        <v>#VALUE!</v>
      </c>
      <c r="FK81" t="e">
        <f>'Technical Skills Weighting'!B2048+"`FU!%6I"</f>
        <v>#VALUE!</v>
      </c>
      <c r="FL81" t="e">
        <f>'Technical Skills Weighting'!B2049+"`FU!%6J"</f>
        <v>#VALUE!</v>
      </c>
      <c r="FM81" t="e">
        <f>'Technical Skills Weighting'!B2050+"`FU!%6K"</f>
        <v>#VALUE!</v>
      </c>
      <c r="FN81" t="e">
        <f>'Technical Skills Weighting'!B2051+"`FU!%6L"</f>
        <v>#VALUE!</v>
      </c>
      <c r="FO81" t="e">
        <f>'Technical Skills Weighting'!B2052+"`FU!%6M"</f>
        <v>#VALUE!</v>
      </c>
      <c r="FP81" t="e">
        <f>'Technical Skills Weighting'!B2053+"`FU!%6N"</f>
        <v>#VALUE!</v>
      </c>
      <c r="FQ81" t="e">
        <f>'Technical Skills Weighting'!B2054+"`FU!%6O"</f>
        <v>#VALUE!</v>
      </c>
      <c r="FR81" t="e">
        <f>'Technical Skills Weighting'!B2055+"`FU!%6P"</f>
        <v>#VALUE!</v>
      </c>
      <c r="FS81" t="e">
        <f>'Technical Skills Weighting'!B2056+"`FU!%6Q"</f>
        <v>#VALUE!</v>
      </c>
      <c r="FT81" t="e">
        <f>'Technical Skills Weighting'!B2057+"`FU!%6R"</f>
        <v>#VALUE!</v>
      </c>
      <c r="FU81" t="e">
        <f>'Technical Skills Weighting'!B2058+"`FU!%6S"</f>
        <v>#VALUE!</v>
      </c>
      <c r="FV81" t="e">
        <f>'Technical Skills Weighting'!B2059+"`FU!%6T"</f>
        <v>#VALUE!</v>
      </c>
      <c r="FW81" t="e">
        <f>'Technical Skills Weighting'!B2060+"`FU!%6U"</f>
        <v>#VALUE!</v>
      </c>
      <c r="FX81" t="e">
        <f>'Technical Skills Weighting'!B2061+"`FU!%6V"</f>
        <v>#VALUE!</v>
      </c>
      <c r="FY81" t="e">
        <f>'Technical Skills Weighting'!B2062+"`FU!%6W"</f>
        <v>#VALUE!</v>
      </c>
      <c r="FZ81" t="e">
        <f>'Technical Skills Weighting'!B2063+"`FU!%6X"</f>
        <v>#VALUE!</v>
      </c>
      <c r="GA81" t="e">
        <f>'Technical Skills Weighting'!B2064+"`FU!%6Y"</f>
        <v>#VALUE!</v>
      </c>
      <c r="GB81" t="e">
        <f>'Technical Skills Weighting'!B2065+"`FU!%6Z"</f>
        <v>#VALUE!</v>
      </c>
      <c r="GC81" t="e">
        <f>'Technical Skills Weighting'!B2066+"`FU!%6["</f>
        <v>#VALUE!</v>
      </c>
      <c r="GD81" t="e">
        <f>'Technical Skills Weighting'!B2067+"`FU!%6\"</f>
        <v>#VALUE!</v>
      </c>
      <c r="GE81" t="e">
        <f>'Technical Skills Weighting'!B2068+"`FU!%6]"</f>
        <v>#VALUE!</v>
      </c>
      <c r="GF81" t="e">
        <f>'Technical Skills Weighting'!B2069+"`FU!%6^"</f>
        <v>#VALUE!</v>
      </c>
      <c r="GG81" t="e">
        <f>'Technical Skills Weighting'!B2070+"`FU!%6_"</f>
        <v>#VALUE!</v>
      </c>
      <c r="GH81" t="e">
        <f>'Technical Skills Weighting'!B2071+"`FU!%6`"</f>
        <v>#VALUE!</v>
      </c>
      <c r="GI81" t="e">
        <f>'Technical Skills Weighting'!B2072+"`FU!%6a"</f>
        <v>#VALUE!</v>
      </c>
      <c r="GJ81" t="e">
        <f>'Technical Skills Weighting'!B2073+"`FU!%6b"</f>
        <v>#VALUE!</v>
      </c>
      <c r="GK81" t="e">
        <f>'Technical Skills Weighting'!B2074+"`FU!%6c"</f>
        <v>#VALUE!</v>
      </c>
      <c r="GL81" t="e">
        <f>'Technical Skills Weighting'!B2075+"`FU!%6d"</f>
        <v>#VALUE!</v>
      </c>
      <c r="GM81" t="e">
        <f>'Technical Skills Weighting'!B2076+"`FU!%6e"</f>
        <v>#VALUE!</v>
      </c>
      <c r="GN81" t="e">
        <f>'Technical Skills Weighting'!B2077+"`FU!%6f"</f>
        <v>#VALUE!</v>
      </c>
      <c r="GO81" t="e">
        <f>'Technical Skills Weighting'!B2078+"`FU!%6g"</f>
        <v>#VALUE!</v>
      </c>
      <c r="GP81" t="e">
        <f>'Technical Skills Weighting'!B2079+"`FU!%6h"</f>
        <v>#VALUE!</v>
      </c>
      <c r="GQ81" t="e">
        <f>'Technical Skills Weighting'!B2080+"`FU!%6i"</f>
        <v>#VALUE!</v>
      </c>
      <c r="GR81" t="e">
        <f>'Technical Skills Weighting'!B2081+"`FU!%6j"</f>
        <v>#VALUE!</v>
      </c>
      <c r="GS81" t="e">
        <f>'Technical Skills Weighting'!B2082+"`FU!%6k"</f>
        <v>#VALUE!</v>
      </c>
      <c r="GT81" t="e">
        <f>'Technical Skills Weighting'!B2083+"`FU!%6l"</f>
        <v>#VALUE!</v>
      </c>
      <c r="GU81" t="e">
        <f>'Technical Skills Weighting'!B2084+"`FU!%6m"</f>
        <v>#VALUE!</v>
      </c>
      <c r="GV81" t="e">
        <f>'Technical Skills Weighting'!B2085+"`FU!%6n"</f>
        <v>#VALUE!</v>
      </c>
      <c r="GW81" t="e">
        <f>'Technical Skills Weighting'!B2086+"`FU!%6o"</f>
        <v>#VALUE!</v>
      </c>
      <c r="GX81" t="e">
        <f>'Technical Skills Weighting'!B2087+"`FU!%6p"</f>
        <v>#VALUE!</v>
      </c>
      <c r="GY81" t="e">
        <f>'Technical Skills Weighting'!B2088+"`FU!%6q"</f>
        <v>#VALUE!</v>
      </c>
      <c r="GZ81" t="e">
        <f>'Technical Skills Weighting'!B2089+"`FU!%6r"</f>
        <v>#VALUE!</v>
      </c>
      <c r="HA81" t="e">
        <f>'Technical Skills Weighting'!B2090+"`FU!%6s"</f>
        <v>#VALUE!</v>
      </c>
      <c r="HB81" t="e">
        <f>'Technical Skills Weighting'!B2091+"`FU!%6t"</f>
        <v>#VALUE!</v>
      </c>
      <c r="HC81" t="e">
        <f>'Technical Skills Weighting'!B2092+"`FU!%6u"</f>
        <v>#VALUE!</v>
      </c>
      <c r="HD81" t="e">
        <f>'Technical Skills Weighting'!B2093+"`FU!%6v"</f>
        <v>#VALUE!</v>
      </c>
      <c r="HE81" t="e">
        <f>'Technical Skills Weighting'!B2094+"`FU!%6w"</f>
        <v>#VALUE!</v>
      </c>
      <c r="HF81" t="e">
        <f>'Technical Skills Weighting'!B2095+"`FU!%6x"</f>
        <v>#VALUE!</v>
      </c>
      <c r="HG81" t="e">
        <f>'Technical Skills Weighting'!B2096+"`FU!%6y"</f>
        <v>#VALUE!</v>
      </c>
      <c r="HH81" t="e">
        <f>'Technical Skills Weighting'!B2097+"`FU!%6z"</f>
        <v>#VALUE!</v>
      </c>
      <c r="HI81" t="e">
        <f>'Technical Skills Weighting'!B2098+"`FU!%6{"</f>
        <v>#VALUE!</v>
      </c>
      <c r="HJ81" t="e">
        <f>'Technical Skills Weighting'!B2099+"`FU!%6|"</f>
        <v>#VALUE!</v>
      </c>
      <c r="HK81" t="e">
        <f>'Technical Skills Weighting'!B2100+"`FU!%6}"</f>
        <v>#VALUE!</v>
      </c>
      <c r="HL81" t="e">
        <f>'Technical Skills Weighting'!B2101+"`FU!%6~"</f>
        <v>#VALUE!</v>
      </c>
      <c r="HM81" t="e">
        <f>'Technical Skills Weighting'!B2102+"`FU!%7#"</f>
        <v>#VALUE!</v>
      </c>
      <c r="HN81" t="e">
        <f>'Technical Skills Weighting'!B2103+"`FU!%7$"</f>
        <v>#VALUE!</v>
      </c>
      <c r="HO81" t="e">
        <f>'Technical Skills Weighting'!B2104+"`FU!%7%"</f>
        <v>#VALUE!</v>
      </c>
      <c r="HP81" t="e">
        <f>'Technical Skills Weighting'!B2105+"`FU!%7&amp;"</f>
        <v>#VALUE!</v>
      </c>
      <c r="HQ81" t="e">
        <f>'Technical Skills Weighting'!B2106+"`FU!%7'"</f>
        <v>#VALUE!</v>
      </c>
      <c r="HR81" t="e">
        <f>'Technical Skills Weighting'!B2107+"`FU!%7("</f>
        <v>#VALUE!</v>
      </c>
      <c r="HS81" t="e">
        <f>'Technical Skills Weighting'!B2108+"`FU!%7)"</f>
        <v>#VALUE!</v>
      </c>
      <c r="HT81" t="e">
        <f>'Technical Skills Weighting'!B2109+"`FU!%7."</f>
        <v>#VALUE!</v>
      </c>
      <c r="HU81" t="e">
        <f>'Technical Skills Weighting'!B2110+"`FU!%7/"</f>
        <v>#VALUE!</v>
      </c>
      <c r="HV81" t="e">
        <f>'Technical Skills Weighting'!B2111+"`FU!%70"</f>
        <v>#VALUE!</v>
      </c>
      <c r="HW81" t="e">
        <f>'Technical Skills Weighting'!B2112+"`FU!%71"</f>
        <v>#VALUE!</v>
      </c>
      <c r="HX81" t="e">
        <f>'Technical Skills Weighting'!B2113+"`FU!%72"</f>
        <v>#VALUE!</v>
      </c>
      <c r="HY81" t="e">
        <f>'Technical Skills Weighting'!B2114+"`FU!%73"</f>
        <v>#VALUE!</v>
      </c>
      <c r="HZ81" t="e">
        <f>'Technical Skills Weighting'!B2115+"`FU!%74"</f>
        <v>#VALUE!</v>
      </c>
      <c r="IA81" t="e">
        <f>'Technical Skills Weighting'!B2116+"`FU!%75"</f>
        <v>#VALUE!</v>
      </c>
      <c r="IB81" t="e">
        <f>'Technical Skills Weighting'!B2117+"`FU!%76"</f>
        <v>#VALUE!</v>
      </c>
      <c r="IC81" t="e">
        <f>'Technical Skills Weighting'!B2118+"`FU!%77"</f>
        <v>#VALUE!</v>
      </c>
      <c r="ID81" t="e">
        <f>'Technical Skills Weighting'!B2119+"`FU!%78"</f>
        <v>#VALUE!</v>
      </c>
      <c r="IE81" t="e">
        <f>'Technical Skills Weighting'!B2120+"`FU!%79"</f>
        <v>#VALUE!</v>
      </c>
      <c r="IF81" t="e">
        <f>'Technical Skills Weighting'!B2121+"`FU!%7:"</f>
        <v>#VALUE!</v>
      </c>
      <c r="IG81" t="e">
        <f>'Technical Skills Weighting'!B2122+"`FU!%7;"</f>
        <v>#VALUE!</v>
      </c>
      <c r="IH81" t="e">
        <f>'Technical Skills Weighting'!B2123+"`FU!%7&lt;"</f>
        <v>#VALUE!</v>
      </c>
      <c r="II81" t="e">
        <f>'Technical Skills Weighting'!B2124+"`FU!%7="</f>
        <v>#VALUE!</v>
      </c>
      <c r="IJ81" t="e">
        <f>'Technical Skills Weighting'!B2125+"`FU!%7&gt;"</f>
        <v>#VALUE!</v>
      </c>
      <c r="IK81" t="e">
        <f>'Technical Skills Weighting'!B2126+"`FU!%7?"</f>
        <v>#VALUE!</v>
      </c>
      <c r="IL81" t="e">
        <f>'Technical Skills Weighting'!B2127+"`FU!%7@"</f>
        <v>#VALUE!</v>
      </c>
      <c r="IM81" t="e">
        <f>'Technical Skills Weighting'!B2128+"`FU!%7A"</f>
        <v>#VALUE!</v>
      </c>
      <c r="IN81" t="e">
        <f>'Technical Skills Weighting'!B2129+"`FU!%7B"</f>
        <v>#VALUE!</v>
      </c>
      <c r="IO81" t="e">
        <f>'Technical Skills Weighting'!B2130+"`FU!%7C"</f>
        <v>#VALUE!</v>
      </c>
      <c r="IP81" t="e">
        <f>'Technical Skills Weighting'!B2131+"`FU!%7D"</f>
        <v>#VALUE!</v>
      </c>
      <c r="IQ81" t="e">
        <f>'Technical Skills Weighting'!B2132+"`FU!%7E"</f>
        <v>#VALUE!</v>
      </c>
      <c r="IR81" t="e">
        <f>'Technical Skills Weighting'!B2133+"`FU!%7F"</f>
        <v>#VALUE!</v>
      </c>
      <c r="IS81" t="e">
        <f>'Technical Skills Weighting'!B2134+"`FU!%7G"</f>
        <v>#VALUE!</v>
      </c>
      <c r="IT81" t="e">
        <f>'Technical Skills Weighting'!B2135+"`FU!%7H"</f>
        <v>#VALUE!</v>
      </c>
      <c r="IU81" t="e">
        <f>'Technical Skills Weighting'!B2136+"`FU!%7I"</f>
        <v>#VALUE!</v>
      </c>
      <c r="IV81" t="e">
        <f>'Technical Skills Weighting'!B2137+"`FU!%7J"</f>
        <v>#VALUE!</v>
      </c>
    </row>
    <row r="82" spans="6:256" x14ac:dyDescent="0.25">
      <c r="F82" t="e">
        <f>'Technical Skills Weighting'!B2138+"`FU!%7K"</f>
        <v>#VALUE!</v>
      </c>
      <c r="G82" t="e">
        <f>'Technical Skills Weighting'!B2139+"`FU!%7L"</f>
        <v>#VALUE!</v>
      </c>
      <c r="H82" t="e">
        <f>'Technical Skills Weighting'!B2140+"`FU!%7M"</f>
        <v>#VALUE!</v>
      </c>
      <c r="I82" t="e">
        <f>'Technical Skills Weighting'!B2141+"`FU!%7N"</f>
        <v>#VALUE!</v>
      </c>
      <c r="J82" t="e">
        <f>'Technical Skills Weighting'!B2142+"`FU!%7O"</f>
        <v>#VALUE!</v>
      </c>
      <c r="K82" t="e">
        <f>'Technical Skills Weighting'!B2143+"`FU!%7P"</f>
        <v>#VALUE!</v>
      </c>
      <c r="L82" t="e">
        <f>'Technical Skills Weighting'!B2144+"`FU!%7Q"</f>
        <v>#VALUE!</v>
      </c>
      <c r="M82" t="e">
        <f>'Technical Skills Weighting'!B2145+"`FU!%7R"</f>
        <v>#VALUE!</v>
      </c>
      <c r="N82" t="e">
        <f>'Technical Skills Weighting'!B2146+"`FU!%7S"</f>
        <v>#VALUE!</v>
      </c>
      <c r="O82" t="e">
        <f>'Technical Skills Weighting'!B2147+"`FU!%7T"</f>
        <v>#VALUE!</v>
      </c>
      <c r="P82" t="e">
        <f>'Technical Skills Weighting'!B2148+"`FU!%7U"</f>
        <v>#VALUE!</v>
      </c>
      <c r="Q82" t="e">
        <f>'Technical Skills Weighting'!B2149+"`FU!%7V"</f>
        <v>#VALUE!</v>
      </c>
      <c r="R82" t="e">
        <f>'Technical Skills Weighting'!B2150+"`FU!%7W"</f>
        <v>#VALUE!</v>
      </c>
      <c r="S82" t="e">
        <f>'Technical Skills Weighting'!B2151+"`FU!%7X"</f>
        <v>#VALUE!</v>
      </c>
      <c r="T82" t="e">
        <f>'Technical Skills Weighting'!B2152+"`FU!%7Y"</f>
        <v>#VALUE!</v>
      </c>
      <c r="U82" t="e">
        <f>'Technical Skills Weighting'!B2153+"`FU!%7Z"</f>
        <v>#VALUE!</v>
      </c>
      <c r="V82" t="e">
        <f>'Technical Skills Weighting'!B2154+"`FU!%7["</f>
        <v>#VALUE!</v>
      </c>
      <c r="W82" t="e">
        <f>'Technical Skills Weighting'!B2155+"`FU!%7\"</f>
        <v>#VALUE!</v>
      </c>
      <c r="X82" t="e">
        <f>'Technical Skills Weighting'!B2156+"`FU!%7]"</f>
        <v>#VALUE!</v>
      </c>
      <c r="Y82" t="e">
        <f>'Technical Skills Weighting'!B2157+"`FU!%7^"</f>
        <v>#VALUE!</v>
      </c>
      <c r="Z82" t="e">
        <f>'Technical Skills Weighting'!B2158+"`FU!%7_"</f>
        <v>#VALUE!</v>
      </c>
      <c r="AA82" t="e">
        <f>'Technical Skills Weighting'!B2159+"`FU!%7`"</f>
        <v>#VALUE!</v>
      </c>
      <c r="AB82" t="e">
        <f>'Technical Skills Weighting'!B2160+"`FU!%7a"</f>
        <v>#VALUE!</v>
      </c>
      <c r="AC82" t="e">
        <f>'Technical Skills Weighting'!B2161+"`FU!%7b"</f>
        <v>#VALUE!</v>
      </c>
      <c r="AD82" t="e">
        <f>'Technical Skills Weighting'!B2162+"`FU!%7c"</f>
        <v>#VALUE!</v>
      </c>
      <c r="AE82" t="e">
        <f>'Technical Skills Weighting'!B2163+"`FU!%7d"</f>
        <v>#VALUE!</v>
      </c>
      <c r="AF82" t="e">
        <f>'Technical Skills Weighting'!B2164+"`FU!%7e"</f>
        <v>#VALUE!</v>
      </c>
      <c r="AG82" t="e">
        <f>'Technical Skills Weighting'!B2165+"`FU!%7f"</f>
        <v>#VALUE!</v>
      </c>
      <c r="AH82" t="e">
        <f>'Technical Skills Weighting'!B2166+"`FU!%7g"</f>
        <v>#VALUE!</v>
      </c>
      <c r="AI82" t="e">
        <f>'Technical Skills Weighting'!B2167+"`FU!%7h"</f>
        <v>#VALUE!</v>
      </c>
      <c r="AJ82" t="e">
        <f>'Technical Skills Weighting'!B2168+"`FU!%7i"</f>
        <v>#VALUE!</v>
      </c>
      <c r="AK82" t="e">
        <f>'Technical Skills Weighting'!B2169+"`FU!%7j"</f>
        <v>#VALUE!</v>
      </c>
      <c r="AL82" t="e">
        <f>'Technical Skills Weighting'!B2170+"`FU!%7k"</f>
        <v>#VALUE!</v>
      </c>
      <c r="AM82" t="e">
        <f>'Technical Skills Weighting'!B2171+"`FU!%7l"</f>
        <v>#VALUE!</v>
      </c>
      <c r="AN82" t="e">
        <f>'Technical Skills Weighting'!B2172+"`FU!%7m"</f>
        <v>#VALUE!</v>
      </c>
      <c r="AO82" t="e">
        <f>'Technical Skills Weighting'!B2173+"`FU!%7n"</f>
        <v>#VALUE!</v>
      </c>
      <c r="AP82" t="e">
        <f>'Technical Skills Weighting'!B2174+"`FU!%7o"</f>
        <v>#VALUE!</v>
      </c>
      <c r="AQ82" t="e">
        <f>'Technical Skills Weighting'!B2175+"`FU!%7p"</f>
        <v>#VALUE!</v>
      </c>
      <c r="AR82" t="e">
        <f>'Technical Skills Weighting'!B2176+"`FU!%7q"</f>
        <v>#VALUE!</v>
      </c>
      <c r="AS82" t="e">
        <f>'Technical Skills Weighting'!B2177+"`FU!%7r"</f>
        <v>#VALUE!</v>
      </c>
      <c r="AT82" t="e">
        <f>'Technical Skills Weighting'!B2178+"`FU!%7s"</f>
        <v>#VALUE!</v>
      </c>
      <c r="AU82" t="e">
        <f>'Technical Skills Weighting'!B2179+"`FU!%7t"</f>
        <v>#VALUE!</v>
      </c>
      <c r="AV82" t="e">
        <f>'Technical Skills Weighting'!B2180+"`FU!%7u"</f>
        <v>#VALUE!</v>
      </c>
      <c r="AW82" t="e">
        <f>'Technical Skills Weighting'!B2181+"`FU!%7v"</f>
        <v>#VALUE!</v>
      </c>
      <c r="AX82" t="e">
        <f>'Technical Skills Weighting'!B2182+"`FU!%7w"</f>
        <v>#VALUE!</v>
      </c>
      <c r="AY82" t="e">
        <f>'Technical Skills Weighting'!B2183+"`FU!%7x"</f>
        <v>#VALUE!</v>
      </c>
      <c r="AZ82" t="e">
        <f>'Technical Skills Weighting'!B2184+"`FU!%7y"</f>
        <v>#VALUE!</v>
      </c>
      <c r="BA82" t="e">
        <f>'Technical Skills Weighting'!B2185+"`FU!%7z"</f>
        <v>#VALUE!</v>
      </c>
      <c r="BB82" t="e">
        <f>'Technical Skills Weighting'!B2186+"`FU!%7{"</f>
        <v>#VALUE!</v>
      </c>
      <c r="BC82" t="e">
        <f>'Technical Skills Weighting'!B2187+"`FU!%7|"</f>
        <v>#VALUE!</v>
      </c>
      <c r="BD82" t="e">
        <f>'Technical Skills Weighting'!B2188+"`FU!%7}"</f>
        <v>#VALUE!</v>
      </c>
      <c r="BE82" t="e">
        <f>'Technical Skills Weighting'!B2189+"`FU!%7~"</f>
        <v>#VALUE!</v>
      </c>
      <c r="BF82" t="e">
        <f>'Technical Skills Weighting'!B2190+"`FU!%8#"</f>
        <v>#VALUE!</v>
      </c>
      <c r="BG82" t="e">
        <f>'Technical Skills Weighting'!B2191+"`FU!%8$"</f>
        <v>#VALUE!</v>
      </c>
      <c r="BH82" t="e">
        <f>'Technical Skills Weighting'!B2192+"`FU!%8%"</f>
        <v>#VALUE!</v>
      </c>
      <c r="BI82" t="e">
        <f>'Technical Skills Weighting'!B2193+"`FU!%8&amp;"</f>
        <v>#VALUE!</v>
      </c>
      <c r="BJ82" t="e">
        <f>'Technical Skills Weighting'!B2194+"`FU!%8'"</f>
        <v>#VALUE!</v>
      </c>
      <c r="BK82" t="e">
        <f>'Technical Skills Weighting'!B2195+"`FU!%8("</f>
        <v>#VALUE!</v>
      </c>
      <c r="BL82" t="e">
        <f>'Technical Skills Weighting'!B2196+"`FU!%8)"</f>
        <v>#VALUE!</v>
      </c>
      <c r="BM82" t="e">
        <f>'Technical Skills Weighting'!B2197+"`FU!%8."</f>
        <v>#VALUE!</v>
      </c>
      <c r="BN82" t="e">
        <f>'Technical Skills Weighting'!B2198+"`FU!%8/"</f>
        <v>#VALUE!</v>
      </c>
      <c r="BO82" t="e">
        <f>'Technical Skills Weighting'!B2199+"`FU!%80"</f>
        <v>#VALUE!</v>
      </c>
      <c r="BP82" t="e">
        <f>'Technical Skills Weighting'!B2200+"`FU!%81"</f>
        <v>#VALUE!</v>
      </c>
      <c r="BQ82" t="e">
        <f>'Technical Skills Weighting'!B2201+"`FU!%82"</f>
        <v>#VALUE!</v>
      </c>
      <c r="BR82" t="e">
        <f>'Technical Skills Weighting'!B2202+"`FU!%83"</f>
        <v>#VALUE!</v>
      </c>
      <c r="BS82" t="e">
        <f>'Technical Skills Weighting'!B2203+"`FU!%84"</f>
        <v>#VALUE!</v>
      </c>
      <c r="BT82" t="e">
        <f>'Technical Skills Weighting'!B2204+"`FU!%85"</f>
        <v>#VALUE!</v>
      </c>
      <c r="BU82" t="e">
        <f>'Technical Skills Weighting'!B2205+"`FU!%86"</f>
        <v>#VALUE!</v>
      </c>
      <c r="BV82" t="e">
        <f>'Technical Skills Weighting'!B2206+"`FU!%87"</f>
        <v>#VALUE!</v>
      </c>
      <c r="BW82" t="e">
        <f>'Technical Skills Weighting'!B2207+"`FU!%88"</f>
        <v>#VALUE!</v>
      </c>
      <c r="BX82" t="e">
        <f>'Technical Skills Weighting'!B2208+"`FU!%89"</f>
        <v>#VALUE!</v>
      </c>
      <c r="BY82" t="e">
        <f>'Technical Skills Weighting'!B2209+"`FU!%8:"</f>
        <v>#VALUE!</v>
      </c>
      <c r="BZ82" t="e">
        <f>'Technical Skills Weighting'!B2210+"`FU!%8;"</f>
        <v>#VALUE!</v>
      </c>
      <c r="CA82" t="e">
        <f>'Technical Skills Weighting'!B2211+"`FU!%8&lt;"</f>
        <v>#VALUE!</v>
      </c>
      <c r="CB82" t="e">
        <f>'Technical Skills Weighting'!B2212+"`FU!%8="</f>
        <v>#VALUE!</v>
      </c>
      <c r="CC82" t="e">
        <f>'Technical Skills Weighting'!B2213+"`FU!%8&gt;"</f>
        <v>#VALUE!</v>
      </c>
      <c r="CD82" t="e">
        <f>'Technical Skills Weighting'!B2214+"`FU!%8?"</f>
        <v>#VALUE!</v>
      </c>
      <c r="CE82" t="e">
        <f>'Technical Skills Weighting'!B2215+"`FU!%8@"</f>
        <v>#VALUE!</v>
      </c>
      <c r="CF82" t="e">
        <f>'Technical Skills Weighting'!B2216+"`FU!%8A"</f>
        <v>#VALUE!</v>
      </c>
      <c r="CG82" t="e">
        <f>'Technical Skills Weighting'!B2217+"`FU!%8B"</f>
        <v>#VALUE!</v>
      </c>
      <c r="CH82" t="e">
        <f>'Technical Skills Weighting'!B2218+"`FU!%8C"</f>
        <v>#VALUE!</v>
      </c>
      <c r="CI82" t="e">
        <f>'Technical Skills Weighting'!B2219+"`FU!%8D"</f>
        <v>#VALUE!</v>
      </c>
      <c r="CJ82" t="e">
        <f>'Technical Skills Weighting'!B2220+"`FU!%8E"</f>
        <v>#VALUE!</v>
      </c>
      <c r="CK82" t="e">
        <f>'Technical Skills Weighting'!B2221+"`FU!%8F"</f>
        <v>#VALUE!</v>
      </c>
      <c r="CL82" t="e">
        <f>'Technical Skills Weighting'!B2222+"`FU!%8G"</f>
        <v>#VALUE!</v>
      </c>
      <c r="CM82" t="e">
        <f>'Technical Skills Weighting'!B2223+"`FU!%8H"</f>
        <v>#VALUE!</v>
      </c>
      <c r="CN82" t="e">
        <f>'Technical Skills Weighting'!B2224+"`FU!%8I"</f>
        <v>#VALUE!</v>
      </c>
      <c r="CO82" t="e">
        <f>'Technical Skills Weighting'!B2225+"`FU!%8J"</f>
        <v>#VALUE!</v>
      </c>
      <c r="CP82" t="e">
        <f>'Technical Skills Weighting'!B2226+"`FU!%8K"</f>
        <v>#VALUE!</v>
      </c>
      <c r="CQ82" t="e">
        <f>'Technical Skills Weighting'!B2227+"`FU!%8L"</f>
        <v>#VALUE!</v>
      </c>
      <c r="CR82" t="e">
        <f>'Technical Skills Weighting'!B2228+"`FU!%8M"</f>
        <v>#VALUE!</v>
      </c>
      <c r="CS82" t="e">
        <f>'Technical Skills Weighting'!B2229+"`FU!%8N"</f>
        <v>#VALUE!</v>
      </c>
      <c r="CT82" t="e">
        <f>'Technical Skills Weighting'!B2230+"`FU!%8O"</f>
        <v>#VALUE!</v>
      </c>
      <c r="CU82" t="e">
        <f>'Technical Skills Weighting'!B2231+"`FU!%8P"</f>
        <v>#VALUE!</v>
      </c>
      <c r="CV82" t="e">
        <f>'Technical Skills Weighting'!B2232+"`FU!%8Q"</f>
        <v>#VALUE!</v>
      </c>
      <c r="CW82" t="e">
        <f>'Technical Skills Weighting'!B2233+"`FU!%8R"</f>
        <v>#VALUE!</v>
      </c>
      <c r="CX82" t="e">
        <f>'Technical Skills Weighting'!B2234+"`FU!%8S"</f>
        <v>#VALUE!</v>
      </c>
      <c r="CY82" t="e">
        <f>'Technical Skills Weighting'!B2235+"`FU!%8T"</f>
        <v>#VALUE!</v>
      </c>
      <c r="CZ82" t="e">
        <f>'Technical Skills Weighting'!B2236+"`FU!%8U"</f>
        <v>#VALUE!</v>
      </c>
      <c r="DA82" t="e">
        <f>'Technical Skills Weighting'!B2237+"`FU!%8V"</f>
        <v>#VALUE!</v>
      </c>
      <c r="DB82" t="e">
        <f>'Technical Skills Weighting'!B2238+"`FU!%8W"</f>
        <v>#VALUE!</v>
      </c>
      <c r="DC82" t="e">
        <f>'Technical Skills Weighting'!B2239+"`FU!%8X"</f>
        <v>#VALUE!</v>
      </c>
      <c r="DD82" t="e">
        <f>'Technical Skills Weighting'!B2240+"`FU!%8Y"</f>
        <v>#VALUE!</v>
      </c>
      <c r="DE82" t="e">
        <f>'Technical Skills Weighting'!B2241+"`FU!%8Z"</f>
        <v>#VALUE!</v>
      </c>
      <c r="DF82" t="e">
        <f>'Technical Skills Weighting'!B2242+"`FU!%8["</f>
        <v>#VALUE!</v>
      </c>
      <c r="DG82" t="e">
        <f>'Technical Skills Weighting'!B2243+"`FU!%8\"</f>
        <v>#VALUE!</v>
      </c>
      <c r="DH82" t="e">
        <f>'Technical Skills Weighting'!B2244+"`FU!%8]"</f>
        <v>#VALUE!</v>
      </c>
      <c r="DI82" t="e">
        <f>'Technical Skills Weighting'!B2245+"`FU!%8^"</f>
        <v>#VALUE!</v>
      </c>
      <c r="DJ82" t="e">
        <f>'Technical Skills Weighting'!B2246+"`FU!%8_"</f>
        <v>#VALUE!</v>
      </c>
      <c r="DK82" t="e">
        <f>'Technical Skills Weighting'!B2247+"`FU!%8`"</f>
        <v>#VALUE!</v>
      </c>
      <c r="DL82" t="e">
        <f>'Technical Skills Weighting'!B2248+"`FU!%8a"</f>
        <v>#VALUE!</v>
      </c>
      <c r="DM82" t="e">
        <f>'Technical Skills Weighting'!B2249+"`FU!%8b"</f>
        <v>#VALUE!</v>
      </c>
      <c r="DN82" t="e">
        <f>'Technical Skills Weighting'!B2250+"`FU!%8c"</f>
        <v>#VALUE!</v>
      </c>
      <c r="DO82" t="e">
        <f>'Technical Skills Weighting'!B2251+"`FU!%8d"</f>
        <v>#VALUE!</v>
      </c>
      <c r="DP82" t="e">
        <f>'Technical Skills Weighting'!B2252+"`FU!%8e"</f>
        <v>#VALUE!</v>
      </c>
      <c r="DQ82" t="e">
        <f>'Technical Skills Weighting'!B2253+"`FU!%8f"</f>
        <v>#VALUE!</v>
      </c>
      <c r="DR82" t="e">
        <f>'Technical Skills Weighting'!B2254+"`FU!%8g"</f>
        <v>#VALUE!</v>
      </c>
      <c r="DS82" t="e">
        <f>'Technical Skills Weighting'!B2255+"`FU!%8h"</f>
        <v>#VALUE!</v>
      </c>
      <c r="DT82" t="e">
        <f>'Technical Skills Weighting'!B2256+"`FU!%8i"</f>
        <v>#VALUE!</v>
      </c>
      <c r="DU82" t="e">
        <f>'Technical Skills Weighting'!B2257+"`FU!%8j"</f>
        <v>#VALUE!</v>
      </c>
      <c r="DV82" t="e">
        <f>'Technical Skills Weighting'!B2258+"`FU!%8k"</f>
        <v>#VALUE!</v>
      </c>
      <c r="DW82" t="e">
        <f>'Technical Skills Weighting'!B2259+"`FU!%8l"</f>
        <v>#VALUE!</v>
      </c>
      <c r="DX82" t="e">
        <f>'Technical Skills Weighting'!B2260+"`FU!%8m"</f>
        <v>#VALUE!</v>
      </c>
      <c r="DY82" t="e">
        <f>'Technical Skills Weighting'!B2261+"`FU!%8n"</f>
        <v>#VALUE!</v>
      </c>
      <c r="DZ82" t="e">
        <f>'Technical Skills Weighting'!B2262+"`FU!%8o"</f>
        <v>#VALUE!</v>
      </c>
      <c r="EA82" t="e">
        <f>'Technical Skills Weighting'!B2263+"`FU!%8p"</f>
        <v>#VALUE!</v>
      </c>
      <c r="EB82" t="e">
        <f>'Technical Skills Weighting'!B2264+"`FU!%8q"</f>
        <v>#VALUE!</v>
      </c>
      <c r="EC82" t="e">
        <f>'Technical Skills Weighting'!B2265+"`FU!%8r"</f>
        <v>#VALUE!</v>
      </c>
      <c r="ED82" t="e">
        <f>'Technical Skills Weighting'!B2266+"`FU!%8s"</f>
        <v>#VALUE!</v>
      </c>
      <c r="EE82" t="e">
        <f>'Technical Skills Weighting'!B2267+"`FU!%8t"</f>
        <v>#VALUE!</v>
      </c>
      <c r="EF82" t="e">
        <f>'Technical Skills Weighting'!B2268+"`FU!%8u"</f>
        <v>#VALUE!</v>
      </c>
      <c r="EG82" t="e">
        <f>'Technical Skills Weighting'!B2269+"`FU!%8v"</f>
        <v>#VALUE!</v>
      </c>
      <c r="EH82" t="e">
        <f>'Technical Skills Weighting'!B2270+"`FU!%8w"</f>
        <v>#VALUE!</v>
      </c>
      <c r="EI82" t="e">
        <f>'Technical Skills Weighting'!B2271+"`FU!%8x"</f>
        <v>#VALUE!</v>
      </c>
      <c r="EJ82" t="e">
        <f>'Technical Skills Weighting'!B2272+"`FU!%8y"</f>
        <v>#VALUE!</v>
      </c>
      <c r="EK82" t="e">
        <f>'Technical Skills Weighting'!B2273+"`FU!%8z"</f>
        <v>#VALUE!</v>
      </c>
      <c r="EL82" t="e">
        <f>'Technical Skills Weighting'!B2274+"`FU!%8{"</f>
        <v>#VALUE!</v>
      </c>
      <c r="EM82" t="e">
        <f>'Technical Skills Weighting'!B2275+"`FU!%8|"</f>
        <v>#VALUE!</v>
      </c>
      <c r="EN82" t="e">
        <f>'Technical Skills Weighting'!B2276+"`FU!%8}"</f>
        <v>#VALUE!</v>
      </c>
      <c r="EO82" t="e">
        <f>'Technical Skills Weighting'!B2277+"`FU!%8~"</f>
        <v>#VALUE!</v>
      </c>
      <c r="EP82" t="e">
        <f>'Technical Skills Weighting'!B2278+"`FU!%9#"</f>
        <v>#VALUE!</v>
      </c>
      <c r="EQ82" t="e">
        <f>'Technical Skills Weighting'!B2279+"`FU!%9$"</f>
        <v>#VALUE!</v>
      </c>
      <c r="ER82" t="e">
        <f>'Technical Skills Weighting'!B2280+"`FU!%9%"</f>
        <v>#VALUE!</v>
      </c>
      <c r="ES82" t="e">
        <f>'Technical Skills Weighting'!B2281+"`FU!%9&amp;"</f>
        <v>#VALUE!</v>
      </c>
      <c r="ET82" t="e">
        <f>'Technical Skills Weighting'!B2282+"`FU!%9'"</f>
        <v>#VALUE!</v>
      </c>
      <c r="EU82" t="e">
        <f>'Technical Skills Weighting'!B2283+"`FU!%9("</f>
        <v>#VALUE!</v>
      </c>
      <c r="EV82" t="e">
        <f>'Technical Skills Weighting'!B2284+"`FU!%9)"</f>
        <v>#VALUE!</v>
      </c>
      <c r="EW82" t="e">
        <f>'Technical Skills Weighting'!B2285+"`FU!%9."</f>
        <v>#VALUE!</v>
      </c>
      <c r="EX82" t="e">
        <f>'Technical Skills Weighting'!B2286+"`FU!%9/"</f>
        <v>#VALUE!</v>
      </c>
      <c r="EY82" t="e">
        <f>'Technical Skills Weighting'!B2287+"`FU!%90"</f>
        <v>#VALUE!</v>
      </c>
      <c r="EZ82" t="e">
        <f>'Technical Skills Weighting'!B2288+"`FU!%91"</f>
        <v>#VALUE!</v>
      </c>
      <c r="FA82" t="e">
        <f>'Technical Skills Weighting'!B2289+"`FU!%92"</f>
        <v>#VALUE!</v>
      </c>
      <c r="FB82" t="e">
        <f>'Technical Skills Weighting'!B2290+"`FU!%93"</f>
        <v>#VALUE!</v>
      </c>
      <c r="FC82" t="e">
        <f>'Technical Skills Weighting'!B2291+"`FU!%94"</f>
        <v>#VALUE!</v>
      </c>
      <c r="FD82" t="e">
        <f>'Technical Skills Weighting'!B2292+"`FU!%95"</f>
        <v>#VALUE!</v>
      </c>
      <c r="FE82" t="e">
        <f>'Technical Skills Weighting'!B2293+"`FU!%96"</f>
        <v>#VALUE!</v>
      </c>
      <c r="FF82" t="e">
        <f>'Technical Skills Weighting'!B2294+"`FU!%97"</f>
        <v>#VALUE!</v>
      </c>
      <c r="FG82" t="e">
        <f>'Technical Skills Weighting'!B2295+"`FU!%98"</f>
        <v>#VALUE!</v>
      </c>
      <c r="FH82" t="e">
        <f>'Technical Skills Weighting'!B2296+"`FU!%99"</f>
        <v>#VALUE!</v>
      </c>
      <c r="FI82" t="e">
        <f>'Technical Skills Weighting'!B2297+"`FU!%9:"</f>
        <v>#VALUE!</v>
      </c>
      <c r="FJ82" t="e">
        <f>'Technical Skills Weighting'!B2298+"`FU!%9;"</f>
        <v>#VALUE!</v>
      </c>
      <c r="FK82" t="e">
        <f>'Technical Skills Weighting'!B2299+"`FU!%9&lt;"</f>
        <v>#VALUE!</v>
      </c>
      <c r="FL82" t="e">
        <f>'Technical Skills Weighting'!B2300+"`FU!%9="</f>
        <v>#VALUE!</v>
      </c>
      <c r="FM82" t="e">
        <f>'Technical Skills Weighting'!B2301+"`FU!%9&gt;"</f>
        <v>#VALUE!</v>
      </c>
      <c r="FN82" t="e">
        <f>'Technical Skills Weighting'!B2302+"`FU!%9?"</f>
        <v>#VALUE!</v>
      </c>
      <c r="FO82" t="e">
        <f>'Technical Skills Weighting'!B2303+"`FU!%9@"</f>
        <v>#VALUE!</v>
      </c>
      <c r="FP82" t="e">
        <f>'Technical Skills Weighting'!B2304+"`FU!%9A"</f>
        <v>#VALUE!</v>
      </c>
      <c r="FQ82" t="e">
        <f>'Technical Skills Weighting'!B2305+"`FU!%9B"</f>
        <v>#VALUE!</v>
      </c>
      <c r="FR82" t="e">
        <f>'Technical Skills Weighting'!B2306+"`FU!%9C"</f>
        <v>#VALUE!</v>
      </c>
      <c r="FS82" t="e">
        <f>'Technical Skills Weighting'!B2307+"`FU!%9D"</f>
        <v>#VALUE!</v>
      </c>
      <c r="FT82" t="e">
        <f>'Technical Skills Weighting'!B2308+"`FU!%9E"</f>
        <v>#VALUE!</v>
      </c>
      <c r="FU82" t="e">
        <f>'Technical Skills Weighting'!B2309+"`FU!%9F"</f>
        <v>#VALUE!</v>
      </c>
      <c r="FV82" t="e">
        <f>'Technical Skills Weighting'!B2310+"`FU!%9G"</f>
        <v>#VALUE!</v>
      </c>
      <c r="FW82" t="e">
        <f>'Technical Skills Weighting'!B2311+"`FU!%9H"</f>
        <v>#VALUE!</v>
      </c>
      <c r="FX82" t="e">
        <f>'Technical Skills Weighting'!B2312+"`FU!%9I"</f>
        <v>#VALUE!</v>
      </c>
      <c r="FY82" t="e">
        <f>'Technical Skills Weighting'!B2313+"`FU!%9J"</f>
        <v>#VALUE!</v>
      </c>
      <c r="FZ82" t="e">
        <f>'Technical Skills Weighting'!B2314+"`FU!%9K"</f>
        <v>#VALUE!</v>
      </c>
      <c r="GA82" t="e">
        <f>'Technical Skills Weighting'!B2315+"`FU!%9L"</f>
        <v>#VALUE!</v>
      </c>
      <c r="GB82" t="e">
        <f>'Technical Skills Weighting'!B2316+"`FU!%9M"</f>
        <v>#VALUE!</v>
      </c>
      <c r="GC82" t="e">
        <f>'Technical Skills Weighting'!B2317+"`FU!%9N"</f>
        <v>#VALUE!</v>
      </c>
      <c r="GD82" t="e">
        <f>'Technical Skills Weighting'!B2318+"`FU!%9O"</f>
        <v>#VALUE!</v>
      </c>
      <c r="GE82" t="e">
        <f>'Technical Skills Weighting'!B2319+"`FU!%9P"</f>
        <v>#VALUE!</v>
      </c>
      <c r="GF82" t="e">
        <f>'Technical Skills Weighting'!B2320+"`FU!%9Q"</f>
        <v>#VALUE!</v>
      </c>
      <c r="GG82" t="e">
        <f>'Technical Skills Weighting'!B2321+"`FU!%9R"</f>
        <v>#VALUE!</v>
      </c>
      <c r="GH82" t="e">
        <f>'Technical Skills Weighting'!B2322+"`FU!%9S"</f>
        <v>#VALUE!</v>
      </c>
      <c r="GI82" t="e">
        <f>'Technical Skills Weighting'!B2323+"`FU!%9T"</f>
        <v>#VALUE!</v>
      </c>
      <c r="GJ82" t="e">
        <f>'Technical Skills Weighting'!B2324+"`FU!%9U"</f>
        <v>#VALUE!</v>
      </c>
      <c r="GK82" t="e">
        <f>'Technical Skills Weighting'!B2325+"`FU!%9V"</f>
        <v>#VALUE!</v>
      </c>
      <c r="GL82" t="e">
        <f>'Technical Skills Weighting'!B2326+"`FU!%9W"</f>
        <v>#VALUE!</v>
      </c>
      <c r="GM82" t="e">
        <f>'Technical Skills Weighting'!B2327+"`FU!%9X"</f>
        <v>#VALUE!</v>
      </c>
      <c r="GN82" t="e">
        <f>'Technical Skills Weighting'!B2328+"`FU!%9Y"</f>
        <v>#VALUE!</v>
      </c>
      <c r="GO82" t="e">
        <f>'Technical Skills Weighting'!B2329+"`FU!%9Z"</f>
        <v>#VALUE!</v>
      </c>
      <c r="GP82" t="e">
        <f>'Technical Skills Weighting'!B2330+"`FU!%9["</f>
        <v>#VALUE!</v>
      </c>
      <c r="GQ82" t="e">
        <f>'Technical Skills Weighting'!B2331+"`FU!%9\"</f>
        <v>#VALUE!</v>
      </c>
      <c r="GR82" t="e">
        <f>'Technical Skills Weighting'!B2332+"`FU!%9]"</f>
        <v>#VALUE!</v>
      </c>
      <c r="GS82" t="e">
        <f>'Technical Skills Weighting'!B2333+"`FU!%9^"</f>
        <v>#VALUE!</v>
      </c>
      <c r="GT82" t="e">
        <f>'Technical Skills Weighting'!B2334+"`FU!%9_"</f>
        <v>#VALUE!</v>
      </c>
      <c r="GU82" t="e">
        <f>'Technical Skills Weighting'!B2335+"`FU!%9`"</f>
        <v>#VALUE!</v>
      </c>
      <c r="GV82" t="e">
        <f>'Technical Skills Weighting'!B2336+"`FU!%9a"</f>
        <v>#VALUE!</v>
      </c>
      <c r="GW82" t="e">
        <f>'Technical Skills Weighting'!B2337+"`FU!%9b"</f>
        <v>#VALUE!</v>
      </c>
      <c r="GX82" t="e">
        <f>'Technical Skills Weighting'!B2338+"`FU!%9c"</f>
        <v>#VALUE!</v>
      </c>
      <c r="GY82" t="e">
        <f>'Technical Skills Weighting'!B2339+"`FU!%9d"</f>
        <v>#VALUE!</v>
      </c>
      <c r="GZ82" t="e">
        <f>'Technical Skills Weighting'!B2340+"`FU!%9e"</f>
        <v>#VALUE!</v>
      </c>
      <c r="HA82" t="e">
        <f>'Technical Skills Weighting'!B2341+"`FU!%9f"</f>
        <v>#VALUE!</v>
      </c>
      <c r="HB82" t="e">
        <f>'Technical Skills Weighting'!B2342+"`FU!%9g"</f>
        <v>#VALUE!</v>
      </c>
      <c r="HC82" t="e">
        <f>'Technical Skills Weighting'!B2343+"`FU!%9h"</f>
        <v>#VALUE!</v>
      </c>
      <c r="HD82" t="e">
        <f>'Technical Skills Weighting'!B2344+"`FU!%9i"</f>
        <v>#VALUE!</v>
      </c>
      <c r="HE82" t="e">
        <f>'Technical Skills Weighting'!B2345+"`FU!%9j"</f>
        <v>#VALUE!</v>
      </c>
      <c r="HF82" t="e">
        <f>'Technical Skills Weighting'!B2346+"`FU!%9k"</f>
        <v>#VALUE!</v>
      </c>
      <c r="HG82" t="e">
        <f>'Technical Skills Weighting'!B2347+"`FU!%9l"</f>
        <v>#VALUE!</v>
      </c>
      <c r="HH82" t="e">
        <f>'Technical Skills Weighting'!B2348+"`FU!%9m"</f>
        <v>#VALUE!</v>
      </c>
      <c r="HI82" t="e">
        <f>'Technical Skills Weighting'!B2349+"`FU!%9n"</f>
        <v>#VALUE!</v>
      </c>
      <c r="HJ82" t="e">
        <f>'Technical Skills Weighting'!B2350+"`FU!%9o"</f>
        <v>#VALUE!</v>
      </c>
      <c r="HK82" t="e">
        <f>'Technical Skills Weighting'!B2351+"`FU!%9p"</f>
        <v>#VALUE!</v>
      </c>
      <c r="HL82" t="e">
        <f>'Technical Skills Weighting'!B2352+"`FU!%9q"</f>
        <v>#VALUE!</v>
      </c>
      <c r="HM82" t="e">
        <f>'Technical Skills Weighting'!B2353+"`FU!%9r"</f>
        <v>#VALUE!</v>
      </c>
      <c r="HN82" t="e">
        <f>'Technical Skills Weighting'!B2354+"`FU!%9s"</f>
        <v>#VALUE!</v>
      </c>
      <c r="HO82" t="e">
        <f>'Technical Skills Weighting'!B2355+"`FU!%9t"</f>
        <v>#VALUE!</v>
      </c>
      <c r="HP82" t="e">
        <f>'Technical Skills Weighting'!B2356+"`FU!%9u"</f>
        <v>#VALUE!</v>
      </c>
      <c r="HQ82" t="e">
        <f>'Technical Skills Weighting'!B2357+"`FU!%9v"</f>
        <v>#VALUE!</v>
      </c>
      <c r="HR82" t="e">
        <f>'Technical Skills Weighting'!B2358+"`FU!%9w"</f>
        <v>#VALUE!</v>
      </c>
      <c r="HS82" t="e">
        <f>'Technical Skills Weighting'!B2359+"`FU!%9x"</f>
        <v>#VALUE!</v>
      </c>
      <c r="HT82" t="e">
        <f>'Technical Skills Weighting'!B2360+"`FU!%9y"</f>
        <v>#VALUE!</v>
      </c>
      <c r="HU82" t="e">
        <f>'Technical Skills Weighting'!B2361+"`FU!%9z"</f>
        <v>#VALUE!</v>
      </c>
      <c r="HV82" t="e">
        <f>'Technical Skills Weighting'!B2362+"`FU!%9{"</f>
        <v>#VALUE!</v>
      </c>
      <c r="HW82" t="e">
        <f>'Technical Skills Weighting'!B2363+"`FU!%9|"</f>
        <v>#VALUE!</v>
      </c>
      <c r="HX82" t="e">
        <f>'Technical Skills Weighting'!B2364+"`FU!%9}"</f>
        <v>#VALUE!</v>
      </c>
      <c r="HY82" t="e">
        <f>'Technical Skills Weighting'!B2365+"`FU!%9~"</f>
        <v>#VALUE!</v>
      </c>
      <c r="HZ82" t="e">
        <f>'Technical Skills Weighting'!B2366+"`FU!%:#"</f>
        <v>#VALUE!</v>
      </c>
      <c r="IA82" t="e">
        <f>'Technical Skills Weighting'!B2367+"`FU!%:$"</f>
        <v>#VALUE!</v>
      </c>
      <c r="IB82" t="e">
        <f>'Technical Skills Weighting'!B2368+"`FU!%:%"</f>
        <v>#VALUE!</v>
      </c>
      <c r="IC82" t="e">
        <f>'Technical Skills Weighting'!B2369+"`FU!%:&amp;"</f>
        <v>#VALUE!</v>
      </c>
      <c r="ID82" t="e">
        <f>'Technical Skills Weighting'!B2370+"`FU!%:'"</f>
        <v>#VALUE!</v>
      </c>
      <c r="IE82" t="e">
        <f>'Technical Skills Weighting'!B2371+"`FU!%:("</f>
        <v>#VALUE!</v>
      </c>
      <c r="IF82" t="e">
        <f>'Technical Skills Weighting'!B2372+"`FU!%:)"</f>
        <v>#VALUE!</v>
      </c>
      <c r="IG82" t="e">
        <f>'Technical Skills Weighting'!B2373+"`FU!%:."</f>
        <v>#VALUE!</v>
      </c>
      <c r="IH82" t="e">
        <f>'Technical Skills Weighting'!B2374+"`FU!%:/"</f>
        <v>#VALUE!</v>
      </c>
      <c r="II82" t="e">
        <f>'Technical Skills Weighting'!B2375+"`FU!%:0"</f>
        <v>#VALUE!</v>
      </c>
      <c r="IJ82" t="e">
        <f>'Technical Skills Weighting'!B2376+"`FU!%:1"</f>
        <v>#VALUE!</v>
      </c>
      <c r="IK82" t="e">
        <f>'Technical Skills Weighting'!B2377+"`FU!%:2"</f>
        <v>#VALUE!</v>
      </c>
      <c r="IL82" t="e">
        <f>'Technical Skills Weighting'!B2378+"`FU!%:3"</f>
        <v>#VALUE!</v>
      </c>
      <c r="IM82" t="e">
        <f>'Technical Skills Weighting'!B2379+"`FU!%:4"</f>
        <v>#VALUE!</v>
      </c>
      <c r="IN82" t="e">
        <f>'Technical Skills Weighting'!B2380+"`FU!%:5"</f>
        <v>#VALUE!</v>
      </c>
      <c r="IO82" t="e">
        <f>'Technical Skills Weighting'!B2381+"`FU!%:6"</f>
        <v>#VALUE!</v>
      </c>
      <c r="IP82" t="e">
        <f>'Technical Skills Weighting'!B2382+"`FU!%:7"</f>
        <v>#VALUE!</v>
      </c>
      <c r="IQ82" t="e">
        <f>'Technical Skills Weighting'!B2383+"`FU!%:8"</f>
        <v>#VALUE!</v>
      </c>
      <c r="IR82" t="e">
        <f>'Technical Skills Weighting'!B2384+"`FU!%:9"</f>
        <v>#VALUE!</v>
      </c>
      <c r="IS82" t="e">
        <f>'Technical Skills Weighting'!B2385+"`FU!%::"</f>
        <v>#VALUE!</v>
      </c>
      <c r="IT82" t="e">
        <f>'Technical Skills Weighting'!B2386+"`FU!%:;"</f>
        <v>#VALUE!</v>
      </c>
      <c r="IU82" t="e">
        <f>'Technical Skills Weighting'!B2387+"`FU!%:&lt;"</f>
        <v>#VALUE!</v>
      </c>
      <c r="IV82" t="e">
        <f>'Technical Skills Weighting'!B2388+"`FU!%:="</f>
        <v>#VALUE!</v>
      </c>
    </row>
    <row r="83" spans="6:256" x14ac:dyDescent="0.25">
      <c r="F83" t="e">
        <f>'Technical Skills Weighting'!B2389+"`FU!%:&gt;"</f>
        <v>#VALUE!</v>
      </c>
      <c r="G83" t="e">
        <f>'Technical Skills Weighting'!B2390+"`FU!%:?"</f>
        <v>#VALUE!</v>
      </c>
      <c r="H83" t="e">
        <f>'Technical Skills Weighting'!B2391+"`FU!%:@"</f>
        <v>#VALUE!</v>
      </c>
      <c r="I83" t="e">
        <f>'Technical Skills Weighting'!B2392+"`FU!%:A"</f>
        <v>#VALUE!</v>
      </c>
      <c r="J83" t="e">
        <f>'Technical Skills Weighting'!B2393+"`FU!%:B"</f>
        <v>#VALUE!</v>
      </c>
      <c r="K83" t="e">
        <f>'Technical Skills Weighting'!B2394+"`FU!%:C"</f>
        <v>#VALUE!</v>
      </c>
      <c r="L83" t="e">
        <f>'Technical Skills Weighting'!B2395+"`FU!%:D"</f>
        <v>#VALUE!</v>
      </c>
      <c r="M83" t="e">
        <f>'Technical Skills Weighting'!B2396+"`FU!%:E"</f>
        <v>#VALUE!</v>
      </c>
      <c r="N83" t="e">
        <f>'Technical Skills Weighting'!B2397+"`FU!%:F"</f>
        <v>#VALUE!</v>
      </c>
      <c r="O83" t="e">
        <f>'Technical Skills Weighting'!B2398+"`FU!%:G"</f>
        <v>#VALUE!</v>
      </c>
      <c r="P83" t="e">
        <f>'Technical Skills Weighting'!B2399+"`FU!%:H"</f>
        <v>#VALUE!</v>
      </c>
      <c r="Q83" t="e">
        <f>'Technical Skills Weighting'!B2400+"`FU!%:I"</f>
        <v>#VALUE!</v>
      </c>
      <c r="R83" t="e">
        <f>'Technical Skills Weighting'!B2401+"`FU!%:J"</f>
        <v>#VALUE!</v>
      </c>
      <c r="S83" t="e">
        <f>'Technical Skills Weighting'!B2402+"`FU!%:K"</f>
        <v>#VALUE!</v>
      </c>
      <c r="T83" t="e">
        <f>'Technical Skills Weighting'!B2403+"`FU!%:L"</f>
        <v>#VALUE!</v>
      </c>
      <c r="U83" t="e">
        <f>'Technical Skills Weighting'!B2404+"`FU!%:M"</f>
        <v>#VALUE!</v>
      </c>
      <c r="V83" t="e">
        <f>'Technical Skills Weighting'!B2405+"`FU!%:N"</f>
        <v>#VALUE!</v>
      </c>
      <c r="W83" t="e">
        <f>'Technical Skills Weighting'!B2406+"`FU!%:O"</f>
        <v>#VALUE!</v>
      </c>
      <c r="X83" t="e">
        <f>'Technical Skills Weighting'!B2407+"`FU!%:P"</f>
        <v>#VALUE!</v>
      </c>
      <c r="Y83" t="e">
        <f>'Technical Skills Weighting'!B2408+"`FU!%:Q"</f>
        <v>#VALUE!</v>
      </c>
      <c r="Z83" t="e">
        <f>'Technical Skills Weighting'!B2409+"`FU!%:R"</f>
        <v>#VALUE!</v>
      </c>
      <c r="AA83" t="e">
        <f>'Technical Skills Weighting'!B2410+"`FU!%:S"</f>
        <v>#VALUE!</v>
      </c>
      <c r="AB83" t="e">
        <f>'Technical Skills Weighting'!B2411+"`FU!%:T"</f>
        <v>#VALUE!</v>
      </c>
      <c r="AC83" t="e">
        <f>'Technical Skills Weighting'!B2412+"`FU!%:U"</f>
        <v>#VALUE!</v>
      </c>
      <c r="AD83" t="e">
        <f>'Technical Skills Weighting'!B2413+"`FU!%:V"</f>
        <v>#VALUE!</v>
      </c>
      <c r="AE83" t="e">
        <f>'Technical Skills Weighting'!B2414+"`FU!%:W"</f>
        <v>#VALUE!</v>
      </c>
      <c r="AF83" t="e">
        <f>'Technical Skills Weighting'!B2415+"`FU!%:X"</f>
        <v>#VALUE!</v>
      </c>
      <c r="AG83" t="e">
        <f>'Technical Skills Weighting'!B2416+"`FU!%:Y"</f>
        <v>#VALUE!</v>
      </c>
      <c r="AH83" t="e">
        <f>'Technical Skills Weighting'!B2417+"`FU!%:Z"</f>
        <v>#VALUE!</v>
      </c>
      <c r="AI83" t="e">
        <f>'Technical Skills Weighting'!B2418+"`FU!%:["</f>
        <v>#VALUE!</v>
      </c>
      <c r="AJ83" t="e">
        <f>'Technical Skills Weighting'!B2419+"`FU!%:\"</f>
        <v>#VALUE!</v>
      </c>
      <c r="AK83" t="e">
        <f>'Technical Skills Weighting'!B2420+"`FU!%:]"</f>
        <v>#VALUE!</v>
      </c>
      <c r="AL83" t="e">
        <f>'Technical Skills Weighting'!B2421+"`FU!%:^"</f>
        <v>#VALUE!</v>
      </c>
      <c r="AM83" t="e">
        <f>'Technical Skills Weighting'!B2422+"`FU!%:_"</f>
        <v>#VALUE!</v>
      </c>
      <c r="AN83" t="e">
        <f>'Technical Skills Weighting'!B2423+"`FU!%:`"</f>
        <v>#VALUE!</v>
      </c>
      <c r="AO83" t="e">
        <f>'Technical Skills Weighting'!B2424+"`FU!%:a"</f>
        <v>#VALUE!</v>
      </c>
      <c r="AP83" t="e">
        <f>'Technical Skills Weighting'!B2425+"`FU!%:b"</f>
        <v>#VALUE!</v>
      </c>
      <c r="AQ83" t="e">
        <f>'Technical Skills Weighting'!B2426+"`FU!%:c"</f>
        <v>#VALUE!</v>
      </c>
      <c r="AR83" t="e">
        <f>'Technical Skills Weighting'!B2427+"`FU!%:d"</f>
        <v>#VALUE!</v>
      </c>
      <c r="AS83" t="e">
        <f>'Technical Skills Weighting'!B2428+"`FU!%:e"</f>
        <v>#VALUE!</v>
      </c>
      <c r="AT83" t="e">
        <f>'Technical Skills Weighting'!B2429+"`FU!%:f"</f>
        <v>#VALUE!</v>
      </c>
      <c r="AU83" t="e">
        <f>'Technical Skills Weighting'!B2430+"`FU!%:g"</f>
        <v>#VALUE!</v>
      </c>
      <c r="AV83" t="e">
        <f>'Technical Skills Weighting'!B2431+"`FU!%:h"</f>
        <v>#VALUE!</v>
      </c>
      <c r="AW83" t="e">
        <f>'Technical Skills Weighting'!B2432+"`FU!%:i"</f>
        <v>#VALUE!</v>
      </c>
      <c r="AX83" t="e">
        <f>'Technical Skills Weighting'!B2433+"`FU!%:j"</f>
        <v>#VALUE!</v>
      </c>
      <c r="AY83" t="e">
        <f>'Technical Skills Weighting'!B2434+"`FU!%:k"</f>
        <v>#VALUE!</v>
      </c>
      <c r="AZ83" t="e">
        <f>'Technical Skills Weighting'!B2435+"`FU!%:l"</f>
        <v>#VALUE!</v>
      </c>
      <c r="BA83" t="e">
        <f>'Technical Skills Weighting'!B2436+"`FU!%:m"</f>
        <v>#VALUE!</v>
      </c>
      <c r="BB83" t="e">
        <f>'Technical Skills Weighting'!B2437+"`FU!%:n"</f>
        <v>#VALUE!</v>
      </c>
      <c r="BC83" t="e">
        <f>'Technical Skills Weighting'!B2438+"`FU!%:o"</f>
        <v>#VALUE!</v>
      </c>
      <c r="BD83" t="e">
        <f>'Technical Skills Weighting'!B2439+"`FU!%:p"</f>
        <v>#VALUE!</v>
      </c>
      <c r="BE83" t="e">
        <f>'Technical Skills Weighting'!B2440+"`FU!%:q"</f>
        <v>#VALUE!</v>
      </c>
      <c r="BF83" t="e">
        <f>'Technical Skills Weighting'!B2441+"`FU!%:r"</f>
        <v>#VALUE!</v>
      </c>
      <c r="BG83" t="e">
        <f>'Technical Skills Weighting'!B2442+"`FU!%:s"</f>
        <v>#VALUE!</v>
      </c>
      <c r="BH83" t="e">
        <f>'Technical Skills Weighting'!B2443+"`FU!%:t"</f>
        <v>#VALUE!</v>
      </c>
      <c r="BI83" t="e">
        <f>'Technical Skills Weighting'!B2444+"`FU!%:u"</f>
        <v>#VALUE!</v>
      </c>
      <c r="BJ83" t="e">
        <f>'Technical Skills Weighting'!B2445+"`FU!%:v"</f>
        <v>#VALUE!</v>
      </c>
      <c r="BK83" t="e">
        <f>'Technical Skills Weighting'!B2446+"`FU!%:w"</f>
        <v>#VALUE!</v>
      </c>
      <c r="BL83" t="e">
        <f>'Technical Skills Weighting'!B2447+"`FU!%:x"</f>
        <v>#VALUE!</v>
      </c>
      <c r="BM83" t="e">
        <f>'Technical Skills Weighting'!B2448+"`FU!%:y"</f>
        <v>#VALUE!</v>
      </c>
      <c r="BN83" t="e">
        <f>'Technical Skills Weighting'!B2449+"`FU!%:z"</f>
        <v>#VALUE!</v>
      </c>
      <c r="BO83" t="e">
        <f>'Technical Skills Weighting'!B2450+"`FU!%:{"</f>
        <v>#VALUE!</v>
      </c>
      <c r="BP83" t="e">
        <f>'Technical Skills Weighting'!B2451+"`FU!%:|"</f>
        <v>#VALUE!</v>
      </c>
      <c r="BQ83" t="e">
        <f>'Technical Skills Weighting'!B2452+"`FU!%:}"</f>
        <v>#VALUE!</v>
      </c>
      <c r="BR83" t="e">
        <f>'Technical Skills Weighting'!B2453+"`FU!%:~"</f>
        <v>#VALUE!</v>
      </c>
      <c r="BS83" t="e">
        <f>'Technical Skills Weighting'!B2454+"`FU!%;#"</f>
        <v>#VALUE!</v>
      </c>
      <c r="BT83" t="e">
        <f>'Technical Skills Weighting'!B2455+"`FU!%;$"</f>
        <v>#VALUE!</v>
      </c>
      <c r="BU83" t="e">
        <f>'Technical Skills Weighting'!B2456+"`FU!%;%"</f>
        <v>#VALUE!</v>
      </c>
      <c r="BV83" t="e">
        <f>'Technical Skills Weighting'!B2457+"`FU!%;&amp;"</f>
        <v>#VALUE!</v>
      </c>
      <c r="BW83" t="e">
        <f>'Technical Skills Weighting'!B2458+"`FU!%;'"</f>
        <v>#VALUE!</v>
      </c>
      <c r="BX83" t="e">
        <f>'Technical Skills Weighting'!B2459+"`FU!%;("</f>
        <v>#VALUE!</v>
      </c>
      <c r="BY83" t="e">
        <f>'Technical Skills Weighting'!B2460+"`FU!%;)"</f>
        <v>#VALUE!</v>
      </c>
      <c r="BZ83" t="e">
        <f>'Technical Skills Weighting'!B2461+"`FU!%;."</f>
        <v>#VALUE!</v>
      </c>
      <c r="CA83" t="e">
        <f>'Technical Skills Weighting'!B2462+"`FU!%;/"</f>
        <v>#VALUE!</v>
      </c>
      <c r="CB83" t="e">
        <f>'Technical Skills Weighting'!B2463+"`FU!%;0"</f>
        <v>#VALUE!</v>
      </c>
      <c r="CC83" t="e">
        <f>'Technical Skills Weighting'!B2464+"`FU!%;1"</f>
        <v>#VALUE!</v>
      </c>
      <c r="CD83" t="e">
        <f>'Technical Skills Weighting'!B2465+"`FU!%;2"</f>
        <v>#VALUE!</v>
      </c>
      <c r="CE83" t="e">
        <f>'Technical Skills Weighting'!B2466+"`FU!%;3"</f>
        <v>#VALUE!</v>
      </c>
      <c r="CF83" t="e">
        <f>'Technical Skills Weighting'!B2467+"`FU!%;4"</f>
        <v>#VALUE!</v>
      </c>
      <c r="CG83" t="e">
        <f>'Technical Skills Weighting'!B2468+"`FU!%;5"</f>
        <v>#VALUE!</v>
      </c>
      <c r="CH83" t="e">
        <f>'Technical Skills Weighting'!B2469+"`FU!%;6"</f>
        <v>#VALUE!</v>
      </c>
      <c r="CI83" t="e">
        <f>'Technical Skills Weighting'!B2470+"`FU!%;7"</f>
        <v>#VALUE!</v>
      </c>
      <c r="CJ83" t="e">
        <f>'Technical Skills Weighting'!B2471+"`FU!%;8"</f>
        <v>#VALUE!</v>
      </c>
      <c r="CK83" t="e">
        <f>'Technical Skills Weighting'!B2472+"`FU!%;9"</f>
        <v>#VALUE!</v>
      </c>
      <c r="CL83" t="e">
        <f>'Technical Skills Weighting'!B2473+"`FU!%;:"</f>
        <v>#VALUE!</v>
      </c>
      <c r="CM83" t="e">
        <f>'Technical Skills Weighting'!B2474+"`FU!%;;"</f>
        <v>#VALUE!</v>
      </c>
      <c r="CN83" t="e">
        <f>'Technical Skills Weighting'!B2475+"`FU!%;&lt;"</f>
        <v>#VALUE!</v>
      </c>
      <c r="CO83" t="e">
        <f>'Technical Skills Weighting'!B2476+"`FU!%;="</f>
        <v>#VALUE!</v>
      </c>
      <c r="CP83" t="e">
        <f>'Technical Skills Weighting'!B2477+"`FU!%;&gt;"</f>
        <v>#VALUE!</v>
      </c>
      <c r="CQ83" t="e">
        <f>'Technical Skills Weighting'!B2478+"`FU!%;?"</f>
        <v>#VALUE!</v>
      </c>
      <c r="CR83" t="e">
        <f>'Technical Skills Weighting'!B2479+"`FU!%;@"</f>
        <v>#VALUE!</v>
      </c>
      <c r="CS83" t="e">
        <f>'Technical Skills Weighting'!B2480+"`FU!%;A"</f>
        <v>#VALUE!</v>
      </c>
      <c r="CT83" t="e">
        <f>'Technical Skills Weighting'!B2481+"`FU!%;B"</f>
        <v>#VALUE!</v>
      </c>
      <c r="CU83" t="e">
        <f>'Technical Skills Weighting'!B2482+"`FU!%;C"</f>
        <v>#VALUE!</v>
      </c>
      <c r="CV83" t="e">
        <f>'Technical Skills Weighting'!B2483+"`FU!%;D"</f>
        <v>#VALUE!</v>
      </c>
      <c r="CW83" t="e">
        <f>'Technical Skills Weighting'!B2484+"`FU!%;E"</f>
        <v>#VALUE!</v>
      </c>
      <c r="CX83" t="e">
        <f>'Technical Skills Weighting'!B2485+"`FU!%;F"</f>
        <v>#VALUE!</v>
      </c>
      <c r="CY83" t="e">
        <f>'Technical Skills Weighting'!B2486+"`FU!%;G"</f>
        <v>#VALUE!</v>
      </c>
      <c r="CZ83" t="e">
        <f>'Technical Skills Weighting'!B2487+"`FU!%;H"</f>
        <v>#VALUE!</v>
      </c>
      <c r="DA83" t="e">
        <f>'Technical Skills Weighting'!B2488+"`FU!%;I"</f>
        <v>#VALUE!</v>
      </c>
      <c r="DB83" t="e">
        <f>'Technical Skills Weighting'!B2489+"`FU!%;J"</f>
        <v>#VALUE!</v>
      </c>
      <c r="DC83" t="e">
        <f>'Technical Skills Weighting'!B2490+"`FU!%;K"</f>
        <v>#VALUE!</v>
      </c>
      <c r="DD83" t="e">
        <f>'Technical Skills Weighting'!B2491+"`FU!%;L"</f>
        <v>#VALUE!</v>
      </c>
      <c r="DE83" t="e">
        <f>'Technical Skills Weighting'!B2492+"`FU!%;M"</f>
        <v>#VALUE!</v>
      </c>
      <c r="DF83" t="e">
        <f>'Technical Skills Weighting'!B2493+"`FU!%;N"</f>
        <v>#VALUE!</v>
      </c>
      <c r="DG83" t="e">
        <f>'Technical Skills Weighting'!B2494+"`FU!%;O"</f>
        <v>#VALUE!</v>
      </c>
      <c r="DH83" t="e">
        <f>'Technical Skills Weighting'!B2495+"`FU!%;P"</f>
        <v>#VALUE!</v>
      </c>
      <c r="DI83" t="e">
        <f>'Technical Skills Weighting'!B2496+"`FU!%;Q"</f>
        <v>#VALUE!</v>
      </c>
      <c r="DJ83" t="e">
        <f>'Technical Skills Weighting'!B2497+"`FU!%;R"</f>
        <v>#VALUE!</v>
      </c>
      <c r="DK83" t="e">
        <f>'Technical Skills Weighting'!B2498+"`FU!%;S"</f>
        <v>#VALUE!</v>
      </c>
      <c r="DL83" t="e">
        <f>'Technical Skills Weighting'!B2499+"`FU!%;T"</f>
        <v>#VALUE!</v>
      </c>
      <c r="DM83" t="e">
        <f>'Technical Skills Weighting'!B2500+"`FU!%;U"</f>
        <v>#VALUE!</v>
      </c>
      <c r="DN83" t="e">
        <f>'Technical Skills Weighting'!B2501+"`FU!%;V"</f>
        <v>#VALUE!</v>
      </c>
      <c r="DO83" t="e">
        <f>'Technical Skills Weighting'!B2502+"`FU!%;W"</f>
        <v>#VALUE!</v>
      </c>
      <c r="DP83" t="e">
        <f>'Technical Skills Weighting'!B2503+"`FU!%;X"</f>
        <v>#VALUE!</v>
      </c>
      <c r="DQ83" t="e">
        <f>'Technical Skills Weighting'!B2504+"`FU!%;Y"</f>
        <v>#VALUE!</v>
      </c>
      <c r="DR83" t="e">
        <f>'Technical Skills Weighting'!B2505+"`FU!%;Z"</f>
        <v>#VALUE!</v>
      </c>
      <c r="DS83" t="e">
        <f>'Technical Skills Weighting'!B2506+"`FU!%;["</f>
        <v>#VALUE!</v>
      </c>
      <c r="DT83" t="e">
        <f>'Technical Skills Weighting'!B2507+"`FU!%;\"</f>
        <v>#VALUE!</v>
      </c>
      <c r="DU83" t="e">
        <f>'Technical Skills Weighting'!B2508+"`FU!%;]"</f>
        <v>#VALUE!</v>
      </c>
      <c r="DV83" t="e">
        <f>'Technical Skills Weighting'!B2509+"`FU!%;^"</f>
        <v>#VALUE!</v>
      </c>
      <c r="DW83" t="e">
        <f>'Technical Skills Weighting'!B2510+"`FU!%;_"</f>
        <v>#VALUE!</v>
      </c>
      <c r="DX83" t="e">
        <f>'Technical Skills Weighting'!B2511+"`FU!%;`"</f>
        <v>#VALUE!</v>
      </c>
      <c r="DY83" t="e">
        <f>'Technical Skills Weighting'!B2512+"`FU!%;a"</f>
        <v>#VALUE!</v>
      </c>
      <c r="DZ83" t="e">
        <f>'Technical Skills Weighting'!B2513+"`FU!%;b"</f>
        <v>#VALUE!</v>
      </c>
      <c r="EA83" t="e">
        <f>'Technical Skills Weighting'!B2514+"`FU!%;c"</f>
        <v>#VALUE!</v>
      </c>
      <c r="EB83" t="e">
        <f>'Technical Skills Weighting'!B2515+"`FU!%;d"</f>
        <v>#VALUE!</v>
      </c>
      <c r="EC83" t="e">
        <f>'Technical Skills Weighting'!B2516+"`FU!%;e"</f>
        <v>#VALUE!</v>
      </c>
      <c r="ED83" t="e">
        <f>'Technical Skills Weighting'!B2517+"`FU!%;f"</f>
        <v>#VALUE!</v>
      </c>
      <c r="EE83" t="e">
        <f>'Technical Skills Weighting'!B2518+"`FU!%;g"</f>
        <v>#VALUE!</v>
      </c>
      <c r="EF83" t="e">
        <f>'Technical Skills Weighting'!B2519+"`FU!%;h"</f>
        <v>#VALUE!</v>
      </c>
      <c r="EG83" t="e">
        <f>'Technical Skills Weighting'!B2520+"`FU!%;i"</f>
        <v>#VALUE!</v>
      </c>
      <c r="EH83" t="e">
        <f>'Technical Skills Weighting'!B2521+"`FU!%;j"</f>
        <v>#VALUE!</v>
      </c>
      <c r="EI83" t="e">
        <f>'Technical Skills Weighting'!B2522+"`FU!%;k"</f>
        <v>#VALUE!</v>
      </c>
      <c r="EJ83" t="e">
        <f>'Technical Skills Weighting'!B2523+"`FU!%;l"</f>
        <v>#VALUE!</v>
      </c>
      <c r="EK83" t="e">
        <f>'Technical Skills Weighting'!B2524+"`FU!%;m"</f>
        <v>#VALUE!</v>
      </c>
      <c r="EL83" t="e">
        <f>'Technical Skills Weighting'!B2525+"`FU!%;n"</f>
        <v>#VALUE!</v>
      </c>
      <c r="EM83" t="e">
        <f>'Technical Skills Weighting'!B2526+"`FU!%;o"</f>
        <v>#VALUE!</v>
      </c>
      <c r="EN83" t="e">
        <f>'Technical Skills Weighting'!B2527+"`FU!%;p"</f>
        <v>#VALUE!</v>
      </c>
      <c r="EO83" t="e">
        <f>'Technical Skills Weighting'!B2528+"`FU!%;q"</f>
        <v>#VALUE!</v>
      </c>
      <c r="EP83" t="e">
        <f>'Technical Skills Weighting'!B2529+"`FU!%;r"</f>
        <v>#VALUE!</v>
      </c>
      <c r="EQ83" t="e">
        <f>'Technical Skills Weighting'!B2530+"`FU!%;s"</f>
        <v>#VALUE!</v>
      </c>
      <c r="ER83" t="e">
        <f>'Technical Skills Weighting'!B2531+"`FU!%;t"</f>
        <v>#VALUE!</v>
      </c>
      <c r="ES83" t="e">
        <f>'Technical Skills Weighting'!B2532+"`FU!%;u"</f>
        <v>#VALUE!</v>
      </c>
      <c r="ET83" t="e">
        <f>'Technical Skills Weighting'!B2533+"`FU!%;v"</f>
        <v>#VALUE!</v>
      </c>
      <c r="EU83" t="e">
        <f>'Technical Skills Weighting'!B2534+"`FU!%;w"</f>
        <v>#VALUE!</v>
      </c>
      <c r="EV83" t="e">
        <f>'Technical Skills Weighting'!B2535+"`FU!%;x"</f>
        <v>#VALUE!</v>
      </c>
      <c r="EW83" t="e">
        <f>'Technical Skills Weighting'!B2536+"`FU!%;y"</f>
        <v>#VALUE!</v>
      </c>
      <c r="EX83" t="e">
        <f>'Technical Skills Weighting'!B2537+"`FU!%;z"</f>
        <v>#VALUE!</v>
      </c>
      <c r="EY83" t="e">
        <f>'Technical Skills Weighting'!B2538+"`FU!%;{"</f>
        <v>#VALUE!</v>
      </c>
      <c r="EZ83" t="e">
        <f>'Technical Skills Weighting'!B2539+"`FU!%;|"</f>
        <v>#VALUE!</v>
      </c>
      <c r="FA83" t="e">
        <f>'Technical Skills Weighting'!B2540+"`FU!%;}"</f>
        <v>#VALUE!</v>
      </c>
      <c r="FB83" t="e">
        <f>'Technical Skills Weighting'!B2541+"`FU!%;~"</f>
        <v>#VALUE!</v>
      </c>
      <c r="FC83" t="e">
        <f>'Technical Skills Weighting'!B2542+"`FU!%&lt;#"</f>
        <v>#VALUE!</v>
      </c>
      <c r="FD83" t="e">
        <f>'Technical Skills Weighting'!B2543+"`FU!%&lt;$"</f>
        <v>#VALUE!</v>
      </c>
      <c r="FE83" t="e">
        <f>'Technical Skills Weighting'!B2544+"`FU!%&lt;%"</f>
        <v>#VALUE!</v>
      </c>
      <c r="FF83" t="e">
        <f>'Technical Skills Weighting'!B2545+"`FU!%&lt;&amp;"</f>
        <v>#VALUE!</v>
      </c>
      <c r="FG83" t="e">
        <f>'Technical Skills Weighting'!B2546+"`FU!%&lt;'"</f>
        <v>#VALUE!</v>
      </c>
      <c r="FH83" t="e">
        <f>'Technical Skills Weighting'!B2547+"`FU!%&lt;("</f>
        <v>#VALUE!</v>
      </c>
      <c r="FI83" t="e">
        <f>'Technical Skills Weighting'!B2548+"`FU!%&lt;)"</f>
        <v>#VALUE!</v>
      </c>
      <c r="FJ83" t="e">
        <f>'Technical Skills Weighting'!B2549+"`FU!%&lt;."</f>
        <v>#VALUE!</v>
      </c>
      <c r="FK83" t="e">
        <f>'Technical Skills Weighting'!B2550+"`FU!%&lt;/"</f>
        <v>#VALUE!</v>
      </c>
      <c r="FL83" t="e">
        <f>'Technical Skills Weighting'!B2551+"`FU!%&lt;0"</f>
        <v>#VALUE!</v>
      </c>
      <c r="FM83" t="e">
        <f>'Technical Skills Weighting'!B2552+"`FU!%&lt;1"</f>
        <v>#VALUE!</v>
      </c>
      <c r="FN83" t="e">
        <f>'Technical Skills Weighting'!B2553+"`FU!%&lt;2"</f>
        <v>#VALUE!</v>
      </c>
      <c r="FO83" t="e">
        <f>'Technical Skills Weighting'!B2554+"`FU!%&lt;3"</f>
        <v>#VALUE!</v>
      </c>
      <c r="FP83" t="e">
        <f>'Technical Skills Weighting'!B2555+"`FU!%&lt;4"</f>
        <v>#VALUE!</v>
      </c>
      <c r="FQ83" t="e">
        <f>'Technical Skills Weighting'!B2556+"`FU!%&lt;5"</f>
        <v>#VALUE!</v>
      </c>
      <c r="FR83" t="e">
        <f>'Technical Skills Weighting'!B2557+"`FU!%&lt;6"</f>
        <v>#VALUE!</v>
      </c>
      <c r="FS83" t="e">
        <f>'Technical Skills Weighting'!B2558+"`FU!%&lt;7"</f>
        <v>#VALUE!</v>
      </c>
      <c r="FT83" t="e">
        <f>'Technical Skills Weighting'!B2559+"`FU!%&lt;8"</f>
        <v>#VALUE!</v>
      </c>
      <c r="FU83" t="e">
        <f>'Technical Skills Weighting'!B2560+"`FU!%&lt;9"</f>
        <v>#VALUE!</v>
      </c>
      <c r="FV83" t="e">
        <f>'Technical Skills Weighting'!B2561+"`FU!%&lt;:"</f>
        <v>#VALUE!</v>
      </c>
      <c r="FW83" t="e">
        <f>'Technical Skills Weighting'!B2562+"`FU!%&lt;;"</f>
        <v>#VALUE!</v>
      </c>
      <c r="FX83" t="e">
        <f>'Technical Skills Weighting'!B2563+"`FU!%&lt;&lt;"</f>
        <v>#VALUE!</v>
      </c>
      <c r="FY83" t="e">
        <f>'Technical Skills Weighting'!B2564+"`FU!%&lt;="</f>
        <v>#VALUE!</v>
      </c>
      <c r="FZ83" t="e">
        <f>'Technical Skills Weighting'!B2565+"`FU!%&lt;&gt;"</f>
        <v>#VALUE!</v>
      </c>
      <c r="GA83" t="e">
        <f>'Technical Skills Weighting'!B2566+"`FU!%&lt;?"</f>
        <v>#VALUE!</v>
      </c>
      <c r="GB83" t="e">
        <f>'Technical Skills Weighting'!B2567+"`FU!%&lt;@"</f>
        <v>#VALUE!</v>
      </c>
      <c r="GC83" t="e">
        <f>'Technical Skills Weighting'!B2568+"`FU!%&lt;A"</f>
        <v>#VALUE!</v>
      </c>
      <c r="GD83" t="e">
        <f>'Technical Skills Weighting'!B2569+"`FU!%&lt;B"</f>
        <v>#VALUE!</v>
      </c>
      <c r="GE83" t="e">
        <f>'Technical Skills Weighting'!B2570+"`FU!%&lt;C"</f>
        <v>#VALUE!</v>
      </c>
      <c r="GF83" t="e">
        <f>'Technical Skills Weighting'!B2571+"`FU!%&lt;D"</f>
        <v>#VALUE!</v>
      </c>
      <c r="GG83" t="e">
        <f>'Technical Skills Weighting'!B2572+"`FU!%&lt;E"</f>
        <v>#VALUE!</v>
      </c>
      <c r="GH83" t="e">
        <f>'Technical Skills Weighting'!B2573+"`FU!%&lt;F"</f>
        <v>#VALUE!</v>
      </c>
      <c r="GI83" t="e">
        <f>'Technical Skills Weighting'!B2574+"`FU!%&lt;G"</f>
        <v>#VALUE!</v>
      </c>
      <c r="GJ83" t="e">
        <f>'Technical Skills Weighting'!B2575+"`FU!%&lt;H"</f>
        <v>#VALUE!</v>
      </c>
      <c r="GK83" t="e">
        <f>'Technical Skills Weighting'!B2576+"`FU!%&lt;I"</f>
        <v>#VALUE!</v>
      </c>
      <c r="GL83" t="e">
        <f>'Technical Skills Weighting'!B2577+"`FU!%&lt;J"</f>
        <v>#VALUE!</v>
      </c>
      <c r="GM83" t="e">
        <f>'Technical Skills Weighting'!B2578+"`FU!%&lt;K"</f>
        <v>#VALUE!</v>
      </c>
      <c r="GN83" t="e">
        <f>'Technical Skills Weighting'!B2579+"`FU!%&lt;L"</f>
        <v>#VALUE!</v>
      </c>
      <c r="GO83" t="e">
        <f>'Technical Skills Weighting'!B2580+"`FU!%&lt;M"</f>
        <v>#VALUE!</v>
      </c>
      <c r="GP83" t="e">
        <f>'Technical Skills Weighting'!B2581+"`FU!%&lt;N"</f>
        <v>#VALUE!</v>
      </c>
      <c r="GQ83" t="e">
        <f>'Technical Skills Weighting'!B2582+"`FU!%&lt;O"</f>
        <v>#VALUE!</v>
      </c>
      <c r="GR83" t="e">
        <f>'Technical Skills Weighting'!B2583+"`FU!%&lt;P"</f>
        <v>#VALUE!</v>
      </c>
      <c r="GS83" t="e">
        <f>'Technical Skills Weighting'!B2584+"`FU!%&lt;Q"</f>
        <v>#VALUE!</v>
      </c>
      <c r="GT83" t="e">
        <f>'Technical Skills Weighting'!B2585+"`FU!%&lt;R"</f>
        <v>#VALUE!</v>
      </c>
      <c r="GU83" t="e">
        <f>'Technical Skills Weighting'!B2586+"`FU!%&lt;S"</f>
        <v>#VALUE!</v>
      </c>
      <c r="GV83" t="e">
        <f>'Technical Skills Weighting'!B2587+"`FU!%&lt;T"</f>
        <v>#VALUE!</v>
      </c>
      <c r="GW83" t="e">
        <f>'Technical Skills Weighting'!B2588+"`FU!%&lt;U"</f>
        <v>#VALUE!</v>
      </c>
      <c r="GX83" t="e">
        <f>'Technical Skills Weighting'!B2589+"`FU!%&lt;V"</f>
        <v>#VALUE!</v>
      </c>
      <c r="GY83" t="e">
        <f>'Technical Skills Weighting'!B2590+"`FU!%&lt;W"</f>
        <v>#VALUE!</v>
      </c>
      <c r="GZ83" t="e">
        <f>'Technical Skills Weighting'!B2591+"`FU!%&lt;X"</f>
        <v>#VALUE!</v>
      </c>
      <c r="HA83" t="e">
        <f>'Technical Skills Weighting'!B2592+"`FU!%&lt;Y"</f>
        <v>#VALUE!</v>
      </c>
      <c r="HB83" t="e">
        <f>'Technical Skills Weighting'!B2593+"`FU!%&lt;Z"</f>
        <v>#VALUE!</v>
      </c>
      <c r="HC83" t="e">
        <f>'Technical Skills Weighting'!B2594+"`FU!%&lt;["</f>
        <v>#VALUE!</v>
      </c>
      <c r="HD83" t="e">
        <f>'Technical Skills Weighting'!B2595+"`FU!%&lt;\"</f>
        <v>#VALUE!</v>
      </c>
      <c r="HE83" t="e">
        <f>'Technical Skills Weighting'!B2596+"`FU!%&lt;]"</f>
        <v>#VALUE!</v>
      </c>
      <c r="HF83" t="e">
        <f>'Technical Skills Weighting'!B2597+"`FU!%&lt;^"</f>
        <v>#VALUE!</v>
      </c>
      <c r="HG83" t="e">
        <f>'Technical Skills Weighting'!B2598+"`FU!%&lt;_"</f>
        <v>#VALUE!</v>
      </c>
      <c r="HH83" t="e">
        <f>'Technical Skills Weighting'!B2599+"`FU!%&lt;`"</f>
        <v>#VALUE!</v>
      </c>
      <c r="HI83" t="e">
        <f>'Technical Skills Weighting'!B2600+"`FU!%&lt;a"</f>
        <v>#VALUE!</v>
      </c>
      <c r="HJ83" t="e">
        <f>'Technical Skills Weighting'!B2601+"`FU!%&lt;b"</f>
        <v>#VALUE!</v>
      </c>
      <c r="HK83" t="e">
        <f>'Technical Skills Weighting'!B2602+"`FU!%&lt;c"</f>
        <v>#VALUE!</v>
      </c>
      <c r="HL83" t="e">
        <f>'Technical Skills Weighting'!B2603+"`FU!%&lt;d"</f>
        <v>#VALUE!</v>
      </c>
      <c r="HM83" t="e">
        <f>'Technical Skills Weighting'!B2604+"`FU!%&lt;e"</f>
        <v>#VALUE!</v>
      </c>
      <c r="HN83" t="e">
        <f>'Technical Skills Weighting'!B2605+"`FU!%&lt;f"</f>
        <v>#VALUE!</v>
      </c>
      <c r="HO83" t="e">
        <f>'Technical Skills Weighting'!B2606+"`FU!%&lt;g"</f>
        <v>#VALUE!</v>
      </c>
      <c r="HP83" t="e">
        <f>'Technical Skills Weighting'!B2607+"`FU!%&lt;h"</f>
        <v>#VALUE!</v>
      </c>
      <c r="HQ83" t="e">
        <f>'Technical Skills Weighting'!B2608+"`FU!%&lt;i"</f>
        <v>#VALUE!</v>
      </c>
      <c r="HR83" t="e">
        <f>'Technical Skills Weighting'!B2609+"`FU!%&lt;j"</f>
        <v>#VALUE!</v>
      </c>
      <c r="HS83" t="e">
        <f>'Technical Skills Weighting'!B2610+"`FU!%&lt;k"</f>
        <v>#VALUE!</v>
      </c>
      <c r="HT83" t="e">
        <f>'Technical Skills Weighting'!B2611+"`FU!%&lt;l"</f>
        <v>#VALUE!</v>
      </c>
      <c r="HU83" t="e">
        <f>'Technical Skills Weighting'!B2612+"`FU!%&lt;m"</f>
        <v>#VALUE!</v>
      </c>
      <c r="HV83" t="e">
        <f>'Technical Skills Weighting'!B2613+"`FU!%&lt;n"</f>
        <v>#VALUE!</v>
      </c>
      <c r="HW83" t="e">
        <f>'Technical Skills Weighting'!B2614+"`FU!%&lt;o"</f>
        <v>#VALUE!</v>
      </c>
      <c r="HX83" t="e">
        <f>'Technical Skills Weighting'!B2615+"`FU!%&lt;p"</f>
        <v>#VALUE!</v>
      </c>
      <c r="HY83" t="e">
        <f>'Technical Skills Weighting'!B2616+"`FU!%&lt;q"</f>
        <v>#VALUE!</v>
      </c>
      <c r="HZ83" t="e">
        <f>'Technical Skills Weighting'!B2617+"`FU!%&lt;r"</f>
        <v>#VALUE!</v>
      </c>
      <c r="IA83" t="e">
        <f>'Technical Skills Weighting'!B2618+"`FU!%&lt;s"</f>
        <v>#VALUE!</v>
      </c>
      <c r="IB83" t="e">
        <f>'Technical Skills Weighting'!B2619+"`FU!%&lt;t"</f>
        <v>#VALUE!</v>
      </c>
      <c r="IC83" t="e">
        <f>'Technical Skills Weighting'!B2620+"`FU!%&lt;u"</f>
        <v>#VALUE!</v>
      </c>
      <c r="ID83" t="e">
        <f>'Technical Skills Weighting'!B2621+"`FU!%&lt;v"</f>
        <v>#VALUE!</v>
      </c>
      <c r="IE83" t="e">
        <f>'Technical Skills Weighting'!B2622+"`FU!%&lt;w"</f>
        <v>#VALUE!</v>
      </c>
      <c r="IF83" t="e">
        <f>'Technical Skills Weighting'!B2623+"`FU!%&lt;x"</f>
        <v>#VALUE!</v>
      </c>
      <c r="IG83" t="e">
        <f>'Technical Skills Weighting'!B2624+"`FU!%&lt;y"</f>
        <v>#VALUE!</v>
      </c>
      <c r="IH83" t="e">
        <f>'Technical Skills Weighting'!B2625+"`FU!%&lt;z"</f>
        <v>#VALUE!</v>
      </c>
      <c r="II83" t="e">
        <f>'Technical Skills Weighting'!B2626+"`FU!%&lt;{"</f>
        <v>#VALUE!</v>
      </c>
      <c r="IJ83" t="e">
        <f>'Technical Skills Weighting'!B2627+"`FU!%&lt;|"</f>
        <v>#VALUE!</v>
      </c>
      <c r="IK83" t="e">
        <f>'Technical Skills Weighting'!B2628+"`FU!%&lt;}"</f>
        <v>#VALUE!</v>
      </c>
      <c r="IL83" t="e">
        <f>'Technical Skills Weighting'!B2629+"`FU!%&lt;~"</f>
        <v>#VALUE!</v>
      </c>
      <c r="IM83" t="e">
        <f>'Technical Skills Weighting'!B2630+"`FU!%=#"</f>
        <v>#VALUE!</v>
      </c>
      <c r="IN83" t="e">
        <f>'Technical Skills Weighting'!B2631+"`FU!%=$"</f>
        <v>#VALUE!</v>
      </c>
      <c r="IO83" t="e">
        <f>'Technical Skills Weighting'!B2632+"`FU!%=%"</f>
        <v>#VALUE!</v>
      </c>
      <c r="IP83" t="e">
        <f>'Technical Skills Weighting'!B2633+"`FU!%=&amp;"</f>
        <v>#VALUE!</v>
      </c>
      <c r="IQ83" t="e">
        <f>'Technical Skills Weighting'!B2634+"`FU!%='"</f>
        <v>#VALUE!</v>
      </c>
      <c r="IR83" t="e">
        <f>'Technical Skills Weighting'!B2635+"`FU!%=("</f>
        <v>#VALUE!</v>
      </c>
      <c r="IS83" t="e">
        <f>'Technical Skills Weighting'!B2636+"`FU!%=)"</f>
        <v>#VALUE!</v>
      </c>
      <c r="IT83" t="e">
        <f>'Technical Skills Weighting'!B2637+"`FU!%=."</f>
        <v>#VALUE!</v>
      </c>
      <c r="IU83" t="e">
        <f>'Technical Skills Weighting'!B2638+"`FU!%=/"</f>
        <v>#VALUE!</v>
      </c>
      <c r="IV83" t="e">
        <f>'Technical Skills Weighting'!B2639+"`FU!%=0"</f>
        <v>#VALUE!</v>
      </c>
    </row>
    <row r="84" spans="6:256" x14ac:dyDescent="0.25">
      <c r="F84" t="e">
        <f>'Technical Skills Weighting'!B2640+"`FU!%=1"</f>
        <v>#VALUE!</v>
      </c>
      <c r="G84" t="e">
        <f>'Technical Skills Weighting'!B2641+"`FU!%=2"</f>
        <v>#VALUE!</v>
      </c>
      <c r="H84" t="e">
        <f>'Technical Skills Weighting'!B2642+"`FU!%=3"</f>
        <v>#VALUE!</v>
      </c>
      <c r="I84" t="e">
        <f>'Technical Skills Weighting'!B2643+"`FU!%=4"</f>
        <v>#VALUE!</v>
      </c>
      <c r="J84" t="e">
        <f>'Technical Skills Weighting'!B2644+"`FU!%=5"</f>
        <v>#VALUE!</v>
      </c>
      <c r="K84" t="e">
        <f>'Technical Skills Weighting'!B2645+"`FU!%=6"</f>
        <v>#VALUE!</v>
      </c>
      <c r="L84" t="e">
        <f>'Technical Skills Weighting'!B2646+"`FU!%=7"</f>
        <v>#VALUE!</v>
      </c>
      <c r="M84" t="e">
        <f>'Technical Skills Weighting'!B2647+"`FU!%=8"</f>
        <v>#VALUE!</v>
      </c>
      <c r="N84" t="e">
        <f>'Technical Skills Weighting'!B2648+"`FU!%=9"</f>
        <v>#VALUE!</v>
      </c>
      <c r="O84" t="e">
        <f>'Technical Skills Weighting'!B2649+"`FU!%=:"</f>
        <v>#VALUE!</v>
      </c>
      <c r="P84" t="e">
        <f>'Technical Skills Weighting'!B2650+"`FU!%=;"</f>
        <v>#VALUE!</v>
      </c>
      <c r="Q84" t="e">
        <f>'Technical Skills Weighting'!B2651+"`FU!%=&lt;"</f>
        <v>#VALUE!</v>
      </c>
      <c r="R84" t="e">
        <f>'Technical Skills Weighting'!B2652+"`FU!%=="</f>
        <v>#VALUE!</v>
      </c>
      <c r="S84" t="e">
        <f>'Technical Skills Weighting'!B2653+"`FU!%=&gt;"</f>
        <v>#VALUE!</v>
      </c>
      <c r="T84" t="e">
        <f>'Technical Skills Weighting'!B2654+"`FU!%=?"</f>
        <v>#VALUE!</v>
      </c>
      <c r="U84" t="e">
        <f>'Technical Skills Weighting'!B2655+"`FU!%=@"</f>
        <v>#VALUE!</v>
      </c>
      <c r="V84" t="e">
        <f>'Technical Skills Weighting'!B2656+"`FU!%=A"</f>
        <v>#VALUE!</v>
      </c>
      <c r="W84" t="e">
        <f>'Technical Skills Weighting'!B2657+"`FU!%=B"</f>
        <v>#VALUE!</v>
      </c>
      <c r="X84" t="e">
        <f>'Technical Skills Weighting'!B2658+"`FU!%=C"</f>
        <v>#VALUE!</v>
      </c>
      <c r="Y84" t="e">
        <f>'Technical Skills Weighting'!B2659+"`FU!%=D"</f>
        <v>#VALUE!</v>
      </c>
      <c r="Z84" t="e">
        <f>'Technical Skills Weighting'!B2660+"`FU!%=E"</f>
        <v>#VALUE!</v>
      </c>
      <c r="AA84" t="e">
        <f>'Technical Skills Weighting'!B2661+"`FU!%=F"</f>
        <v>#VALUE!</v>
      </c>
      <c r="AB84" t="e">
        <f>'Technical Skills Weighting'!B2662+"`FU!%=G"</f>
        <v>#VALUE!</v>
      </c>
      <c r="AC84" t="e">
        <f>'Technical Skills Weighting'!B2663+"`FU!%=H"</f>
        <v>#VALUE!</v>
      </c>
      <c r="AD84" t="e">
        <f>'Technical Skills Weighting'!B2664+"`FU!%=I"</f>
        <v>#VALUE!</v>
      </c>
      <c r="AE84" t="e">
        <f>'Technical Skills Weighting'!B2665+"`FU!%=J"</f>
        <v>#VALUE!</v>
      </c>
      <c r="AF84" t="e">
        <f>'Technical Skills Weighting'!B2666+"`FU!%=K"</f>
        <v>#VALUE!</v>
      </c>
      <c r="AG84" t="e">
        <f>'Technical Skills Weighting'!B2667+"`FU!%=L"</f>
        <v>#VALUE!</v>
      </c>
      <c r="AH84" t="e">
        <f>'Technical Skills Weighting'!B2668+"`FU!%=M"</f>
        <v>#VALUE!</v>
      </c>
      <c r="AI84" t="e">
        <f>'Technical Skills Weighting'!B2669+"`FU!%=N"</f>
        <v>#VALUE!</v>
      </c>
      <c r="AJ84" t="e">
        <f>'Technical Skills Weighting'!B2670+"`FU!%=O"</f>
        <v>#VALUE!</v>
      </c>
      <c r="AK84" t="e">
        <f>'Technical Skills Weighting'!B2671+"`FU!%=P"</f>
        <v>#VALUE!</v>
      </c>
      <c r="AL84" t="e">
        <f>'Technical Skills Weighting'!B2672+"`FU!%=Q"</f>
        <v>#VALUE!</v>
      </c>
      <c r="AM84" t="e">
        <f>'Technical Skills Weighting'!B2673+"`FU!%=R"</f>
        <v>#VALUE!</v>
      </c>
      <c r="AN84" t="e">
        <f>'Technical Skills Weighting'!B2674+"`FU!%=S"</f>
        <v>#VALUE!</v>
      </c>
      <c r="AO84" t="e">
        <f>'Technical Skills Weighting'!B2675+"`FU!%=T"</f>
        <v>#VALUE!</v>
      </c>
      <c r="AP84" t="e">
        <f>'Technical Skills Weighting'!B2676+"`FU!%=U"</f>
        <v>#VALUE!</v>
      </c>
      <c r="AQ84" t="e">
        <f>'Technical Skills Weighting'!B2677+"`FU!%=V"</f>
        <v>#VALUE!</v>
      </c>
      <c r="AR84" t="e">
        <f>'Technical Skills Weighting'!B2678+"`FU!%=W"</f>
        <v>#VALUE!</v>
      </c>
      <c r="AS84" t="e">
        <f>'Technical Skills Weighting'!B2679+"`FU!%=X"</f>
        <v>#VALUE!</v>
      </c>
      <c r="AT84" t="e">
        <f>'Technical Skills Weighting'!B2680+"`FU!%=Y"</f>
        <v>#VALUE!</v>
      </c>
      <c r="AU84" t="e">
        <f>'Technical Skills Weighting'!B2681+"`FU!%=Z"</f>
        <v>#VALUE!</v>
      </c>
      <c r="AV84" t="e">
        <f>'Technical Skills Weighting'!B2682+"`FU!%=["</f>
        <v>#VALUE!</v>
      </c>
      <c r="AW84" t="e">
        <f>'Technical Skills Weighting'!B2683+"`FU!%=\"</f>
        <v>#VALUE!</v>
      </c>
      <c r="AX84" t="e">
        <f>'Technical Skills Weighting'!B2684+"`FU!%=]"</f>
        <v>#VALUE!</v>
      </c>
      <c r="AY84" t="e">
        <f>'Technical Skills Weighting'!B2685+"`FU!%=^"</f>
        <v>#VALUE!</v>
      </c>
      <c r="AZ84" t="e">
        <f>'Technical Skills Weighting'!B2686+"`FU!%=_"</f>
        <v>#VALUE!</v>
      </c>
      <c r="BA84" t="e">
        <f>'Technical Skills Weighting'!B2687+"`FU!%=`"</f>
        <v>#VALUE!</v>
      </c>
      <c r="BB84" t="e">
        <f>'Technical Skills Weighting'!B2688+"`FU!%=a"</f>
        <v>#VALUE!</v>
      </c>
      <c r="BC84" t="e">
        <f>'Technical Skills Weighting'!B2689+"`FU!%=b"</f>
        <v>#VALUE!</v>
      </c>
      <c r="BD84" t="e">
        <f>'Technical Skills Weighting'!B2690+"`FU!%=c"</f>
        <v>#VALUE!</v>
      </c>
      <c r="BE84" t="e">
        <f>'Technical Skills Weighting'!B2691+"`FU!%=d"</f>
        <v>#VALUE!</v>
      </c>
      <c r="BF84" t="e">
        <f>'Technical Skills Weighting'!B2692+"`FU!%=e"</f>
        <v>#VALUE!</v>
      </c>
      <c r="BG84" t="e">
        <f>'Technical Skills Weighting'!B2693+"`FU!%=f"</f>
        <v>#VALUE!</v>
      </c>
      <c r="BH84" t="e">
        <f>'Technical Skills Weighting'!B2694+"`FU!%=g"</f>
        <v>#VALUE!</v>
      </c>
      <c r="BI84" t="e">
        <f>'Technical Skills Weighting'!B2695+"`FU!%=h"</f>
        <v>#VALUE!</v>
      </c>
      <c r="BJ84" t="e">
        <f>'Technical Skills Weighting'!B2696+"`FU!%=i"</f>
        <v>#VALUE!</v>
      </c>
      <c r="BK84" t="e">
        <f>'Technical Skills Weighting'!B2697+"`FU!%=j"</f>
        <v>#VALUE!</v>
      </c>
      <c r="BL84" t="e">
        <f>'Technical Skills Weighting'!B2698+"`FU!%=k"</f>
        <v>#VALUE!</v>
      </c>
      <c r="BM84" t="e">
        <f>'Technical Skills Weighting'!B2699+"`FU!%=l"</f>
        <v>#VALUE!</v>
      </c>
      <c r="BN84" t="e">
        <f>'Technical Skills Weighting'!B2700+"`FU!%=m"</f>
        <v>#VALUE!</v>
      </c>
      <c r="BO84" t="e">
        <f>'Technical Skills Weighting'!B2701+"`FU!%=n"</f>
        <v>#VALUE!</v>
      </c>
      <c r="BP84" t="e">
        <f>'Technical Skills Weighting'!B2702+"`FU!%=o"</f>
        <v>#VALUE!</v>
      </c>
      <c r="BQ84" t="e">
        <f>'Technical Skills Weighting'!B2703+"`FU!%=p"</f>
        <v>#VALUE!</v>
      </c>
      <c r="BR84" t="e">
        <f>'Technical Skills Weighting'!B2704+"`FU!%=q"</f>
        <v>#VALUE!</v>
      </c>
      <c r="BS84" t="e">
        <f>'Technical Skills Weighting'!B2705+"`FU!%=r"</f>
        <v>#VALUE!</v>
      </c>
      <c r="BT84" t="e">
        <f>'Technical Skills Weighting'!B2706+"`FU!%=s"</f>
        <v>#VALUE!</v>
      </c>
      <c r="BU84" t="e">
        <f>'Technical Skills Weighting'!B2707+"`FU!%=t"</f>
        <v>#VALUE!</v>
      </c>
      <c r="BV84" t="e">
        <f>'Technical Skills Weighting'!B2708+"`FU!%=u"</f>
        <v>#VALUE!</v>
      </c>
      <c r="BW84" t="e">
        <f>'Technical Skills Weighting'!B2709+"`FU!%=v"</f>
        <v>#VALUE!</v>
      </c>
      <c r="BX84" t="e">
        <f>'Technical Skills Weighting'!B2710+"`FU!%=w"</f>
        <v>#VALUE!</v>
      </c>
      <c r="BY84" t="e">
        <f>'Technical Skills Weighting'!B2711+"`FU!%=x"</f>
        <v>#VALUE!</v>
      </c>
      <c r="BZ84" t="e">
        <f>'Technical Skills Weighting'!B2712+"`FU!%=y"</f>
        <v>#VALUE!</v>
      </c>
      <c r="CA84" t="e">
        <f>'Technical Skills Weighting'!B2713+"`FU!%=z"</f>
        <v>#VALUE!</v>
      </c>
      <c r="CB84" t="e">
        <f>'Technical Skills Weighting'!B2714+"`FU!%={"</f>
        <v>#VALUE!</v>
      </c>
      <c r="CC84" t="e">
        <f>'Technical Skills Weighting'!B2715+"`FU!%=|"</f>
        <v>#VALUE!</v>
      </c>
      <c r="CD84" t="e">
        <f>'Technical Skills Weighting'!B2716+"`FU!%=}"</f>
        <v>#VALUE!</v>
      </c>
      <c r="CE84" t="e">
        <f>'Technical Skills Weighting'!B2717+"`FU!%=~"</f>
        <v>#VALUE!</v>
      </c>
      <c r="CF84" t="e">
        <f>'Technical Skills Weighting'!B2718+"`FU!%&gt;#"</f>
        <v>#VALUE!</v>
      </c>
      <c r="CG84" t="e">
        <f>'Technical Skills Weighting'!B2719+"`FU!%&gt;$"</f>
        <v>#VALUE!</v>
      </c>
      <c r="CH84" t="e">
        <f>'Technical Skills Weighting'!B2720+"`FU!%&gt;%"</f>
        <v>#VALUE!</v>
      </c>
      <c r="CI84" t="e">
        <f>'Technical Skills Weighting'!B2721+"`FU!%&gt;&amp;"</f>
        <v>#VALUE!</v>
      </c>
      <c r="CJ84" t="e">
        <f>'Technical Skills Weighting'!B2722+"`FU!%&gt;'"</f>
        <v>#VALUE!</v>
      </c>
      <c r="CK84" t="e">
        <f>'Technical Skills Weighting'!B2723+"`FU!%&gt;("</f>
        <v>#VALUE!</v>
      </c>
      <c r="CL84" t="e">
        <f>'Technical Skills Weighting'!B2724+"`FU!%&gt;)"</f>
        <v>#VALUE!</v>
      </c>
      <c r="CM84" t="e">
        <f>'Technical Skills Weighting'!B2725+"`FU!%&gt;."</f>
        <v>#VALUE!</v>
      </c>
      <c r="CN84" t="e">
        <f>'Technical Skills Weighting'!B2726+"`FU!%&gt;/"</f>
        <v>#VALUE!</v>
      </c>
      <c r="CO84" t="e">
        <f>'Technical Skills Weighting'!B2727+"`FU!%&gt;0"</f>
        <v>#VALUE!</v>
      </c>
      <c r="CP84" t="e">
        <f>'Technical Skills Weighting'!B2728+"`FU!%&gt;1"</f>
        <v>#VALUE!</v>
      </c>
      <c r="CQ84" t="e">
        <f>'Technical Skills Weighting'!B2729+"`FU!%&gt;2"</f>
        <v>#VALUE!</v>
      </c>
      <c r="CR84" t="e">
        <f>'Technical Skills Weighting'!B2730+"`FU!%&gt;3"</f>
        <v>#VALUE!</v>
      </c>
      <c r="CS84" t="e">
        <f>'Technical Skills Weighting'!B2731+"`FU!%&gt;4"</f>
        <v>#VALUE!</v>
      </c>
      <c r="CT84" t="e">
        <f>'Technical Skills Weighting'!B2732+"`FU!%&gt;5"</f>
        <v>#VALUE!</v>
      </c>
      <c r="CU84" t="e">
        <f>'Technical Skills Weighting'!B2733+"`FU!%&gt;6"</f>
        <v>#VALUE!</v>
      </c>
      <c r="CV84" t="e">
        <f>'Technical Skills Weighting'!B2734+"`FU!%&gt;7"</f>
        <v>#VALUE!</v>
      </c>
      <c r="CW84" t="e">
        <f>'Technical Skills Weighting'!B2735+"`FU!%&gt;8"</f>
        <v>#VALUE!</v>
      </c>
      <c r="CX84" t="e">
        <f>'Technical Skills Weighting'!B2736+"`FU!%&gt;9"</f>
        <v>#VALUE!</v>
      </c>
      <c r="CY84" t="e">
        <f>'Technical Skills Weighting'!B2737+"`FU!%&gt;:"</f>
        <v>#VALUE!</v>
      </c>
      <c r="CZ84" t="e">
        <f>'Technical Skills Weighting'!B2738+"`FU!%&gt;;"</f>
        <v>#VALUE!</v>
      </c>
      <c r="DA84" t="e">
        <f>'Technical Skills Weighting'!B2739+"`FU!%&gt;&lt;"</f>
        <v>#VALUE!</v>
      </c>
      <c r="DB84" t="e">
        <f>'Technical Skills Weighting'!B2740+"`FU!%&gt;="</f>
        <v>#VALUE!</v>
      </c>
      <c r="DC84" t="e">
        <f>'Technical Skills Weighting'!B2741+"`FU!%&gt;&gt;"</f>
        <v>#VALUE!</v>
      </c>
      <c r="DD84" t="e">
        <f>'Technical Skills Weighting'!B2742+"`FU!%&gt;?"</f>
        <v>#VALUE!</v>
      </c>
      <c r="DE84" t="e">
        <f>'Technical Skills Weighting'!B2743+"`FU!%&gt;@"</f>
        <v>#VALUE!</v>
      </c>
      <c r="DF84" t="e">
        <f>'Technical Skills Weighting'!B2744+"`FU!%&gt;A"</f>
        <v>#VALUE!</v>
      </c>
      <c r="DG84" t="e">
        <f>'Technical Skills Weighting'!B2745+"`FU!%&gt;B"</f>
        <v>#VALUE!</v>
      </c>
      <c r="DH84" t="e">
        <f>'Technical Skills Weighting'!B2746+"`FU!%&gt;C"</f>
        <v>#VALUE!</v>
      </c>
      <c r="DI84" t="e">
        <f>'Technical Skills Weighting'!B2747+"`FU!%&gt;D"</f>
        <v>#VALUE!</v>
      </c>
      <c r="DJ84" t="e">
        <f>'Technical Skills Weighting'!B2748+"`FU!%&gt;E"</f>
        <v>#VALUE!</v>
      </c>
      <c r="DK84" t="e">
        <f>'Technical Skills Weighting'!B2749+"`FU!%&gt;F"</f>
        <v>#VALUE!</v>
      </c>
      <c r="DL84" t="e">
        <f>'Technical Skills Weighting'!B2750+"`FU!%&gt;G"</f>
        <v>#VALUE!</v>
      </c>
      <c r="DM84" t="e">
        <f>'Technical Skills Weighting'!B2751+"`FU!%&gt;H"</f>
        <v>#VALUE!</v>
      </c>
      <c r="DN84" t="e">
        <f>'Technical Skills Weighting'!B2752+"`FU!%&gt;I"</f>
        <v>#VALUE!</v>
      </c>
      <c r="DO84" t="e">
        <f>'Technical Skills Weighting'!B2753+"`FU!%&gt;J"</f>
        <v>#VALUE!</v>
      </c>
      <c r="DP84" t="e">
        <f>'Technical Skills Weighting'!B2754+"`FU!%&gt;K"</f>
        <v>#VALUE!</v>
      </c>
      <c r="DQ84" t="e">
        <f>'Technical Skills Weighting'!B2755+"`FU!%&gt;L"</f>
        <v>#VALUE!</v>
      </c>
      <c r="DR84" t="e">
        <f>'Technical Skills Weighting'!B2756+"`FU!%&gt;M"</f>
        <v>#VALUE!</v>
      </c>
      <c r="DS84" t="e">
        <f>'Technical Skills Weighting'!B2757+"`FU!%&gt;N"</f>
        <v>#VALUE!</v>
      </c>
      <c r="DT84" t="e">
        <f>'Technical Skills Weighting'!B2758+"`FU!%&gt;O"</f>
        <v>#VALUE!</v>
      </c>
      <c r="DU84" t="e">
        <f>'Technical Skills Weighting'!B2759+"`FU!%&gt;P"</f>
        <v>#VALUE!</v>
      </c>
      <c r="DV84" t="e">
        <f>'Technical Skills Weighting'!B2760+"`FU!%&gt;Q"</f>
        <v>#VALUE!</v>
      </c>
      <c r="DW84" t="e">
        <f>'Technical Skills Weighting'!B2761+"`FU!%&gt;R"</f>
        <v>#VALUE!</v>
      </c>
      <c r="DX84" t="e">
        <f>'Technical Skills Weighting'!B2762+"`FU!%&gt;S"</f>
        <v>#VALUE!</v>
      </c>
      <c r="DY84" t="e">
        <f>'Technical Skills Weighting'!B2763+"`FU!%&gt;T"</f>
        <v>#VALUE!</v>
      </c>
      <c r="DZ84" t="e">
        <f>'Technical Skills Weighting'!B2764+"`FU!%&gt;U"</f>
        <v>#VALUE!</v>
      </c>
      <c r="EA84" t="e">
        <f>'Technical Skills Weighting'!B2765+"`FU!%&gt;V"</f>
        <v>#VALUE!</v>
      </c>
      <c r="EB84" t="e">
        <f>'Technical Skills Weighting'!B2766+"`FU!%&gt;W"</f>
        <v>#VALUE!</v>
      </c>
      <c r="EC84" t="e">
        <f>'Technical Skills Weighting'!B2767+"`FU!%&gt;X"</f>
        <v>#VALUE!</v>
      </c>
      <c r="ED84" t="e">
        <f>'Technical Skills Weighting'!B2768+"`FU!%&gt;Y"</f>
        <v>#VALUE!</v>
      </c>
      <c r="EE84" t="e">
        <f>'Technical Skills Weighting'!B2769+"`FU!%&gt;Z"</f>
        <v>#VALUE!</v>
      </c>
      <c r="EF84" t="e">
        <f>'Technical Skills Weighting'!B2770+"`FU!%&gt;["</f>
        <v>#VALUE!</v>
      </c>
      <c r="EG84" t="e">
        <f>'Technical Skills Weighting'!B2771+"`FU!%&gt;\"</f>
        <v>#VALUE!</v>
      </c>
      <c r="EH84" t="e">
        <f>'Technical Skills Weighting'!B2772+"`FU!%&gt;]"</f>
        <v>#VALUE!</v>
      </c>
      <c r="EI84" t="e">
        <f>'Technical Skills Weighting'!B2773+"`FU!%&gt;^"</f>
        <v>#VALUE!</v>
      </c>
      <c r="EJ84" t="e">
        <f>'Technical Skills Weighting'!B2774+"`FU!%&gt;_"</f>
        <v>#VALUE!</v>
      </c>
      <c r="EK84" t="e">
        <f>'Technical Skills Weighting'!B2775+"`FU!%&gt;`"</f>
        <v>#VALUE!</v>
      </c>
      <c r="EL84" t="e">
        <f>'Technical Skills Weighting'!B2776+"`FU!%&gt;a"</f>
        <v>#VALUE!</v>
      </c>
      <c r="EM84" t="e">
        <f>'Technical Skills Weighting'!B2777+"`FU!%&gt;b"</f>
        <v>#VALUE!</v>
      </c>
      <c r="EN84" t="e">
        <f>'Technical Skills Weighting'!B2778+"`FU!%&gt;c"</f>
        <v>#VALUE!</v>
      </c>
      <c r="EO84" t="e">
        <f>'Technical Skills Weighting'!B2779+"`FU!%&gt;d"</f>
        <v>#VALUE!</v>
      </c>
      <c r="EP84" t="e">
        <f>'Technical Skills Weighting'!B2780+"`FU!%&gt;e"</f>
        <v>#VALUE!</v>
      </c>
      <c r="EQ84" t="e">
        <f>'Technical Skills Weighting'!B2781+"`FU!%&gt;f"</f>
        <v>#VALUE!</v>
      </c>
      <c r="ER84" t="e">
        <f>'Technical Skills Weighting'!B2782+"`FU!%&gt;g"</f>
        <v>#VALUE!</v>
      </c>
      <c r="ES84" t="e">
        <f>'Technical Skills Weighting'!B2783+"`FU!%&gt;h"</f>
        <v>#VALUE!</v>
      </c>
      <c r="ET84" t="e">
        <f>'Technical Skills Weighting'!B2784+"`FU!%&gt;i"</f>
        <v>#VALUE!</v>
      </c>
      <c r="EU84" t="e">
        <f>'Technical Skills Weighting'!B2785+"`FU!%&gt;j"</f>
        <v>#VALUE!</v>
      </c>
      <c r="EV84" t="e">
        <f>'Technical Skills Weighting'!B2786+"`FU!%&gt;k"</f>
        <v>#VALUE!</v>
      </c>
      <c r="EW84" t="e">
        <f>'Technical Skills Weighting'!B2787+"`FU!%&gt;l"</f>
        <v>#VALUE!</v>
      </c>
      <c r="EX84" t="e">
        <f>'Technical Skills Weighting'!B2788+"`FU!%&gt;m"</f>
        <v>#VALUE!</v>
      </c>
      <c r="EY84" t="e">
        <f>'Technical Skills Weighting'!B2789+"`FU!%&gt;n"</f>
        <v>#VALUE!</v>
      </c>
      <c r="EZ84" t="e">
        <f>'Technical Skills Weighting'!B2790+"`FU!%&gt;o"</f>
        <v>#VALUE!</v>
      </c>
      <c r="FA84" t="e">
        <f>'Technical Skills Weighting'!B2791+"`FU!%&gt;p"</f>
        <v>#VALUE!</v>
      </c>
      <c r="FB84" t="e">
        <f>'Technical Skills Weighting'!B2792+"`FU!%&gt;q"</f>
        <v>#VALUE!</v>
      </c>
      <c r="FC84" t="e">
        <f>'Technical Skills Weighting'!B2793+"`FU!%&gt;r"</f>
        <v>#VALUE!</v>
      </c>
      <c r="FD84" t="e">
        <f>'Technical Skills Weighting'!B2794+"`FU!%&gt;s"</f>
        <v>#VALUE!</v>
      </c>
      <c r="FE84" t="e">
        <f>'Technical Skills Weighting'!B2795+"`FU!%&gt;t"</f>
        <v>#VALUE!</v>
      </c>
      <c r="FF84" t="e">
        <f>'Technical Skills Weighting'!B2796+"`FU!%&gt;u"</f>
        <v>#VALUE!</v>
      </c>
      <c r="FG84" t="e">
        <f>'Technical Skills Weighting'!B2797+"`FU!%&gt;v"</f>
        <v>#VALUE!</v>
      </c>
      <c r="FH84" t="e">
        <f>'Technical Skills Weighting'!B2798+"`FU!%&gt;w"</f>
        <v>#VALUE!</v>
      </c>
      <c r="FI84" t="e">
        <f>'Technical Skills Weighting'!B2799+"`FU!%&gt;x"</f>
        <v>#VALUE!</v>
      </c>
      <c r="FJ84" t="e">
        <f>'Technical Skills Weighting'!B2800+"`FU!%&gt;y"</f>
        <v>#VALUE!</v>
      </c>
      <c r="FK84" t="e">
        <f>'Technical Skills Weighting'!B2801+"`FU!%&gt;z"</f>
        <v>#VALUE!</v>
      </c>
      <c r="FL84" t="e">
        <f>'Technical Skills Weighting'!B2802+"`FU!%&gt;{"</f>
        <v>#VALUE!</v>
      </c>
      <c r="FM84" t="e">
        <f>'Technical Skills Weighting'!B2803+"`FU!%&gt;|"</f>
        <v>#VALUE!</v>
      </c>
      <c r="FN84" t="e">
        <f>'Technical Skills Weighting'!B2804+"`FU!%&gt;}"</f>
        <v>#VALUE!</v>
      </c>
      <c r="FO84" t="e">
        <f>'Technical Skills Weighting'!B2805+"`FU!%&gt;~"</f>
        <v>#VALUE!</v>
      </c>
      <c r="FP84" t="e">
        <f>'Technical Skills Weighting'!B2806+"`FU!%?#"</f>
        <v>#VALUE!</v>
      </c>
      <c r="FQ84" t="e">
        <f>'Technical Skills Weighting'!B2807+"`FU!%?$"</f>
        <v>#VALUE!</v>
      </c>
      <c r="FR84" t="e">
        <f>'Technical Skills Weighting'!B2808+"`FU!%?%"</f>
        <v>#VALUE!</v>
      </c>
      <c r="FS84" t="e">
        <f>'Technical Skills Weighting'!B2809+"`FU!%?&amp;"</f>
        <v>#VALUE!</v>
      </c>
      <c r="FT84" t="e">
        <f>'Technical Skills Weighting'!B2810+"`FU!%?'"</f>
        <v>#VALUE!</v>
      </c>
      <c r="FU84" t="e">
        <f>'Technical Skills Weighting'!B2811+"`FU!%?("</f>
        <v>#VALUE!</v>
      </c>
      <c r="FV84" t="e">
        <f>'Technical Skills Weighting'!B2812+"`FU!%?)"</f>
        <v>#VALUE!</v>
      </c>
      <c r="FW84" t="e">
        <f>'Technical Skills Weighting'!B2813+"`FU!%?."</f>
        <v>#VALUE!</v>
      </c>
      <c r="FX84" t="e">
        <f>'Technical Skills Weighting'!B2814+"`FU!%?/"</f>
        <v>#VALUE!</v>
      </c>
      <c r="FY84" t="e">
        <f>'Technical Skills Weighting'!B2815+"`FU!%?0"</f>
        <v>#VALUE!</v>
      </c>
      <c r="FZ84" t="e">
        <f>'Technical Skills Weighting'!B2816+"`FU!%?1"</f>
        <v>#VALUE!</v>
      </c>
      <c r="GA84" t="e">
        <f>'Technical Skills Weighting'!B2817+"`FU!%?2"</f>
        <v>#VALUE!</v>
      </c>
      <c r="GB84" t="e">
        <f>'Technical Skills Weighting'!B2818+"`FU!%?3"</f>
        <v>#VALUE!</v>
      </c>
      <c r="GC84" t="e">
        <f>'Technical Skills Weighting'!B2819+"`FU!%?4"</f>
        <v>#VALUE!</v>
      </c>
      <c r="GD84" t="e">
        <f>'Technical Skills Weighting'!B2820+"`FU!%?5"</f>
        <v>#VALUE!</v>
      </c>
      <c r="GE84" t="e">
        <f>'Technical Skills Weighting'!B2821+"`FU!%?6"</f>
        <v>#VALUE!</v>
      </c>
      <c r="GF84" t="e">
        <f>'Technical Skills Weighting'!B2822+"`FU!%?7"</f>
        <v>#VALUE!</v>
      </c>
      <c r="GG84" t="e">
        <f>'Technical Skills Weighting'!B2823+"`FU!%?8"</f>
        <v>#VALUE!</v>
      </c>
      <c r="GH84" t="e">
        <f>'Technical Skills Weighting'!B2824+"`FU!%?9"</f>
        <v>#VALUE!</v>
      </c>
      <c r="GI84" t="e">
        <f>'Technical Skills Weighting'!B2825+"`FU!%?:"</f>
        <v>#VALUE!</v>
      </c>
      <c r="GJ84" t="e">
        <f>'Technical Skills Weighting'!B2826+"`FU!%?;"</f>
        <v>#VALUE!</v>
      </c>
      <c r="GK84" t="e">
        <f>'Technical Skills Weighting'!B2827+"`FU!%?&lt;"</f>
        <v>#VALUE!</v>
      </c>
      <c r="GL84" t="e">
        <f>'Technical Skills Weighting'!B2828+"`FU!%?="</f>
        <v>#VALUE!</v>
      </c>
      <c r="GM84" t="e">
        <f>'Technical Skills Weighting'!B2829+"`FU!%?&gt;"</f>
        <v>#VALUE!</v>
      </c>
      <c r="GN84" t="e">
        <f>'Technical Skills Weighting'!B2830+"`FU!%??"</f>
        <v>#VALUE!</v>
      </c>
      <c r="GO84" t="e">
        <f>'Technical Skills Weighting'!B2831+"`FU!%?@"</f>
        <v>#VALUE!</v>
      </c>
      <c r="GP84" t="e">
        <f>'Technical Skills Weighting'!B2832+"`FU!%?A"</f>
        <v>#VALUE!</v>
      </c>
      <c r="GQ84" t="e">
        <f>'Technical Skills Weighting'!B2833+"`FU!%?B"</f>
        <v>#VALUE!</v>
      </c>
      <c r="GR84" t="e">
        <f>'Technical Skills Weighting'!B2834+"`FU!%?C"</f>
        <v>#VALUE!</v>
      </c>
      <c r="GS84" t="e">
        <f>'Technical Skills Weighting'!B2835+"`FU!%?D"</f>
        <v>#VALUE!</v>
      </c>
      <c r="GT84" t="e">
        <f>'Technical Skills Weighting'!B2836+"`FU!%?E"</f>
        <v>#VALUE!</v>
      </c>
      <c r="GU84" t="e">
        <f>'Technical Skills Weighting'!B2837+"`FU!%?F"</f>
        <v>#VALUE!</v>
      </c>
      <c r="GV84" t="e">
        <f>'Technical Skills Weighting'!B2838+"`FU!%?G"</f>
        <v>#VALUE!</v>
      </c>
      <c r="GW84" t="e">
        <f>'Technical Skills Weighting'!B2839+"`FU!%?H"</f>
        <v>#VALUE!</v>
      </c>
      <c r="GX84" t="e">
        <f>'Technical Skills Weighting'!B2840+"`FU!%?I"</f>
        <v>#VALUE!</v>
      </c>
      <c r="GY84" t="e">
        <f>'Technical Skills Weighting'!B2841+"`FU!%?J"</f>
        <v>#VALUE!</v>
      </c>
      <c r="GZ84" t="e">
        <f>'Technical Skills Weighting'!B2842+"`FU!%?K"</f>
        <v>#VALUE!</v>
      </c>
      <c r="HA84" t="e">
        <f>'Technical Skills Weighting'!B2843+"`FU!%?L"</f>
        <v>#VALUE!</v>
      </c>
      <c r="HB84" t="e">
        <f>'Technical Skills Weighting'!B2844+"`FU!%?M"</f>
        <v>#VALUE!</v>
      </c>
      <c r="HC84" t="e">
        <f>'Technical Skills Weighting'!B2845+"`FU!%?N"</f>
        <v>#VALUE!</v>
      </c>
      <c r="HD84" t="e">
        <f>'Technical Skills Weighting'!B2846+"`FU!%?O"</f>
        <v>#VALUE!</v>
      </c>
      <c r="HE84" t="e">
        <f>'Technical Skills Weighting'!B2847+"`FU!%?P"</f>
        <v>#VALUE!</v>
      </c>
      <c r="HF84" t="e">
        <f>'Technical Skills Weighting'!B2848+"`FU!%?Q"</f>
        <v>#VALUE!</v>
      </c>
      <c r="HG84" t="e">
        <f>'Technical Skills Weighting'!B2849+"`FU!%?R"</f>
        <v>#VALUE!</v>
      </c>
      <c r="HH84" t="e">
        <f>'Technical Skills Weighting'!B2850+"`FU!%?S"</f>
        <v>#VALUE!</v>
      </c>
      <c r="HI84" t="e">
        <f>'Technical Skills Weighting'!B2851+"`FU!%?T"</f>
        <v>#VALUE!</v>
      </c>
      <c r="HJ84" t="e">
        <f>'Technical Skills Weighting'!B2852+"`FU!%?U"</f>
        <v>#VALUE!</v>
      </c>
      <c r="HK84" t="e">
        <f>'Technical Skills Weighting'!B2853+"`FU!%?V"</f>
        <v>#VALUE!</v>
      </c>
      <c r="HL84" t="e">
        <f>'Technical Skills Weighting'!B2854+"`FU!%?W"</f>
        <v>#VALUE!</v>
      </c>
      <c r="HM84" t="e">
        <f>'Technical Skills Weighting'!B2855+"`FU!%?X"</f>
        <v>#VALUE!</v>
      </c>
      <c r="HN84" t="e">
        <f>'Technical Skills Weighting'!B2856+"`FU!%?Y"</f>
        <v>#VALUE!</v>
      </c>
      <c r="HO84" t="e">
        <f>'Technical Skills Weighting'!B2857+"`FU!%?Z"</f>
        <v>#VALUE!</v>
      </c>
      <c r="HP84" t="e">
        <f>'Technical Skills Weighting'!B2858+"`FU!%?["</f>
        <v>#VALUE!</v>
      </c>
      <c r="HQ84" t="e">
        <f>'Technical Skills Weighting'!B2859+"`FU!%?\"</f>
        <v>#VALUE!</v>
      </c>
      <c r="HR84" t="e">
        <f>'Technical Skills Weighting'!B2860+"`FU!%?]"</f>
        <v>#VALUE!</v>
      </c>
      <c r="HS84" t="e">
        <f>'Technical Skills Weighting'!B2861+"`FU!%?^"</f>
        <v>#VALUE!</v>
      </c>
      <c r="HT84" t="e">
        <f>'Technical Skills Weighting'!B2862+"`FU!%?_"</f>
        <v>#VALUE!</v>
      </c>
      <c r="HU84" t="e">
        <f>'Technical Skills Weighting'!B2863+"`FU!%?`"</f>
        <v>#VALUE!</v>
      </c>
      <c r="HV84" t="e">
        <f>'Technical Skills Weighting'!B2864+"`FU!%?a"</f>
        <v>#VALUE!</v>
      </c>
      <c r="HW84" t="e">
        <f>'Technical Skills Weighting'!B2865+"`FU!%?b"</f>
        <v>#VALUE!</v>
      </c>
      <c r="HX84" t="e">
        <f>'Technical Skills Weighting'!B2866+"`FU!%?c"</f>
        <v>#VALUE!</v>
      </c>
      <c r="HY84" t="e">
        <f>'Technical Skills Weighting'!B2867+"`FU!%?d"</f>
        <v>#VALUE!</v>
      </c>
      <c r="HZ84" t="e">
        <f>'Technical Skills Weighting'!B2868+"`FU!%?e"</f>
        <v>#VALUE!</v>
      </c>
      <c r="IA84" t="e">
        <f>'Technical Skills Weighting'!B2869+"`FU!%?f"</f>
        <v>#VALUE!</v>
      </c>
      <c r="IB84" t="e">
        <f>'Technical Skills Weighting'!B2870+"`FU!%?g"</f>
        <v>#VALUE!</v>
      </c>
      <c r="IC84" t="e">
        <f>'Technical Skills Weighting'!B2871+"`FU!%?h"</f>
        <v>#VALUE!</v>
      </c>
      <c r="ID84" t="e">
        <f>'Technical Skills Weighting'!B2872+"`FU!%?i"</f>
        <v>#VALUE!</v>
      </c>
      <c r="IE84" t="e">
        <f>'Technical Skills Weighting'!B2873+"`FU!%?j"</f>
        <v>#VALUE!</v>
      </c>
      <c r="IF84" t="e">
        <f>'Technical Skills Weighting'!B2874+"`FU!%?k"</f>
        <v>#VALUE!</v>
      </c>
      <c r="IG84" t="e">
        <f>'Technical Skills Weighting'!B2875+"`FU!%?l"</f>
        <v>#VALUE!</v>
      </c>
      <c r="IH84" t="e">
        <f>'Technical Skills Weighting'!B2876+"`FU!%?m"</f>
        <v>#VALUE!</v>
      </c>
      <c r="II84" t="e">
        <f>'Technical Skills Weighting'!B2877+"`FU!%?n"</f>
        <v>#VALUE!</v>
      </c>
      <c r="IJ84" t="e">
        <f>'Technical Skills Weighting'!B2878+"`FU!%?o"</f>
        <v>#VALUE!</v>
      </c>
      <c r="IK84" t="e">
        <f>'Technical Skills Weighting'!B2879+"`FU!%?p"</f>
        <v>#VALUE!</v>
      </c>
      <c r="IL84" t="e">
        <f>'Technical Skills Weighting'!B2880+"`FU!%?q"</f>
        <v>#VALUE!</v>
      </c>
      <c r="IM84" t="e">
        <f>'Technical Skills Weighting'!B2881+"`FU!%?r"</f>
        <v>#VALUE!</v>
      </c>
      <c r="IN84" t="e">
        <f>'Technical Skills Weighting'!B2882+"`FU!%?s"</f>
        <v>#VALUE!</v>
      </c>
      <c r="IO84" t="e">
        <f>'Technical Skills Weighting'!B2883+"`FU!%?t"</f>
        <v>#VALUE!</v>
      </c>
      <c r="IP84" t="e">
        <f>'Technical Skills Weighting'!B2884+"`FU!%?u"</f>
        <v>#VALUE!</v>
      </c>
      <c r="IQ84" t="e">
        <f>'Technical Skills Weighting'!B2885+"`FU!%?v"</f>
        <v>#VALUE!</v>
      </c>
      <c r="IR84" t="e">
        <f>'Technical Skills Weighting'!B2886+"`FU!%?w"</f>
        <v>#VALUE!</v>
      </c>
      <c r="IS84" t="e">
        <f>'Technical Skills Weighting'!B2887+"`FU!%?x"</f>
        <v>#VALUE!</v>
      </c>
      <c r="IT84" t="e">
        <f>'Technical Skills Weighting'!B2888+"`FU!%?y"</f>
        <v>#VALUE!</v>
      </c>
      <c r="IU84" t="e">
        <f>'Technical Skills Weighting'!B2889+"`FU!%?z"</f>
        <v>#VALUE!</v>
      </c>
      <c r="IV84" t="e">
        <f>'Technical Skills Weighting'!B2890+"`FU!%?{"</f>
        <v>#VALUE!</v>
      </c>
    </row>
    <row r="85" spans="6:256" x14ac:dyDescent="0.25">
      <c r="F85" t="e">
        <f>'Technical Skills Weighting'!B2891+"`FU!%?|"</f>
        <v>#VALUE!</v>
      </c>
      <c r="G85" t="e">
        <f>'Technical Skills Weighting'!B2892+"`FU!%?}"</f>
        <v>#VALUE!</v>
      </c>
      <c r="H85" t="e">
        <f>'Technical Skills Weighting'!B2893+"`FU!%?~"</f>
        <v>#VALUE!</v>
      </c>
      <c r="I85" t="e">
        <f>'Technical Skills Weighting'!B2894+"`FU!%@#"</f>
        <v>#VALUE!</v>
      </c>
      <c r="J85" t="e">
        <f>'Technical Skills Weighting'!B2895+"`FU!%@$"</f>
        <v>#VALUE!</v>
      </c>
      <c r="K85" t="e">
        <f>'Technical Skills Weighting'!B2896+"`FU!%@%"</f>
        <v>#VALUE!</v>
      </c>
      <c r="L85" t="e">
        <f>'Technical Skills Weighting'!B2897+"`FU!%@&amp;"</f>
        <v>#VALUE!</v>
      </c>
      <c r="M85" t="e">
        <f>'Technical Skills Weighting'!B2898+"`FU!%@'"</f>
        <v>#VALUE!</v>
      </c>
      <c r="N85" t="e">
        <f>'Technical Skills Weighting'!B2899+"`FU!%@("</f>
        <v>#VALUE!</v>
      </c>
      <c r="O85" t="e">
        <f>'Technical Skills Weighting'!B2900+"`FU!%@)"</f>
        <v>#VALUE!</v>
      </c>
      <c r="P85" t="e">
        <f>'Technical Skills Weighting'!B2901+"`FU!%@."</f>
        <v>#VALUE!</v>
      </c>
      <c r="Q85" t="e">
        <f>'Technical Skills Weighting'!B2902+"`FU!%@/"</f>
        <v>#VALUE!</v>
      </c>
      <c r="R85" t="e">
        <f>'Technical Skills Weighting'!B2903+"`FU!%@0"</f>
        <v>#VALUE!</v>
      </c>
      <c r="S85" t="e">
        <f>'Technical Skills Weighting'!B2904+"`FU!%@1"</f>
        <v>#VALUE!</v>
      </c>
      <c r="T85" t="e">
        <f>'Technical Skills Weighting'!B2905+"`FU!%@2"</f>
        <v>#VALUE!</v>
      </c>
      <c r="U85" t="e">
        <f>'Technical Skills Weighting'!B2906+"`FU!%@3"</f>
        <v>#VALUE!</v>
      </c>
      <c r="V85" t="e">
        <f>'Technical Skills Weighting'!B2907+"`FU!%@4"</f>
        <v>#VALUE!</v>
      </c>
      <c r="W85" t="e">
        <f>'Technical Skills Weighting'!B2908+"`FU!%@5"</f>
        <v>#VALUE!</v>
      </c>
      <c r="X85" t="e">
        <f>'Technical Skills Weighting'!B2909+"`FU!%@6"</f>
        <v>#VALUE!</v>
      </c>
      <c r="Y85" t="e">
        <f>'Technical Skills Weighting'!B2910+"`FU!%@7"</f>
        <v>#VALUE!</v>
      </c>
      <c r="Z85" t="e">
        <f>'Technical Skills Weighting'!B2911+"`FU!%@8"</f>
        <v>#VALUE!</v>
      </c>
      <c r="AA85" t="e">
        <f>'Technical Skills Weighting'!B2912+"`FU!%@9"</f>
        <v>#VALUE!</v>
      </c>
      <c r="AB85" t="e">
        <f>'Technical Skills Weighting'!B2913+"`FU!%@:"</f>
        <v>#VALUE!</v>
      </c>
      <c r="AC85" t="e">
        <f>'Technical Skills Weighting'!B2914+"`FU!%@;"</f>
        <v>#VALUE!</v>
      </c>
      <c r="AD85" t="e">
        <f>'Technical Skills Weighting'!B2915+"`FU!%@&lt;"</f>
        <v>#VALUE!</v>
      </c>
      <c r="AE85" t="e">
        <f>'Technical Skills Weighting'!B2916+"`FU!%@="</f>
        <v>#VALUE!</v>
      </c>
      <c r="AF85" t="e">
        <f>'Technical Skills Weighting'!B2917+"`FU!%@&gt;"</f>
        <v>#VALUE!</v>
      </c>
      <c r="AG85" t="e">
        <f>'Technical Skills Weighting'!B2918+"`FU!%@?"</f>
        <v>#VALUE!</v>
      </c>
      <c r="AH85" t="e">
        <f>'Technical Skills Weighting'!B2919+"`FU!%@@"</f>
        <v>#VALUE!</v>
      </c>
      <c r="AI85" t="e">
        <f>'Technical Skills Weighting'!B2920+"`FU!%@A"</f>
        <v>#VALUE!</v>
      </c>
      <c r="AJ85" t="e">
        <f>'Technical Skills Weighting'!B2921+"`FU!%@B"</f>
        <v>#VALUE!</v>
      </c>
      <c r="AK85" t="e">
        <f>'Technical Skills Weighting'!B2922+"`FU!%@C"</f>
        <v>#VALUE!</v>
      </c>
      <c r="AL85" t="e">
        <f>'Technical Skills Weighting'!B2923+"`FU!%@D"</f>
        <v>#VALUE!</v>
      </c>
      <c r="AM85" t="e">
        <f>'Technical Skills Weighting'!B2924+"`FU!%@E"</f>
        <v>#VALUE!</v>
      </c>
      <c r="AN85" t="e">
        <f>'Technical Skills Weighting'!B2925+"`FU!%@F"</f>
        <v>#VALUE!</v>
      </c>
      <c r="AO85" t="e">
        <f>'Technical Skills Weighting'!B2926+"`FU!%@G"</f>
        <v>#VALUE!</v>
      </c>
      <c r="AP85" t="e">
        <f>'Technical Skills Weighting'!B2927+"`FU!%@H"</f>
        <v>#VALUE!</v>
      </c>
      <c r="AQ85" t="e">
        <f>'Technical Skills Weighting'!B2928+"`FU!%@I"</f>
        <v>#VALUE!</v>
      </c>
      <c r="AR85" t="e">
        <f>'Technical Skills Weighting'!B2929+"`FU!%@J"</f>
        <v>#VALUE!</v>
      </c>
      <c r="AS85" t="e">
        <f>'Technical Skills Weighting'!B2930+"`FU!%@K"</f>
        <v>#VALUE!</v>
      </c>
      <c r="AT85" t="e">
        <f>'Technical Skills Weighting'!B2931+"`FU!%@L"</f>
        <v>#VALUE!</v>
      </c>
      <c r="AU85" t="e">
        <f>'Technical Skills Weighting'!B2932+"`FU!%@M"</f>
        <v>#VALUE!</v>
      </c>
      <c r="AV85" t="e">
        <f>'Technical Skills Weighting'!B2933+"`FU!%@N"</f>
        <v>#VALUE!</v>
      </c>
      <c r="AW85" t="e">
        <f>'Technical Skills Weighting'!B2934+"`FU!%@O"</f>
        <v>#VALUE!</v>
      </c>
      <c r="AX85" t="e">
        <f>'Technical Skills Weighting'!B2935+"`FU!%@P"</f>
        <v>#VALUE!</v>
      </c>
      <c r="AY85" t="e">
        <f>'Technical Skills Weighting'!B2936+"`FU!%@Q"</f>
        <v>#VALUE!</v>
      </c>
      <c r="AZ85" t="e">
        <f>'Technical Skills Weighting'!B2937+"`FU!%@R"</f>
        <v>#VALUE!</v>
      </c>
      <c r="BA85" t="e">
        <f>'Technical Skills Weighting'!B2938+"`FU!%@S"</f>
        <v>#VALUE!</v>
      </c>
      <c r="BB85" t="e">
        <f>'Technical Skills Weighting'!B2939+"`FU!%@T"</f>
        <v>#VALUE!</v>
      </c>
      <c r="BC85" t="e">
        <f>'Technical Skills Weighting'!B2940+"`FU!%@U"</f>
        <v>#VALUE!</v>
      </c>
      <c r="BD85" t="e">
        <f>'Technical Skills Weighting'!B2941+"`FU!%@V"</f>
        <v>#VALUE!</v>
      </c>
      <c r="BE85" t="e">
        <f>'Technical Skills Weighting'!B2942+"`FU!%@W"</f>
        <v>#VALUE!</v>
      </c>
      <c r="BF85" t="e">
        <f>'Technical Skills Weighting'!B2943+"`FU!%@X"</f>
        <v>#VALUE!</v>
      </c>
      <c r="BG85" t="e">
        <f>'Technical Skills Weighting'!B2944+"`FU!%@Y"</f>
        <v>#VALUE!</v>
      </c>
      <c r="BH85" t="e">
        <f>'Technical Skills Weighting'!B2945+"`FU!%@Z"</f>
        <v>#VALUE!</v>
      </c>
      <c r="BI85" t="e">
        <f>'Technical Skills Weighting'!B2946+"`FU!%@["</f>
        <v>#VALUE!</v>
      </c>
      <c r="BJ85" t="e">
        <f>'Technical Skills Weighting'!B2947+"`FU!%@\"</f>
        <v>#VALUE!</v>
      </c>
      <c r="BK85" t="e">
        <f>'Technical Skills Weighting'!B2948+"`FU!%@]"</f>
        <v>#VALUE!</v>
      </c>
      <c r="BL85" t="e">
        <f>'Technical Skills Weighting'!B2949+"`FU!%@^"</f>
        <v>#VALUE!</v>
      </c>
      <c r="BM85" t="e">
        <f>'Technical Skills Weighting'!B2950+"`FU!%@_"</f>
        <v>#VALUE!</v>
      </c>
      <c r="BN85" t="e">
        <f>'Technical Skills Weighting'!B2951+"`FU!%@`"</f>
        <v>#VALUE!</v>
      </c>
      <c r="BO85" t="e">
        <f>'Technical Skills Weighting'!B2952+"`FU!%@a"</f>
        <v>#VALUE!</v>
      </c>
      <c r="BP85" t="e">
        <f>'Technical Skills Weighting'!B2953+"`FU!%@b"</f>
        <v>#VALUE!</v>
      </c>
      <c r="BQ85" t="e">
        <f>'Technical Skills Weighting'!B2954+"`FU!%@c"</f>
        <v>#VALUE!</v>
      </c>
      <c r="BR85" t="e">
        <f>'Technical Skills Weighting'!B2955+"`FU!%@d"</f>
        <v>#VALUE!</v>
      </c>
      <c r="BS85" t="e">
        <f>'Technical Skills Weighting'!B2956+"`FU!%@e"</f>
        <v>#VALUE!</v>
      </c>
      <c r="BT85" t="e">
        <f>'Technical Skills Weighting'!B2957+"`FU!%@f"</f>
        <v>#VALUE!</v>
      </c>
      <c r="BU85" t="e">
        <f>'Technical Skills Weighting'!B2958+"`FU!%@g"</f>
        <v>#VALUE!</v>
      </c>
      <c r="BV85" t="e">
        <f>'Technical Skills Weighting'!B2959+"`FU!%@h"</f>
        <v>#VALUE!</v>
      </c>
      <c r="BW85" t="e">
        <f>'Technical Skills Weighting'!B2960+"`FU!%@i"</f>
        <v>#VALUE!</v>
      </c>
      <c r="BX85" t="e">
        <f>'Technical Skills Weighting'!B2961+"`FU!%@j"</f>
        <v>#VALUE!</v>
      </c>
      <c r="BY85" t="e">
        <f>'Technical Skills Weighting'!B2962+"`FU!%@k"</f>
        <v>#VALUE!</v>
      </c>
      <c r="BZ85" t="e">
        <f>'Technical Skills Weighting'!B2963+"`FU!%@l"</f>
        <v>#VALUE!</v>
      </c>
      <c r="CA85" t="e">
        <f>'Technical Skills Weighting'!B2964+"`FU!%@m"</f>
        <v>#VALUE!</v>
      </c>
      <c r="CB85" t="e">
        <f>'Technical Skills Weighting'!B2965+"`FU!%@n"</f>
        <v>#VALUE!</v>
      </c>
      <c r="CC85" t="e">
        <f>'Technical Skills Weighting'!B2966+"`FU!%@o"</f>
        <v>#VALUE!</v>
      </c>
      <c r="CD85" t="e">
        <f>'Technical Skills Weighting'!B2967+"`FU!%@p"</f>
        <v>#VALUE!</v>
      </c>
      <c r="CE85" t="e">
        <f>'Technical Skills Weighting'!B2968+"`FU!%@q"</f>
        <v>#VALUE!</v>
      </c>
      <c r="CF85" t="e">
        <f>'Technical Skills Weighting'!B2969+"`FU!%@r"</f>
        <v>#VALUE!</v>
      </c>
      <c r="CG85" t="e">
        <f>'Technical Skills Weighting'!B2970+"`FU!%@s"</f>
        <v>#VALUE!</v>
      </c>
      <c r="CH85" t="e">
        <f>'Technical Skills Weighting'!B2971+"`FU!%@t"</f>
        <v>#VALUE!</v>
      </c>
      <c r="CI85" t="e">
        <f>'Technical Skills Weighting'!B2972+"`FU!%@u"</f>
        <v>#VALUE!</v>
      </c>
      <c r="CJ85" t="e">
        <f>'Technical Skills Weighting'!B2973+"`FU!%@v"</f>
        <v>#VALUE!</v>
      </c>
      <c r="CK85" t="e">
        <f>'Technical Skills Weighting'!B2974+"`FU!%@w"</f>
        <v>#VALUE!</v>
      </c>
      <c r="CL85" t="e">
        <f>'Technical Skills Weighting'!B2975+"`FU!%@x"</f>
        <v>#VALUE!</v>
      </c>
      <c r="CM85" t="e">
        <f>'Technical Skills Weighting'!B2976+"`FU!%@y"</f>
        <v>#VALUE!</v>
      </c>
      <c r="CN85" t="e">
        <f>'Technical Skills Weighting'!B2977+"`FU!%@z"</f>
        <v>#VALUE!</v>
      </c>
      <c r="CO85" t="e">
        <f>'Technical Skills Weighting'!B2978+"`FU!%@{"</f>
        <v>#VALUE!</v>
      </c>
      <c r="CP85" t="e">
        <f>'Technical Skills Weighting'!B2979+"`FU!%@|"</f>
        <v>#VALUE!</v>
      </c>
      <c r="CQ85" t="e">
        <f>'Technical Skills Weighting'!B2980+"`FU!%@}"</f>
        <v>#VALUE!</v>
      </c>
      <c r="CR85" t="e">
        <f>'Technical Skills Weighting'!B2981+"`FU!%@~"</f>
        <v>#VALUE!</v>
      </c>
      <c r="CS85" t="e">
        <f>'Technical Skills Weighting'!B2982+"`FU!%A#"</f>
        <v>#VALUE!</v>
      </c>
      <c r="CT85" t="e">
        <f>'Technical Skills Weighting'!B2983+"`FU!%A$"</f>
        <v>#VALUE!</v>
      </c>
      <c r="CU85" t="e">
        <f>'Technical Skills Weighting'!B2984+"`FU!%A%"</f>
        <v>#VALUE!</v>
      </c>
      <c r="CV85" t="e">
        <f>'Technical Skills Weighting'!B2985+"`FU!%A&amp;"</f>
        <v>#VALUE!</v>
      </c>
      <c r="CW85" t="e">
        <f>'Technical Skills Weighting'!B2986+"`FU!%A'"</f>
        <v>#VALUE!</v>
      </c>
      <c r="CX85" t="e">
        <f>'Technical Skills Weighting'!B2987+"`FU!%A("</f>
        <v>#VALUE!</v>
      </c>
      <c r="CY85" t="e">
        <f>'Technical Skills Weighting'!B2988+"`FU!%A)"</f>
        <v>#VALUE!</v>
      </c>
      <c r="CZ85" t="e">
        <f>'Technical Skills Weighting'!B2989+"`FU!%A."</f>
        <v>#VALUE!</v>
      </c>
      <c r="DA85" t="e">
        <f>'Technical Skills Weighting'!B2990+"`FU!%A/"</f>
        <v>#VALUE!</v>
      </c>
      <c r="DB85" t="e">
        <f>'Technical Skills Weighting'!B2991+"`FU!%A0"</f>
        <v>#VALUE!</v>
      </c>
      <c r="DC85" t="e">
        <f>'Technical Skills Weighting'!B2992+"`FU!%A1"</f>
        <v>#VALUE!</v>
      </c>
      <c r="DD85" t="e">
        <f>'Technical Skills Weighting'!B2993+"`FU!%A2"</f>
        <v>#VALUE!</v>
      </c>
      <c r="DE85" t="e">
        <f>'Technical Skills Weighting'!B2994+"`FU!%A3"</f>
        <v>#VALUE!</v>
      </c>
      <c r="DF85" t="e">
        <f>'Technical Skills Weighting'!B2995+"`FU!%A4"</f>
        <v>#VALUE!</v>
      </c>
      <c r="DG85" t="e">
        <f>'Technical Skills Weighting'!B2996+"`FU!%A5"</f>
        <v>#VALUE!</v>
      </c>
      <c r="DH85" t="e">
        <f>'Technical Skills Weighting'!B2997+"`FU!%A6"</f>
        <v>#VALUE!</v>
      </c>
      <c r="DI85" t="e">
        <f>'Technical Skills Weighting'!B2998+"`FU!%A7"</f>
        <v>#VALUE!</v>
      </c>
      <c r="DJ85" t="e">
        <f>'Technical Skills Weighting'!B2999+"`FU!%A8"</f>
        <v>#VALUE!</v>
      </c>
      <c r="DK85" t="e">
        <f>'Technical Skills Weighting'!B3000+"`FU!%A9"</f>
        <v>#VALUE!</v>
      </c>
      <c r="DL85" t="e">
        <f>'Technical Skills Weighting'!B3001+"`FU!%A:"</f>
        <v>#VALUE!</v>
      </c>
      <c r="DM85" t="e">
        <f>'Technical Skills Weighting'!B3002+"`FU!%A;"</f>
        <v>#VALUE!</v>
      </c>
      <c r="DN85" t="e">
        <f>'Technical Skills Weighting'!B3003+"`FU!%A&lt;"</f>
        <v>#VALUE!</v>
      </c>
      <c r="DO85" t="e">
        <f>'Technical Skills Weighting'!B3004+"`FU!%A="</f>
        <v>#VALUE!</v>
      </c>
      <c r="DP85" t="e">
        <f>'Technical Skills Weighting'!B3005+"`FU!%A&gt;"</f>
        <v>#VALUE!</v>
      </c>
      <c r="DQ85" t="e">
        <f>'Technical Skills Weighting'!B3006+"`FU!%A?"</f>
        <v>#VALUE!</v>
      </c>
      <c r="DR85" t="e">
        <f>'Technical Skills Weighting'!B3007+"`FU!%A@"</f>
        <v>#VALUE!</v>
      </c>
      <c r="DS85" t="e">
        <f>'Technical Skills Weighting'!B3008+"`FU!%AA"</f>
        <v>#VALUE!</v>
      </c>
      <c r="DT85" t="e">
        <f>'Technical Skills Weighting'!B3009+"`FU!%AB"</f>
        <v>#VALUE!</v>
      </c>
      <c r="DU85" t="e">
        <f>'Technical Skills Weighting'!B3010+"`FU!%AC"</f>
        <v>#VALUE!</v>
      </c>
      <c r="DV85" t="e">
        <f>'Technical Skills Weighting'!B3011+"`FU!%AD"</f>
        <v>#VALUE!</v>
      </c>
      <c r="DW85" t="e">
        <f>'Technical Skills Weighting'!B3012+"`FU!%AE"</f>
        <v>#VALUE!</v>
      </c>
      <c r="DX85" t="e">
        <f>'Technical Skills Weighting'!B3013+"`FU!%AF"</f>
        <v>#VALUE!</v>
      </c>
      <c r="DY85" t="e">
        <f>'Technical Skills Weighting'!B3014+"`FU!%AG"</f>
        <v>#VALUE!</v>
      </c>
      <c r="DZ85" t="e">
        <f>'Technical Skills Weighting'!B3015+"`FU!%AH"</f>
        <v>#VALUE!</v>
      </c>
      <c r="EA85" t="e">
        <f>'Technical Skills Weighting'!B3016+"`FU!%AI"</f>
        <v>#VALUE!</v>
      </c>
      <c r="EB85" t="e">
        <f>'Technical Skills Weighting'!B3017+"`FU!%AJ"</f>
        <v>#VALUE!</v>
      </c>
      <c r="EC85" t="e">
        <f>'Technical Skills Weighting'!B3018+"`FU!%AK"</f>
        <v>#VALUE!</v>
      </c>
      <c r="ED85" t="e">
        <f>'Technical Skills Weighting'!B3019+"`FU!%AL"</f>
        <v>#VALUE!</v>
      </c>
      <c r="EE85" t="e">
        <f>'Technical Skills Weighting'!B3020+"`FU!%AM"</f>
        <v>#VALUE!</v>
      </c>
      <c r="EF85" t="e">
        <f>'Technical Skills Weighting'!B3021+"`FU!%AN"</f>
        <v>#VALUE!</v>
      </c>
      <c r="EG85" t="e">
        <f>'Technical Skills Weighting'!B3022+"`FU!%AO"</f>
        <v>#VALUE!</v>
      </c>
      <c r="EH85" t="e">
        <f>'Technical Skills Weighting'!B3023+"`FU!%AP"</f>
        <v>#VALUE!</v>
      </c>
      <c r="EI85" t="e">
        <f>'Technical Skills Weighting'!B3024+"`FU!%AQ"</f>
        <v>#VALUE!</v>
      </c>
      <c r="EJ85" t="e">
        <f>'Technical Skills Weighting'!B3025+"`FU!%AR"</f>
        <v>#VALUE!</v>
      </c>
      <c r="EK85" t="e">
        <f>'Technical Skills Weighting'!B3026+"`FU!%AS"</f>
        <v>#VALUE!</v>
      </c>
      <c r="EL85" t="e">
        <f>'Technical Skills Weighting'!B3027+"`FU!%AT"</f>
        <v>#VALUE!</v>
      </c>
      <c r="EM85" t="e">
        <f>'Technical Skills Weighting'!B3028+"`FU!%AU"</f>
        <v>#VALUE!</v>
      </c>
      <c r="EN85" t="e">
        <f>'Technical Skills Weighting'!B3029+"`FU!%AV"</f>
        <v>#VALUE!</v>
      </c>
      <c r="EO85" t="e">
        <f>'Technical Skills Weighting'!B3030+"`FU!%AW"</f>
        <v>#VALUE!</v>
      </c>
      <c r="EP85" t="e">
        <f>'Technical Skills Weighting'!B3031+"`FU!%AX"</f>
        <v>#VALUE!</v>
      </c>
      <c r="EQ85" t="e">
        <f>'Technical Skills Weighting'!B3032+"`FU!%AY"</f>
        <v>#VALUE!</v>
      </c>
      <c r="ER85" t="e">
        <f>'Technical Skills Weighting'!B3033+"`FU!%AZ"</f>
        <v>#VALUE!</v>
      </c>
      <c r="ES85" t="e">
        <f>'Technical Skills Weighting'!B3034+"`FU!%A["</f>
        <v>#VALUE!</v>
      </c>
      <c r="ET85" t="e">
        <f>'Technical Skills Weighting'!B3035+"`FU!%A\"</f>
        <v>#VALUE!</v>
      </c>
      <c r="EU85" t="e">
        <f>'Technical Skills Weighting'!B3036+"`FU!%A]"</f>
        <v>#VALUE!</v>
      </c>
      <c r="EV85" t="e">
        <f>'Technical Skills Weighting'!B3037+"`FU!%A^"</f>
        <v>#VALUE!</v>
      </c>
      <c r="EW85" t="e">
        <f>'Technical Skills Weighting'!B3038+"`FU!%A_"</f>
        <v>#VALUE!</v>
      </c>
      <c r="EX85" t="e">
        <f>'Technical Skills Weighting'!B3039+"`FU!%A`"</f>
        <v>#VALUE!</v>
      </c>
      <c r="EY85" t="e">
        <f>'Technical Skills Weighting'!B3040+"`FU!%Aa"</f>
        <v>#VALUE!</v>
      </c>
      <c r="EZ85" t="e">
        <f>'Technical Skills Weighting'!B3041+"`FU!%Ab"</f>
        <v>#VALUE!</v>
      </c>
      <c r="FA85" t="e">
        <f>'Technical Skills Weighting'!B3042+"`FU!%Ac"</f>
        <v>#VALUE!</v>
      </c>
      <c r="FB85" t="e">
        <f>'Technical Skills Weighting'!B3043+"`FU!%Ad"</f>
        <v>#VALUE!</v>
      </c>
      <c r="FC85" t="e">
        <f>'Technical Skills Weighting'!B3044+"`FU!%Ae"</f>
        <v>#VALUE!</v>
      </c>
      <c r="FD85" t="e">
        <f>'Technical Skills Weighting'!B3045+"`FU!%Af"</f>
        <v>#VALUE!</v>
      </c>
      <c r="FE85" t="e">
        <f>'Technical Skills Weighting'!B3046+"`FU!%Ag"</f>
        <v>#VALUE!</v>
      </c>
      <c r="FF85" t="e">
        <f>'Technical Skills Weighting'!B3047+"`FU!%Ah"</f>
        <v>#VALUE!</v>
      </c>
      <c r="FG85" t="e">
        <f>'Technical Skills Weighting'!B3048+"`FU!%Ai"</f>
        <v>#VALUE!</v>
      </c>
      <c r="FH85" t="e">
        <f>'Technical Skills Weighting'!B3049+"`FU!%Aj"</f>
        <v>#VALUE!</v>
      </c>
      <c r="FI85" t="e">
        <f>'Technical Skills Weighting'!B3050+"`FU!%Ak"</f>
        <v>#VALUE!</v>
      </c>
      <c r="FJ85" t="e">
        <f>'Technical Skills Weighting'!B3051+"`FU!%Al"</f>
        <v>#VALUE!</v>
      </c>
      <c r="FK85" t="e">
        <f>'Technical Skills Weighting'!B3052+"`FU!%Am"</f>
        <v>#VALUE!</v>
      </c>
      <c r="FL85" t="e">
        <f>'Technical Skills Weighting'!B3053+"`FU!%An"</f>
        <v>#VALUE!</v>
      </c>
      <c r="FM85" t="e">
        <f>'Technical Skills Weighting'!B3054+"`FU!%Ao"</f>
        <v>#VALUE!</v>
      </c>
      <c r="FN85" t="e">
        <f>'Technical Skills Weighting'!B3055+"`FU!%Ap"</f>
        <v>#VALUE!</v>
      </c>
      <c r="FO85" t="e">
        <f>'Technical Skills Weighting'!B3056+"`FU!%Aq"</f>
        <v>#VALUE!</v>
      </c>
      <c r="FP85" t="e">
        <f>'Technical Skills Weighting'!B3057+"`FU!%Ar"</f>
        <v>#VALUE!</v>
      </c>
      <c r="FQ85" t="e">
        <f>'Technical Skills Weighting'!B3058+"`FU!%As"</f>
        <v>#VALUE!</v>
      </c>
      <c r="FR85" t="e">
        <f>'Technical Skills Weighting'!B3059+"`FU!%At"</f>
        <v>#VALUE!</v>
      </c>
      <c r="FS85" t="e">
        <f>'Technical Skills Weighting'!B3060+"`FU!%Au"</f>
        <v>#VALUE!</v>
      </c>
      <c r="FT85" t="e">
        <f>'Technical Skills Weighting'!B3061+"`FU!%Av"</f>
        <v>#VALUE!</v>
      </c>
      <c r="FU85" t="e">
        <f>'Technical Skills Weighting'!B3062+"`FU!%Aw"</f>
        <v>#VALUE!</v>
      </c>
      <c r="FV85" t="e">
        <f>'Technical Skills Weighting'!B3063+"`FU!%Ax"</f>
        <v>#VALUE!</v>
      </c>
      <c r="FW85" t="e">
        <f>'Technical Skills Weighting'!B3064+"`FU!%Ay"</f>
        <v>#VALUE!</v>
      </c>
      <c r="FX85" t="e">
        <f>'Technical Skills Weighting'!B3065+"`FU!%Az"</f>
        <v>#VALUE!</v>
      </c>
      <c r="FY85" t="e">
        <f>'Technical Skills Weighting'!B3066+"`FU!%A{"</f>
        <v>#VALUE!</v>
      </c>
      <c r="FZ85" t="e">
        <f>'Technical Skills Weighting'!B3067+"`FU!%A|"</f>
        <v>#VALUE!</v>
      </c>
      <c r="GA85" t="e">
        <f>'Technical Skills Weighting'!B3068+"`FU!%A}"</f>
        <v>#VALUE!</v>
      </c>
      <c r="GB85" t="e">
        <f>'Technical Skills Weighting'!B3069+"`FU!%A~"</f>
        <v>#VALUE!</v>
      </c>
      <c r="GC85" t="e">
        <f>'Technical Skills Weighting'!B3070+"`FU!%B#"</f>
        <v>#VALUE!</v>
      </c>
      <c r="GD85" t="e">
        <f>'Technical Skills Weighting'!B3071+"`FU!%B$"</f>
        <v>#VALUE!</v>
      </c>
      <c r="GE85" t="e">
        <f>'Technical Skills Weighting'!B3072+"`FU!%B%"</f>
        <v>#VALUE!</v>
      </c>
      <c r="GF85" t="e">
        <f>'Technical Skills Weighting'!B3073+"`FU!%B&amp;"</f>
        <v>#VALUE!</v>
      </c>
      <c r="GG85" t="e">
        <f>'Technical Skills Weighting'!B3074+"`FU!%B'"</f>
        <v>#VALUE!</v>
      </c>
      <c r="GH85" t="e">
        <f>'Technical Skills Weighting'!B3075+"`FU!%B("</f>
        <v>#VALUE!</v>
      </c>
      <c r="GI85" t="e">
        <f>'Technical Skills Weighting'!B3076+"`FU!%B)"</f>
        <v>#VALUE!</v>
      </c>
      <c r="GJ85" t="e">
        <f>'Technical Skills Weighting'!B3077+"`FU!%B."</f>
        <v>#VALUE!</v>
      </c>
      <c r="GK85" t="e">
        <f>'Technical Skills Weighting'!B3078+"`FU!%B/"</f>
        <v>#VALUE!</v>
      </c>
      <c r="GL85" t="e">
        <f>'Technical Skills Weighting'!B3079+"`FU!%B0"</f>
        <v>#VALUE!</v>
      </c>
      <c r="GM85" t="e">
        <f>'Technical Skills Weighting'!B3080+"`FU!%B1"</f>
        <v>#VALUE!</v>
      </c>
      <c r="GN85" t="e">
        <f>'Technical Skills Weighting'!B3081+"`FU!%B2"</f>
        <v>#VALUE!</v>
      </c>
      <c r="GO85" t="e">
        <f>'Technical Skills Weighting'!B3082+"`FU!%B3"</f>
        <v>#VALUE!</v>
      </c>
      <c r="GP85" t="e">
        <f>'Technical Skills Weighting'!B3083+"`FU!%B4"</f>
        <v>#VALUE!</v>
      </c>
      <c r="GQ85" t="e">
        <f>'Technical Skills Weighting'!B3084+"`FU!%B5"</f>
        <v>#VALUE!</v>
      </c>
      <c r="GR85" t="e">
        <f>'Technical Skills Weighting'!B3085+"`FU!%B6"</f>
        <v>#VALUE!</v>
      </c>
      <c r="GS85" t="e">
        <f>'Technical Skills Weighting'!B3086+"`FU!%B7"</f>
        <v>#VALUE!</v>
      </c>
      <c r="GT85" t="e">
        <f>'Technical Skills Weighting'!B3087+"`FU!%B8"</f>
        <v>#VALUE!</v>
      </c>
      <c r="GU85" t="e">
        <f>'Technical Skills Weighting'!B3088+"`FU!%B9"</f>
        <v>#VALUE!</v>
      </c>
      <c r="GV85" t="e">
        <f>'Technical Skills Weighting'!B3089+"`FU!%B:"</f>
        <v>#VALUE!</v>
      </c>
      <c r="GW85" t="e">
        <f>'Technical Skills Weighting'!B3090+"`FU!%B;"</f>
        <v>#VALUE!</v>
      </c>
      <c r="GX85" t="e">
        <f>'Technical Skills Weighting'!B3091+"`FU!%B&lt;"</f>
        <v>#VALUE!</v>
      </c>
      <c r="GY85" t="e">
        <f>'Technical Skills Weighting'!B3092+"`FU!%B="</f>
        <v>#VALUE!</v>
      </c>
      <c r="GZ85" t="e">
        <f>'Technical Skills Weighting'!B3093+"`FU!%B&gt;"</f>
        <v>#VALUE!</v>
      </c>
      <c r="HA85" t="e">
        <f>'Technical Skills Weighting'!B3094+"`FU!%B?"</f>
        <v>#VALUE!</v>
      </c>
      <c r="HB85" t="e">
        <f>'Technical Skills Weighting'!B3095+"`FU!%B@"</f>
        <v>#VALUE!</v>
      </c>
      <c r="HC85" t="e">
        <f>'Technical Skills Weighting'!B3096+"`FU!%BA"</f>
        <v>#VALUE!</v>
      </c>
      <c r="HD85" t="e">
        <f>'Technical Skills Weighting'!B3097+"`FU!%BB"</f>
        <v>#VALUE!</v>
      </c>
      <c r="HE85" t="e">
        <f>'Technical Skills Weighting'!B3098+"`FU!%BC"</f>
        <v>#VALUE!</v>
      </c>
      <c r="HF85" t="e">
        <f>'Technical Skills Weighting'!B3099+"`FU!%BD"</f>
        <v>#VALUE!</v>
      </c>
      <c r="HG85" t="e">
        <f>'Technical Skills Weighting'!B3100+"`FU!%BE"</f>
        <v>#VALUE!</v>
      </c>
      <c r="HH85" t="e">
        <f>'Technical Skills Weighting'!B3101+"`FU!%BF"</f>
        <v>#VALUE!</v>
      </c>
      <c r="HI85" t="e">
        <f>'Technical Skills Weighting'!B3102+"`FU!%BG"</f>
        <v>#VALUE!</v>
      </c>
      <c r="HJ85" t="e">
        <f>'Technical Skills Weighting'!B3103+"`FU!%BH"</f>
        <v>#VALUE!</v>
      </c>
      <c r="HK85" t="e">
        <f>'Technical Skills Weighting'!B3104+"`FU!%BI"</f>
        <v>#VALUE!</v>
      </c>
      <c r="HL85" t="e">
        <f>'Technical Skills Weighting'!B3105+"`FU!%BJ"</f>
        <v>#VALUE!</v>
      </c>
      <c r="HM85" t="e">
        <f>'Technical Skills Weighting'!B3106+"`FU!%BK"</f>
        <v>#VALUE!</v>
      </c>
      <c r="HN85" t="e">
        <f>'Technical Skills Weighting'!B3107+"`FU!%BL"</f>
        <v>#VALUE!</v>
      </c>
      <c r="HO85" t="e">
        <f>'Technical Skills Weighting'!B3108+"`FU!%BM"</f>
        <v>#VALUE!</v>
      </c>
      <c r="HP85" t="e">
        <f>'Technical Skills Weighting'!B3109+"`FU!%BN"</f>
        <v>#VALUE!</v>
      </c>
      <c r="HQ85" t="e">
        <f>'Technical Skills Weighting'!B3110+"`FU!%BO"</f>
        <v>#VALUE!</v>
      </c>
      <c r="HR85" t="e">
        <f>'Technical Skills Weighting'!B3111+"`FU!%BP"</f>
        <v>#VALUE!</v>
      </c>
      <c r="HS85" t="e">
        <f>'Technical Skills Weighting'!B3112+"`FU!%BQ"</f>
        <v>#VALUE!</v>
      </c>
      <c r="HT85" t="e">
        <f>'Technical Skills Weighting'!B3113+"`FU!%BR"</f>
        <v>#VALUE!</v>
      </c>
      <c r="HU85" t="e">
        <f>'Technical Skills Weighting'!B3114+"`FU!%BS"</f>
        <v>#VALUE!</v>
      </c>
      <c r="HV85" t="e">
        <f>'Technical Skills Weighting'!B3115+"`FU!%BT"</f>
        <v>#VALUE!</v>
      </c>
      <c r="HW85" t="e">
        <f>'Technical Skills Weighting'!B3116+"`FU!%BU"</f>
        <v>#VALUE!</v>
      </c>
      <c r="HX85" t="e">
        <f>'Technical Skills Weighting'!B3117+"`FU!%BV"</f>
        <v>#VALUE!</v>
      </c>
      <c r="HY85" t="e">
        <f>'Technical Skills Weighting'!B3118+"`FU!%BW"</f>
        <v>#VALUE!</v>
      </c>
      <c r="HZ85" t="e">
        <f>'Technical Skills Weighting'!B3119+"`FU!%BX"</f>
        <v>#VALUE!</v>
      </c>
      <c r="IA85" t="e">
        <f>'Technical Skills Weighting'!B3120+"`FU!%BY"</f>
        <v>#VALUE!</v>
      </c>
      <c r="IB85" t="e">
        <f>'Technical Skills Weighting'!B3121+"`FU!%BZ"</f>
        <v>#VALUE!</v>
      </c>
      <c r="IC85" t="e">
        <f>'Technical Skills Weighting'!B3122+"`FU!%B["</f>
        <v>#VALUE!</v>
      </c>
      <c r="ID85" t="e">
        <f>'Technical Skills Weighting'!B3123+"`FU!%B\"</f>
        <v>#VALUE!</v>
      </c>
      <c r="IE85" t="e">
        <f>'Technical Skills Weighting'!B3124+"`FU!%B]"</f>
        <v>#VALUE!</v>
      </c>
      <c r="IF85" t="e">
        <f>'Technical Skills Weighting'!B3125+"`FU!%B^"</f>
        <v>#VALUE!</v>
      </c>
      <c r="IG85" t="e">
        <f>'Technical Skills Weighting'!B3126+"`FU!%B_"</f>
        <v>#VALUE!</v>
      </c>
      <c r="IH85" t="e">
        <f>'Technical Skills Weighting'!B3127+"`FU!%B`"</f>
        <v>#VALUE!</v>
      </c>
      <c r="II85" t="e">
        <f>'Technical Skills Weighting'!B3128+"`FU!%Ba"</f>
        <v>#VALUE!</v>
      </c>
      <c r="IJ85" t="e">
        <f>'Technical Skills Weighting'!B3129+"`FU!%Bb"</f>
        <v>#VALUE!</v>
      </c>
      <c r="IK85" t="e">
        <f>'Technical Skills Weighting'!B3130+"`FU!%Bc"</f>
        <v>#VALUE!</v>
      </c>
      <c r="IL85" t="e">
        <f>'Technical Skills Weighting'!B3131+"`FU!%Bd"</f>
        <v>#VALUE!</v>
      </c>
      <c r="IM85" t="e">
        <f>'Technical Skills Weighting'!B3132+"`FU!%Be"</f>
        <v>#VALUE!</v>
      </c>
      <c r="IN85" t="e">
        <f>'Technical Skills Weighting'!B3133+"`FU!%Bf"</f>
        <v>#VALUE!</v>
      </c>
      <c r="IO85" t="e">
        <f>'Technical Skills Weighting'!B3134+"`FU!%Bg"</f>
        <v>#VALUE!</v>
      </c>
      <c r="IP85" t="e">
        <f>'Technical Skills Weighting'!B3135+"`FU!%Bh"</f>
        <v>#VALUE!</v>
      </c>
      <c r="IQ85" t="e">
        <f>'Technical Skills Weighting'!B3136+"`FU!%Bi"</f>
        <v>#VALUE!</v>
      </c>
      <c r="IR85" t="e">
        <f>'Technical Skills Weighting'!B3137+"`FU!%Bj"</f>
        <v>#VALUE!</v>
      </c>
      <c r="IS85" t="e">
        <f>'Technical Skills Weighting'!B3138+"`FU!%Bk"</f>
        <v>#VALUE!</v>
      </c>
      <c r="IT85" t="e">
        <f>'Technical Skills Weighting'!B3139+"`FU!%Bl"</f>
        <v>#VALUE!</v>
      </c>
      <c r="IU85" t="e">
        <f>'Technical Skills Weighting'!B3140+"`FU!%Bm"</f>
        <v>#VALUE!</v>
      </c>
      <c r="IV85" t="e">
        <f>'Technical Skills Weighting'!B3141+"`FU!%Bn"</f>
        <v>#VALUE!</v>
      </c>
    </row>
    <row r="86" spans="6:256" x14ac:dyDescent="0.25">
      <c r="F86" t="e">
        <f>'Technical Skills Weighting'!B3142+"`FU!%Bo"</f>
        <v>#VALUE!</v>
      </c>
      <c r="G86" t="e">
        <f>'Technical Skills Weighting'!B3143+"`FU!%Bp"</f>
        <v>#VALUE!</v>
      </c>
      <c r="H86" t="e">
        <f>'Technical Skills Weighting'!B3144+"`FU!%Bq"</f>
        <v>#VALUE!</v>
      </c>
      <c r="I86" t="e">
        <f>'Technical Skills Weighting'!B3145+"`FU!%Br"</f>
        <v>#VALUE!</v>
      </c>
      <c r="J86" t="e">
        <f>'Technical Skills Weighting'!B3146+"`FU!%Bs"</f>
        <v>#VALUE!</v>
      </c>
      <c r="K86" t="e">
        <f>'Technical Skills Weighting'!B3147+"`FU!%Bt"</f>
        <v>#VALUE!</v>
      </c>
      <c r="L86" t="e">
        <f>'Technical Skills Weighting'!B3148+"`FU!%Bu"</f>
        <v>#VALUE!</v>
      </c>
      <c r="M86" t="e">
        <f>'Technical Skills Weighting'!B3149+"`FU!%Bv"</f>
        <v>#VALUE!</v>
      </c>
      <c r="N86" t="e">
        <f>'Technical Skills Weighting'!B3150+"`FU!%Bw"</f>
        <v>#VALUE!</v>
      </c>
      <c r="O86" t="e">
        <f>'Technical Skills Weighting'!B3151+"`FU!%Bx"</f>
        <v>#VALUE!</v>
      </c>
      <c r="P86" t="e">
        <f>'Technical Skills Weighting'!B3152+"`FU!%By"</f>
        <v>#VALUE!</v>
      </c>
      <c r="Q86" t="e">
        <f>'Technical Skills Weighting'!B3153+"`FU!%Bz"</f>
        <v>#VALUE!</v>
      </c>
      <c r="R86" t="e">
        <f>'Technical Skills Weighting'!B3154+"`FU!%B{"</f>
        <v>#VALUE!</v>
      </c>
      <c r="S86" t="e">
        <f>'Technical Skills Weighting'!B3155+"`FU!%B|"</f>
        <v>#VALUE!</v>
      </c>
      <c r="T86" t="e">
        <f>'Technical Skills Weighting'!B3156+"`FU!%B}"</f>
        <v>#VALUE!</v>
      </c>
      <c r="U86" t="e">
        <f>'Technical Skills Weighting'!B3157+"`FU!%B~"</f>
        <v>#VALUE!</v>
      </c>
      <c r="V86" t="e">
        <f>'Technical Skills Weighting'!B3158+"`FU!%C#"</f>
        <v>#VALUE!</v>
      </c>
      <c r="W86" t="e">
        <f>'Technical Skills Weighting'!B3159+"`FU!%C$"</f>
        <v>#VALUE!</v>
      </c>
      <c r="X86" t="e">
        <f>'Technical Skills Weighting'!B3160+"`FU!%C%"</f>
        <v>#VALUE!</v>
      </c>
      <c r="Y86" t="e">
        <f>'Technical Skills Weighting'!B3161+"`FU!%C&amp;"</f>
        <v>#VALUE!</v>
      </c>
      <c r="Z86" t="e">
        <f>'Technical Skills Weighting'!B3162+"`FU!%C'"</f>
        <v>#VALUE!</v>
      </c>
      <c r="AA86" t="e">
        <f>'Technical Skills Weighting'!B3163+"`FU!%C("</f>
        <v>#VALUE!</v>
      </c>
      <c r="AB86" t="e">
        <f>'Technical Skills Weighting'!B3164+"`FU!%C)"</f>
        <v>#VALUE!</v>
      </c>
      <c r="AC86" t="e">
        <f>'Technical Skills Weighting'!B3165+"`FU!%C."</f>
        <v>#VALUE!</v>
      </c>
      <c r="AD86" t="e">
        <f>'Technical Skills Weighting'!B3166+"`FU!%C/"</f>
        <v>#VALUE!</v>
      </c>
      <c r="AE86" t="e">
        <f>'Technical Skills Weighting'!B3167+"`FU!%C0"</f>
        <v>#VALUE!</v>
      </c>
      <c r="AF86" t="e">
        <f>'Technical Skills Weighting'!B3168+"`FU!%C1"</f>
        <v>#VALUE!</v>
      </c>
      <c r="AG86" t="e">
        <f>'Technical Skills Weighting'!B3169+"`FU!%C2"</f>
        <v>#VALUE!</v>
      </c>
      <c r="AH86" t="e">
        <f>'Technical Skills Weighting'!B3170+"`FU!%C3"</f>
        <v>#VALUE!</v>
      </c>
      <c r="AI86" t="e">
        <f>'Technical Skills Weighting'!B3171+"`FU!%C4"</f>
        <v>#VALUE!</v>
      </c>
      <c r="AJ86" t="e">
        <f>'Technical Skills Weighting'!B3172+"`FU!%C5"</f>
        <v>#VALUE!</v>
      </c>
      <c r="AK86" t="e">
        <f>'Technical Skills Weighting'!B3173+"`FU!%C6"</f>
        <v>#VALUE!</v>
      </c>
      <c r="AL86" t="e">
        <f>'Technical Skills Weighting'!B3174+"`FU!%C7"</f>
        <v>#VALUE!</v>
      </c>
      <c r="AM86" t="e">
        <f>'Technical Skills Weighting'!B3175+"`FU!%C8"</f>
        <v>#VALUE!</v>
      </c>
      <c r="AN86" t="e">
        <f>'Technical Skills Weighting'!B3176+"`FU!%C9"</f>
        <v>#VALUE!</v>
      </c>
      <c r="AO86" t="e">
        <f>'Technical Skills Weighting'!B3177+"`FU!%C:"</f>
        <v>#VALUE!</v>
      </c>
      <c r="AP86" t="e">
        <f>'Technical Skills Weighting'!B3178+"`FU!%C;"</f>
        <v>#VALUE!</v>
      </c>
      <c r="AQ86" t="e">
        <f>'Technical Skills Weighting'!B3179+"`FU!%C&lt;"</f>
        <v>#VALUE!</v>
      </c>
      <c r="AR86" t="e">
        <f>'Technical Skills Weighting'!B3180+"`FU!%C="</f>
        <v>#VALUE!</v>
      </c>
      <c r="AS86" t="e">
        <f>'Technical Skills Weighting'!B3181+"`FU!%C&gt;"</f>
        <v>#VALUE!</v>
      </c>
      <c r="AT86" t="e">
        <f>'Technical Skills Weighting'!B3182+"`FU!%C?"</f>
        <v>#VALUE!</v>
      </c>
      <c r="AU86" t="e">
        <f>'Technical Skills Weighting'!B3183+"`FU!%C@"</f>
        <v>#VALUE!</v>
      </c>
      <c r="AV86" t="e">
        <f>'Technical Skills Weighting'!B3184+"`FU!%CA"</f>
        <v>#VALUE!</v>
      </c>
      <c r="AW86" t="e">
        <f>'Technical Skills Weighting'!B3185+"`FU!%CB"</f>
        <v>#VALUE!</v>
      </c>
      <c r="AX86" t="e">
        <f>'Technical Skills Weighting'!B3186+"`FU!%CC"</f>
        <v>#VALUE!</v>
      </c>
      <c r="AY86" t="e">
        <f>'Technical Skills Weighting'!B3187+"`FU!%CD"</f>
        <v>#VALUE!</v>
      </c>
      <c r="AZ86" t="e">
        <f>'Technical Skills Weighting'!B3188+"`FU!%CE"</f>
        <v>#VALUE!</v>
      </c>
      <c r="BA86" t="e">
        <f>'Technical Skills Weighting'!B3189+"`FU!%CF"</f>
        <v>#VALUE!</v>
      </c>
      <c r="BB86" t="e">
        <f>'Technical Skills Weighting'!B3190+"`FU!%CG"</f>
        <v>#VALUE!</v>
      </c>
      <c r="BC86" t="e">
        <f>'Technical Skills Weighting'!B3191+"`FU!%CH"</f>
        <v>#VALUE!</v>
      </c>
      <c r="BD86" t="e">
        <f>'Technical Skills Weighting'!B3192+"`FU!%CI"</f>
        <v>#VALUE!</v>
      </c>
      <c r="BE86" t="e">
        <f>'Technical Skills Weighting'!B3193+"`FU!%CJ"</f>
        <v>#VALUE!</v>
      </c>
      <c r="BF86" t="e">
        <f>'Technical Skills Weighting'!B3194+"`FU!%CK"</f>
        <v>#VALUE!</v>
      </c>
      <c r="BG86" t="e">
        <f>'Technical Skills Weighting'!B3195+"`FU!%CL"</f>
        <v>#VALUE!</v>
      </c>
      <c r="BH86" t="e">
        <f>'Technical Skills Weighting'!B3196+"`FU!%CM"</f>
        <v>#VALUE!</v>
      </c>
      <c r="BI86" t="e">
        <f>'Technical Skills Weighting'!B3197+"`FU!%CN"</f>
        <v>#VALUE!</v>
      </c>
      <c r="BJ86" t="e">
        <f>'Technical Skills Weighting'!B3198+"`FU!%CO"</f>
        <v>#VALUE!</v>
      </c>
      <c r="BK86" t="e">
        <f>'Technical Skills Weighting'!B3199+"`FU!%CP"</f>
        <v>#VALUE!</v>
      </c>
      <c r="BL86" t="e">
        <f>'Technical Skills Weighting'!B3200+"`FU!%CQ"</f>
        <v>#VALUE!</v>
      </c>
      <c r="BM86" t="e">
        <f>'Technical Skills Weighting'!B3201+"`FU!%CR"</f>
        <v>#VALUE!</v>
      </c>
      <c r="BN86" t="e">
        <f>'Technical Skills Weighting'!B3202+"`FU!%CS"</f>
        <v>#VALUE!</v>
      </c>
      <c r="BO86" t="e">
        <f>'Technical Skills Weighting'!B3203+"`FU!%CT"</f>
        <v>#VALUE!</v>
      </c>
      <c r="BP86" t="e">
        <f>'Technical Skills Weighting'!B3204+"`FU!%CU"</f>
        <v>#VALUE!</v>
      </c>
      <c r="BQ86" t="e">
        <f>'Technical Skills Weighting'!B3205+"`FU!%CV"</f>
        <v>#VALUE!</v>
      </c>
      <c r="BR86" t="e">
        <f>'Technical Skills Weighting'!B3206+"`FU!%CW"</f>
        <v>#VALUE!</v>
      </c>
      <c r="BS86" t="e">
        <f>'Technical Skills Weighting'!B3207+"`FU!%CX"</f>
        <v>#VALUE!</v>
      </c>
      <c r="BT86" t="e">
        <f>'Technical Skills Weighting'!B3208+"`FU!%CY"</f>
        <v>#VALUE!</v>
      </c>
      <c r="BU86" t="e">
        <f>'Technical Skills Weighting'!B3209+"`FU!%CZ"</f>
        <v>#VALUE!</v>
      </c>
      <c r="BV86" t="e">
        <f>'Technical Skills Weighting'!B3210+"`FU!%C["</f>
        <v>#VALUE!</v>
      </c>
      <c r="BW86" t="e">
        <f>'Technical Skills Weighting'!B3211+"`FU!%C\"</f>
        <v>#VALUE!</v>
      </c>
      <c r="BX86" t="e">
        <f>'Technical Skills Weighting'!B3212+"`FU!%C]"</f>
        <v>#VALUE!</v>
      </c>
      <c r="BY86" t="e">
        <f>'Technical Skills Weighting'!B3213+"`FU!%C^"</f>
        <v>#VALUE!</v>
      </c>
      <c r="BZ86" t="e">
        <f>'Technical Skills Weighting'!B3214+"`FU!%C_"</f>
        <v>#VALUE!</v>
      </c>
      <c r="CA86" t="e">
        <f>'Technical Skills Weighting'!B3215+"`FU!%C`"</f>
        <v>#VALUE!</v>
      </c>
      <c r="CB86" t="e">
        <f>'Technical Skills Weighting'!B3216+"`FU!%Ca"</f>
        <v>#VALUE!</v>
      </c>
      <c r="CC86" t="e">
        <f>'Technical Skills Weighting'!B3217+"`FU!%Cb"</f>
        <v>#VALUE!</v>
      </c>
      <c r="CD86" t="e">
        <f>'Technical Skills Weighting'!B3218+"`FU!%Cc"</f>
        <v>#VALUE!</v>
      </c>
      <c r="CE86" t="e">
        <f>'Technical Skills Weighting'!B3219+"`FU!%Cd"</f>
        <v>#VALUE!</v>
      </c>
      <c r="CF86" t="e">
        <f>'Technical Skills Weighting'!B3220+"`FU!%Ce"</f>
        <v>#VALUE!</v>
      </c>
      <c r="CG86" t="e">
        <f>'Technical Skills Weighting'!B3221+"`FU!%Cf"</f>
        <v>#VALUE!</v>
      </c>
      <c r="CH86" t="e">
        <f>'Technical Skills Weighting'!B3222+"`FU!%Cg"</f>
        <v>#VALUE!</v>
      </c>
      <c r="CI86" t="e">
        <f>'Technical Skills Weighting'!B3223+"`FU!%Ch"</f>
        <v>#VALUE!</v>
      </c>
      <c r="CJ86" t="e">
        <f>'Technical Skills Weighting'!B3224+"`FU!%Ci"</f>
        <v>#VALUE!</v>
      </c>
      <c r="CK86" t="e">
        <f>'Technical Skills Weighting'!B3225+"`FU!%Cj"</f>
        <v>#VALUE!</v>
      </c>
      <c r="CL86" t="e">
        <f>'Technical Skills Weighting'!B3226+"`FU!%Ck"</f>
        <v>#VALUE!</v>
      </c>
      <c r="CM86" t="e">
        <f>'Technical Skills Weighting'!B3227+"`FU!%Cl"</f>
        <v>#VALUE!</v>
      </c>
      <c r="CN86" t="e">
        <f>'Technical Skills Weighting'!B3228+"`FU!%Cm"</f>
        <v>#VALUE!</v>
      </c>
      <c r="CO86" t="e">
        <f>'Technical Skills Weighting'!B3229+"`FU!%Cn"</f>
        <v>#VALUE!</v>
      </c>
      <c r="CP86" t="e">
        <f>'Technical Skills Weighting'!B3230+"`FU!%Co"</f>
        <v>#VALUE!</v>
      </c>
      <c r="CQ86" t="e">
        <f>'Technical Skills Weighting'!B3231+"`FU!%Cp"</f>
        <v>#VALUE!</v>
      </c>
      <c r="CR86" t="e">
        <f>'Technical Skills Weighting'!B3232+"`FU!%Cq"</f>
        <v>#VALUE!</v>
      </c>
      <c r="CS86" t="e">
        <f>'Technical Skills Weighting'!B3233+"`FU!%Cr"</f>
        <v>#VALUE!</v>
      </c>
      <c r="CT86" t="e">
        <f>'Technical Skills Weighting'!B3234+"`FU!%Cs"</f>
        <v>#VALUE!</v>
      </c>
      <c r="CU86" t="e">
        <f>'Technical Skills Weighting'!B3235+"`FU!%Ct"</f>
        <v>#VALUE!</v>
      </c>
      <c r="CV86" t="e">
        <f>'Technical Skills Weighting'!B3236+"`FU!%Cu"</f>
        <v>#VALUE!</v>
      </c>
      <c r="CW86" t="e">
        <f>'Technical Skills Weighting'!B3237+"`FU!%Cv"</f>
        <v>#VALUE!</v>
      </c>
      <c r="CX86" t="e">
        <f>'Technical Skills Weighting'!B3238+"`FU!%Cw"</f>
        <v>#VALUE!</v>
      </c>
      <c r="CY86" t="e">
        <f>'Technical Skills Weighting'!B3239+"`FU!%Cx"</f>
        <v>#VALUE!</v>
      </c>
      <c r="CZ86" t="e">
        <f>'Technical Skills Weighting'!B3240+"`FU!%Cy"</f>
        <v>#VALUE!</v>
      </c>
      <c r="DA86" t="e">
        <f>'Technical Skills Weighting'!B3241+"`FU!%Cz"</f>
        <v>#VALUE!</v>
      </c>
      <c r="DB86" t="e">
        <f>'Technical Skills Weighting'!B3242+"`FU!%C{"</f>
        <v>#VALUE!</v>
      </c>
      <c r="DC86" t="e">
        <f>'Technical Skills Weighting'!B3243+"`FU!%C|"</f>
        <v>#VALUE!</v>
      </c>
      <c r="DD86" t="e">
        <f>'Technical Skills Weighting'!B3244+"`FU!%C}"</f>
        <v>#VALUE!</v>
      </c>
      <c r="DE86" t="e">
        <f>'Technical Skills Weighting'!B3245+"`FU!%C~"</f>
        <v>#VALUE!</v>
      </c>
      <c r="DF86" t="e">
        <f>'Technical Skills Weighting'!B3246+"`FU!%D#"</f>
        <v>#VALUE!</v>
      </c>
      <c r="DG86" t="e">
        <f>'Technical Skills Weighting'!B3247+"`FU!%D$"</f>
        <v>#VALUE!</v>
      </c>
      <c r="DH86" t="e">
        <f>'Technical Skills Weighting'!B3248+"`FU!%D%"</f>
        <v>#VALUE!</v>
      </c>
      <c r="DI86" t="e">
        <f>'Technical Skills Weighting'!B3249+"`FU!%D&amp;"</f>
        <v>#VALUE!</v>
      </c>
      <c r="DJ86" t="e">
        <f>'Technical Skills Weighting'!B3250+"`FU!%D'"</f>
        <v>#VALUE!</v>
      </c>
      <c r="DK86" t="e">
        <f>'Technical Skills Weighting'!B3251+"`FU!%D("</f>
        <v>#VALUE!</v>
      </c>
      <c r="DL86" t="e">
        <f>'Technical Skills Weighting'!B3252+"`FU!%D)"</f>
        <v>#VALUE!</v>
      </c>
      <c r="DM86" t="e">
        <f>'Technical Skills Weighting'!B3253+"`FU!%D."</f>
        <v>#VALUE!</v>
      </c>
      <c r="DN86" t="e">
        <f>'Technical Skills Weighting'!B3254+"`FU!%D/"</f>
        <v>#VALUE!</v>
      </c>
      <c r="DO86" t="e">
        <f>'Technical Skills Weighting'!B3255+"`FU!%D0"</f>
        <v>#VALUE!</v>
      </c>
      <c r="DP86" t="e">
        <f>'Technical Skills Weighting'!B3256+"`FU!%D1"</f>
        <v>#VALUE!</v>
      </c>
      <c r="DQ86" t="e">
        <f>'Technical Skills Weighting'!B3257+"`FU!%D2"</f>
        <v>#VALUE!</v>
      </c>
      <c r="DR86" t="e">
        <f>'Technical Skills Weighting'!B3258+"`FU!%D3"</f>
        <v>#VALUE!</v>
      </c>
      <c r="DS86" t="e">
        <f>'Technical Skills Weighting'!B3259+"`FU!%D4"</f>
        <v>#VALUE!</v>
      </c>
      <c r="DT86" t="e">
        <f>'Technical Skills Weighting'!B3260+"`FU!%D5"</f>
        <v>#VALUE!</v>
      </c>
      <c r="DU86" t="e">
        <f>'Technical Skills Weighting'!B3261+"`FU!%D6"</f>
        <v>#VALUE!</v>
      </c>
      <c r="DV86" t="e">
        <f>'Technical Skills Weighting'!B3262+"`FU!%D7"</f>
        <v>#VALUE!</v>
      </c>
      <c r="DW86" t="e">
        <f>'Technical Skills Weighting'!B3263+"`FU!%D8"</f>
        <v>#VALUE!</v>
      </c>
      <c r="DX86" t="e">
        <f>'Technical Skills Weighting'!B3264+"`FU!%D9"</f>
        <v>#VALUE!</v>
      </c>
      <c r="DY86" t="e">
        <f>'Technical Skills Weighting'!B3265+"`FU!%D:"</f>
        <v>#VALUE!</v>
      </c>
      <c r="DZ86" t="e">
        <f>'Technical Skills Weighting'!B3266+"`FU!%D;"</f>
        <v>#VALUE!</v>
      </c>
      <c r="EA86" t="e">
        <f>'Technical Skills Weighting'!B3267+"`FU!%D&lt;"</f>
        <v>#VALUE!</v>
      </c>
      <c r="EB86" t="e">
        <f>'Technical Skills Weighting'!B3268+"`FU!%D="</f>
        <v>#VALUE!</v>
      </c>
      <c r="EC86" t="e">
        <f>'Technical Skills Weighting'!B3269+"`FU!%D&gt;"</f>
        <v>#VALUE!</v>
      </c>
      <c r="ED86" t="e">
        <f>'Technical Skills Weighting'!B3270+"`FU!%D?"</f>
        <v>#VALUE!</v>
      </c>
      <c r="EE86" t="e">
        <f>'Technical Skills Weighting'!B3271+"`FU!%D@"</f>
        <v>#VALUE!</v>
      </c>
      <c r="EF86" t="e">
        <f>'Technical Skills Weighting'!B3272+"`FU!%DA"</f>
        <v>#VALUE!</v>
      </c>
      <c r="EG86" t="e">
        <f>'Technical Skills Weighting'!B3273+"`FU!%DB"</f>
        <v>#VALUE!</v>
      </c>
      <c r="EH86" t="e">
        <f>'Technical Skills Weighting'!B3274+"`FU!%DC"</f>
        <v>#VALUE!</v>
      </c>
      <c r="EI86" t="e">
        <f>'Technical Skills Weighting'!B3275+"`FU!%DD"</f>
        <v>#VALUE!</v>
      </c>
      <c r="EJ86" t="e">
        <f>'Technical Skills Weighting'!B3276+"`FU!%DE"</f>
        <v>#VALUE!</v>
      </c>
      <c r="EK86" t="e">
        <f>'Technical Skills Weighting'!B3277+"`FU!%DF"</f>
        <v>#VALUE!</v>
      </c>
      <c r="EL86" t="e">
        <f>'Technical Skills Weighting'!B3278+"`FU!%DG"</f>
        <v>#VALUE!</v>
      </c>
      <c r="EM86" t="e">
        <f>'Technical Skills Weighting'!B3279+"`FU!%DH"</f>
        <v>#VALUE!</v>
      </c>
      <c r="EN86" t="e">
        <f>'Technical Skills Weighting'!B3280+"`FU!%DI"</f>
        <v>#VALUE!</v>
      </c>
      <c r="EO86" t="e">
        <f>'Technical Skills Weighting'!B3281+"`FU!%DJ"</f>
        <v>#VALUE!</v>
      </c>
      <c r="EP86" t="e">
        <f>'Technical Skills Weighting'!B3282+"`FU!%DK"</f>
        <v>#VALUE!</v>
      </c>
      <c r="EQ86" t="e">
        <f>'Technical Skills Weighting'!B3283+"`FU!%DL"</f>
        <v>#VALUE!</v>
      </c>
      <c r="ER86" t="e">
        <f>'Technical Skills Weighting'!B3284+"`FU!%DM"</f>
        <v>#VALUE!</v>
      </c>
      <c r="ES86" t="e">
        <f>'Technical Skills Weighting'!B3285+"`FU!%DN"</f>
        <v>#VALUE!</v>
      </c>
      <c r="ET86" t="e">
        <f>'Technical Skills Weighting'!B3286+"`FU!%DO"</f>
        <v>#VALUE!</v>
      </c>
      <c r="EU86" t="e">
        <f>'Technical Skills Weighting'!B3287+"`FU!%DP"</f>
        <v>#VALUE!</v>
      </c>
      <c r="EV86" t="e">
        <f>'Technical Skills Weighting'!B3288+"`FU!%DQ"</f>
        <v>#VALUE!</v>
      </c>
      <c r="EW86" t="e">
        <f>'Technical Skills Weighting'!B3289+"`FU!%DR"</f>
        <v>#VALUE!</v>
      </c>
      <c r="EX86" t="e">
        <f>'Technical Skills Weighting'!B3290+"`FU!%DS"</f>
        <v>#VALUE!</v>
      </c>
      <c r="EY86" t="e">
        <f>'Technical Skills Weighting'!B3291+"`FU!%DT"</f>
        <v>#VALUE!</v>
      </c>
      <c r="EZ86" t="e">
        <f>'Technical Skills Weighting'!B3292+"`FU!%DU"</f>
        <v>#VALUE!</v>
      </c>
      <c r="FA86" t="e">
        <f>'Technical Skills Weighting'!B3293+"`FU!%DV"</f>
        <v>#VALUE!</v>
      </c>
      <c r="FB86" t="e">
        <f>'Technical Skills Weighting'!B3294+"`FU!%DW"</f>
        <v>#VALUE!</v>
      </c>
      <c r="FC86" t="e">
        <f>'Technical Skills Weighting'!B3295+"`FU!%DX"</f>
        <v>#VALUE!</v>
      </c>
      <c r="FD86" t="e">
        <f>'Technical Skills Weighting'!B3296+"`FU!%DY"</f>
        <v>#VALUE!</v>
      </c>
      <c r="FE86" t="e">
        <f>'Technical Skills Weighting'!B3297+"`FU!%DZ"</f>
        <v>#VALUE!</v>
      </c>
      <c r="FF86" t="e">
        <f>'Technical Skills Weighting'!B3298+"`FU!%D["</f>
        <v>#VALUE!</v>
      </c>
      <c r="FG86" t="e">
        <f>'Technical Skills Weighting'!B3299+"`FU!%D\"</f>
        <v>#VALUE!</v>
      </c>
      <c r="FH86" t="e">
        <f>'Technical Skills Weighting'!B3300+"`FU!%D]"</f>
        <v>#VALUE!</v>
      </c>
      <c r="FI86" t="e">
        <f>'Technical Skills Weighting'!B3301+"`FU!%D^"</f>
        <v>#VALUE!</v>
      </c>
      <c r="FJ86" t="e">
        <f>'Technical Skills Weighting'!B3302+"`FU!%D_"</f>
        <v>#VALUE!</v>
      </c>
      <c r="FK86" t="e">
        <f>'Technical Skills Weighting'!B3303+"`FU!%D`"</f>
        <v>#VALUE!</v>
      </c>
      <c r="FL86" t="e">
        <f>'Technical Skills Weighting'!B3304+"`FU!%Da"</f>
        <v>#VALUE!</v>
      </c>
      <c r="FM86" t="e">
        <f>'Technical Skills Weighting'!B3305+"`FU!%Db"</f>
        <v>#VALUE!</v>
      </c>
      <c r="FN86" t="e">
        <f>'Technical Skills Weighting'!B3306+"`FU!%Dc"</f>
        <v>#VALUE!</v>
      </c>
      <c r="FO86" t="e">
        <f>'Technical Skills Weighting'!B3307+"`FU!%Dd"</f>
        <v>#VALUE!</v>
      </c>
      <c r="FP86" t="e">
        <f>'Technical Skills Weighting'!B3308+"`FU!%De"</f>
        <v>#VALUE!</v>
      </c>
      <c r="FQ86" t="e">
        <f>'Technical Skills Weighting'!B3309+"`FU!%Df"</f>
        <v>#VALUE!</v>
      </c>
      <c r="FR86" t="e">
        <f>'Technical Skills Weighting'!B3310+"`FU!%Dg"</f>
        <v>#VALUE!</v>
      </c>
      <c r="FS86" t="e">
        <f>'Technical Skills Weighting'!B3311+"`FU!%Dh"</f>
        <v>#VALUE!</v>
      </c>
      <c r="FT86" t="e">
        <f>'Technical Skills Weighting'!B3312+"`FU!%Di"</f>
        <v>#VALUE!</v>
      </c>
      <c r="FU86" t="e">
        <f>'Technical Skills Weighting'!B3313+"`FU!%Dj"</f>
        <v>#VALUE!</v>
      </c>
      <c r="FV86" t="e">
        <f>'Technical Skills Weighting'!B3314+"`FU!%Dk"</f>
        <v>#VALUE!</v>
      </c>
      <c r="FW86" t="e">
        <f>'Technical Skills Weighting'!B3315+"`FU!%Dl"</f>
        <v>#VALUE!</v>
      </c>
      <c r="FX86" t="e">
        <f>'Technical Skills Weighting'!B3316+"`FU!%Dm"</f>
        <v>#VALUE!</v>
      </c>
      <c r="FY86" t="e">
        <f>'Technical Skills Weighting'!B3317+"`FU!%Dn"</f>
        <v>#VALUE!</v>
      </c>
      <c r="FZ86" t="e">
        <f>'Technical Skills Weighting'!B3318+"`FU!%Do"</f>
        <v>#VALUE!</v>
      </c>
      <c r="GA86" t="e">
        <f>'Technical Skills Weighting'!B3319+"`FU!%Dp"</f>
        <v>#VALUE!</v>
      </c>
      <c r="GB86" t="e">
        <f>'Technical Skills Weighting'!B3320+"`FU!%Dq"</f>
        <v>#VALUE!</v>
      </c>
      <c r="GC86" t="e">
        <f>'Technical Skills Weighting'!B3321+"`FU!%Dr"</f>
        <v>#VALUE!</v>
      </c>
      <c r="GD86" t="e">
        <f>'Technical Skills Weighting'!B3322+"`FU!%Ds"</f>
        <v>#VALUE!</v>
      </c>
      <c r="GE86" t="e">
        <f>'Technical Skills Weighting'!B3323+"`FU!%Dt"</f>
        <v>#VALUE!</v>
      </c>
      <c r="GF86" t="e">
        <f>'Technical Skills Weighting'!B3324+"`FU!%Du"</f>
        <v>#VALUE!</v>
      </c>
      <c r="GG86" t="e">
        <f>'Technical Skills Weighting'!B3325+"`FU!%Dv"</f>
        <v>#VALUE!</v>
      </c>
      <c r="GH86" t="e">
        <f>'Technical Skills Weighting'!B3326+"`FU!%Dw"</f>
        <v>#VALUE!</v>
      </c>
      <c r="GI86" t="e">
        <f>'Technical Skills Weighting'!B3327+"`FU!%Dx"</f>
        <v>#VALUE!</v>
      </c>
      <c r="GJ86" t="e">
        <f>'Technical Skills Weighting'!B3328+"`FU!%Dy"</f>
        <v>#VALUE!</v>
      </c>
      <c r="GK86" t="e">
        <f>'Technical Skills Weighting'!B3329+"`FU!%Dz"</f>
        <v>#VALUE!</v>
      </c>
      <c r="GL86" t="e">
        <f>'Technical Skills Weighting'!B3330+"`FU!%D{"</f>
        <v>#VALUE!</v>
      </c>
      <c r="GM86" t="e">
        <f>'Technical Skills Weighting'!B3331+"`FU!%D|"</f>
        <v>#VALUE!</v>
      </c>
      <c r="GN86" t="e">
        <f>'Technical Skills Weighting'!B3332+"`FU!%D}"</f>
        <v>#VALUE!</v>
      </c>
      <c r="GO86" t="e">
        <f>'Technical Skills Weighting'!B3333+"`FU!%D~"</f>
        <v>#VALUE!</v>
      </c>
      <c r="GP86" t="e">
        <f>'Technical Skills Weighting'!B3334+"`FU!%E#"</f>
        <v>#VALUE!</v>
      </c>
      <c r="GQ86" t="e">
        <f>'Technical Skills Weighting'!B3335+"`FU!%E$"</f>
        <v>#VALUE!</v>
      </c>
      <c r="GR86" t="e">
        <f>'Technical Skills Weighting'!B3336+"`FU!%E%"</f>
        <v>#VALUE!</v>
      </c>
      <c r="GS86" t="e">
        <f>'Technical Skills Weighting'!B3337+"`FU!%E&amp;"</f>
        <v>#VALUE!</v>
      </c>
      <c r="GT86" t="e">
        <f>'Technical Skills Weighting'!B3338+"`FU!%E'"</f>
        <v>#VALUE!</v>
      </c>
      <c r="GU86" t="e">
        <f>'Technical Skills Weighting'!B3339+"`FU!%E("</f>
        <v>#VALUE!</v>
      </c>
      <c r="GV86" t="e">
        <f>'Technical Skills Weighting'!B3340+"`FU!%E)"</f>
        <v>#VALUE!</v>
      </c>
      <c r="GW86" t="e">
        <f>'Technical Skills Weighting'!B3341+"`FU!%E."</f>
        <v>#VALUE!</v>
      </c>
      <c r="GX86" t="e">
        <f>'Technical Skills Weighting'!B3342+"`FU!%E/"</f>
        <v>#VALUE!</v>
      </c>
      <c r="GY86" t="e">
        <f>'Technical Skills Weighting'!B3343+"`FU!%E0"</f>
        <v>#VALUE!</v>
      </c>
      <c r="GZ86" t="e">
        <f>'Technical Skills Weighting'!B3344+"`FU!%E1"</f>
        <v>#VALUE!</v>
      </c>
      <c r="HA86" t="e">
        <f>'Technical Skills Weighting'!B3345+"`FU!%E2"</f>
        <v>#VALUE!</v>
      </c>
      <c r="HB86" t="e">
        <f>'Technical Skills Weighting'!B3346+"`FU!%E3"</f>
        <v>#VALUE!</v>
      </c>
      <c r="HC86" t="e">
        <f>'Technical Skills Weighting'!B3347+"`FU!%E4"</f>
        <v>#VALUE!</v>
      </c>
      <c r="HD86" t="e">
        <f>'Technical Skills Weighting'!B3348+"`FU!%E5"</f>
        <v>#VALUE!</v>
      </c>
      <c r="HE86" t="e">
        <f>'Technical Skills Weighting'!B3349+"`FU!%E6"</f>
        <v>#VALUE!</v>
      </c>
      <c r="HF86" t="e">
        <f>'Technical Skills Weighting'!B3350+"`FU!%E7"</f>
        <v>#VALUE!</v>
      </c>
      <c r="HG86" t="e">
        <f>'Technical Skills Weighting'!B3351+"`FU!%E8"</f>
        <v>#VALUE!</v>
      </c>
      <c r="HH86" t="e">
        <f>'Technical Skills Weighting'!B3352+"`FU!%E9"</f>
        <v>#VALUE!</v>
      </c>
      <c r="HI86" t="e">
        <f>'Technical Skills Weighting'!B3353+"`FU!%E:"</f>
        <v>#VALUE!</v>
      </c>
      <c r="HJ86" t="e">
        <f>'Technical Skills Weighting'!B3354+"`FU!%E;"</f>
        <v>#VALUE!</v>
      </c>
      <c r="HK86" t="e">
        <f>'Technical Skills Weighting'!B3355+"`FU!%E&lt;"</f>
        <v>#VALUE!</v>
      </c>
      <c r="HL86" t="e">
        <f>'Technical Skills Weighting'!B3356+"`FU!%E="</f>
        <v>#VALUE!</v>
      </c>
      <c r="HM86" t="e">
        <f>'Technical Skills Weighting'!B3357+"`FU!%E&gt;"</f>
        <v>#VALUE!</v>
      </c>
      <c r="HN86" t="e">
        <f>'Technical Skills Weighting'!B3358+"`FU!%E?"</f>
        <v>#VALUE!</v>
      </c>
      <c r="HO86" t="e">
        <f>'Technical Skills Weighting'!B3359+"`FU!%E@"</f>
        <v>#VALUE!</v>
      </c>
      <c r="HP86" t="e">
        <f>'Technical Skills Weighting'!B3360+"`FU!%EA"</f>
        <v>#VALUE!</v>
      </c>
      <c r="HQ86" t="e">
        <f>'Technical Skills Weighting'!B3361+"`FU!%EB"</f>
        <v>#VALUE!</v>
      </c>
      <c r="HR86" t="e">
        <f>'Technical Skills Weighting'!B3362+"`FU!%EC"</f>
        <v>#VALUE!</v>
      </c>
      <c r="HS86" t="e">
        <f>'Technical Skills Weighting'!B3363+"`FU!%ED"</f>
        <v>#VALUE!</v>
      </c>
      <c r="HT86" t="e">
        <f>'Technical Skills Weighting'!B3364+"`FU!%EE"</f>
        <v>#VALUE!</v>
      </c>
      <c r="HU86" t="e">
        <f>'Technical Skills Weighting'!B3365+"`FU!%EF"</f>
        <v>#VALUE!</v>
      </c>
      <c r="HV86" t="e">
        <f>'Technical Skills Weighting'!B3366+"`FU!%EG"</f>
        <v>#VALUE!</v>
      </c>
      <c r="HW86" t="e">
        <f>'Technical Skills Weighting'!B3367+"`FU!%EH"</f>
        <v>#VALUE!</v>
      </c>
      <c r="HX86" t="e">
        <f>'Technical Skills Weighting'!B3368+"`FU!%EI"</f>
        <v>#VALUE!</v>
      </c>
      <c r="HY86" t="e">
        <f>'Technical Skills Weighting'!B3369+"`FU!%EJ"</f>
        <v>#VALUE!</v>
      </c>
      <c r="HZ86" t="e">
        <f>'Technical Skills Weighting'!B3370+"`FU!%EK"</f>
        <v>#VALUE!</v>
      </c>
      <c r="IA86" t="e">
        <f>'Technical Skills Weighting'!B3371+"`FU!%EL"</f>
        <v>#VALUE!</v>
      </c>
      <c r="IB86" t="e">
        <f>'Technical Skills Weighting'!B3372+"`FU!%EM"</f>
        <v>#VALUE!</v>
      </c>
      <c r="IC86" t="e">
        <f>'Technical Skills Weighting'!B3373+"`FU!%EN"</f>
        <v>#VALUE!</v>
      </c>
      <c r="ID86" t="e">
        <f>'Technical Skills Weighting'!B3374+"`FU!%EO"</f>
        <v>#VALUE!</v>
      </c>
      <c r="IE86" t="e">
        <f>'Technical Skills Weighting'!B3375+"`FU!%EP"</f>
        <v>#VALUE!</v>
      </c>
      <c r="IF86" t="e">
        <f>'Technical Skills Weighting'!B3376+"`FU!%EQ"</f>
        <v>#VALUE!</v>
      </c>
      <c r="IG86" t="e">
        <f>'Technical Skills Weighting'!B3377+"`FU!%ER"</f>
        <v>#VALUE!</v>
      </c>
      <c r="IH86" t="e">
        <f>'Technical Skills Weighting'!B3378+"`FU!%ES"</f>
        <v>#VALUE!</v>
      </c>
      <c r="II86" t="e">
        <f>'Technical Skills Weighting'!B3379+"`FU!%ET"</f>
        <v>#VALUE!</v>
      </c>
      <c r="IJ86" t="e">
        <f>'Technical Skills Weighting'!B3380+"`FU!%EU"</f>
        <v>#VALUE!</v>
      </c>
      <c r="IK86" t="e">
        <f>'Technical Skills Weighting'!B3381+"`FU!%EV"</f>
        <v>#VALUE!</v>
      </c>
      <c r="IL86" t="e">
        <f>'Technical Skills Weighting'!B3382+"`FU!%EW"</f>
        <v>#VALUE!</v>
      </c>
      <c r="IM86" t="e">
        <f>'Technical Skills Weighting'!B3383+"`FU!%EX"</f>
        <v>#VALUE!</v>
      </c>
      <c r="IN86" t="e">
        <f>'Technical Skills Weighting'!B3384+"`FU!%EY"</f>
        <v>#VALUE!</v>
      </c>
      <c r="IO86" t="e">
        <f>'Technical Skills Weighting'!B3385+"`FU!%EZ"</f>
        <v>#VALUE!</v>
      </c>
      <c r="IP86" t="e">
        <f>'Technical Skills Weighting'!B3386+"`FU!%E["</f>
        <v>#VALUE!</v>
      </c>
      <c r="IQ86" t="e">
        <f>'Technical Skills Weighting'!B3387+"`FU!%E\"</f>
        <v>#VALUE!</v>
      </c>
      <c r="IR86" t="e">
        <f>'Technical Skills Weighting'!B3388+"`FU!%E]"</f>
        <v>#VALUE!</v>
      </c>
      <c r="IS86" t="e">
        <f>'Technical Skills Weighting'!B3389+"`FU!%E^"</f>
        <v>#VALUE!</v>
      </c>
      <c r="IT86" t="e">
        <f>'Technical Skills Weighting'!B3390+"`FU!%E_"</f>
        <v>#VALUE!</v>
      </c>
      <c r="IU86" t="e">
        <f>'Technical Skills Weighting'!B3391+"`FU!%E`"</f>
        <v>#VALUE!</v>
      </c>
      <c r="IV86" t="e">
        <f>'Technical Skills Weighting'!B3392+"`FU!%Ea"</f>
        <v>#VALUE!</v>
      </c>
    </row>
    <row r="87" spans="6:256" x14ac:dyDescent="0.25">
      <c r="F87" t="e">
        <f>'Technical Skills Weighting'!B3393+"`FU!%Eb"</f>
        <v>#VALUE!</v>
      </c>
      <c r="G87" t="e">
        <f>'Technical Skills Weighting'!B3394+"`FU!%Ec"</f>
        <v>#VALUE!</v>
      </c>
      <c r="H87" t="e">
        <f>'Technical Skills Weighting'!B3395+"`FU!%Ed"</f>
        <v>#VALUE!</v>
      </c>
      <c r="I87" t="e">
        <f>'Technical Skills Weighting'!B3396+"`FU!%Ee"</f>
        <v>#VALUE!</v>
      </c>
      <c r="J87" t="e">
        <f>'Technical Skills Weighting'!B3397+"`FU!%Ef"</f>
        <v>#VALUE!</v>
      </c>
      <c r="K87" t="e">
        <f>'Technical Skills Weighting'!B3398+"`FU!%Eg"</f>
        <v>#VALUE!</v>
      </c>
      <c r="L87" t="e">
        <f>'Technical Skills Weighting'!B3399+"`FU!%Eh"</f>
        <v>#VALUE!</v>
      </c>
      <c r="M87" t="e">
        <f>'Technical Skills Weighting'!B3400+"`FU!%Ei"</f>
        <v>#VALUE!</v>
      </c>
      <c r="N87" t="e">
        <f>'Technical Skills Weighting'!B3401+"`FU!%Ej"</f>
        <v>#VALUE!</v>
      </c>
      <c r="O87" t="e">
        <f>'Technical Skills Weighting'!B3402+"`FU!%Ek"</f>
        <v>#VALUE!</v>
      </c>
      <c r="P87" t="e">
        <f>'Technical Skills Weighting'!B3403+"`FU!%El"</f>
        <v>#VALUE!</v>
      </c>
      <c r="Q87" t="e">
        <f>'Technical Skills Weighting'!B3404+"`FU!%Em"</f>
        <v>#VALUE!</v>
      </c>
      <c r="R87" t="e">
        <f>'Technical Skills Weighting'!B3405+"`FU!%En"</f>
        <v>#VALUE!</v>
      </c>
      <c r="S87" t="e">
        <f>'Technical Skills Weighting'!B3406+"`FU!%Eo"</f>
        <v>#VALUE!</v>
      </c>
      <c r="T87" t="e">
        <f>'Technical Skills Weighting'!B3407+"`FU!%Ep"</f>
        <v>#VALUE!</v>
      </c>
      <c r="U87" t="e">
        <f>'Technical Skills Weighting'!B3408+"`FU!%Eq"</f>
        <v>#VALUE!</v>
      </c>
      <c r="V87" t="e">
        <f>'Technical Skills Weighting'!B3409+"`FU!%Er"</f>
        <v>#VALUE!</v>
      </c>
      <c r="W87" t="e">
        <f>'Technical Skills Weighting'!B3410+"`FU!%Es"</f>
        <v>#VALUE!</v>
      </c>
      <c r="X87" t="e">
        <f>'Technical Skills Weighting'!B3411+"`FU!%Et"</f>
        <v>#VALUE!</v>
      </c>
      <c r="Y87" t="e">
        <f>'Technical Skills Weighting'!B3412+"`FU!%Eu"</f>
        <v>#VALUE!</v>
      </c>
      <c r="Z87" t="e">
        <f>'Technical Skills Weighting'!B3413+"`FU!%Ev"</f>
        <v>#VALUE!</v>
      </c>
      <c r="AA87" t="e">
        <f>'Technical Skills Weighting'!B3414+"`FU!%Ew"</f>
        <v>#VALUE!</v>
      </c>
      <c r="AB87" t="e">
        <f>'Technical Skills Weighting'!B3415+"`FU!%Ex"</f>
        <v>#VALUE!</v>
      </c>
      <c r="AC87" t="e">
        <f>'Technical Skills Weighting'!B3416+"`FU!%Ey"</f>
        <v>#VALUE!</v>
      </c>
      <c r="AD87" t="e">
        <f>'Technical Skills Weighting'!B3417+"`FU!%Ez"</f>
        <v>#VALUE!</v>
      </c>
      <c r="AE87" t="e">
        <f>'Technical Skills Weighting'!B3418+"`FU!%E{"</f>
        <v>#VALUE!</v>
      </c>
      <c r="AF87" t="e">
        <f>'Technical Skills Weighting'!B3419+"`FU!%E|"</f>
        <v>#VALUE!</v>
      </c>
      <c r="AG87" t="e">
        <f>'Technical Skills Weighting'!B3420+"`FU!%E}"</f>
        <v>#VALUE!</v>
      </c>
      <c r="AH87" t="e">
        <f>'Technical Skills Weighting'!B3421+"`FU!%E~"</f>
        <v>#VALUE!</v>
      </c>
      <c r="AI87" t="e">
        <f>'Technical Skills Weighting'!B3422+"`FU!%F#"</f>
        <v>#VALUE!</v>
      </c>
      <c r="AJ87" t="e">
        <f>'Technical Skills Weighting'!B3423+"`FU!%F$"</f>
        <v>#VALUE!</v>
      </c>
      <c r="AK87" t="e">
        <f>'Technical Skills Weighting'!B3424+"`FU!%F%"</f>
        <v>#VALUE!</v>
      </c>
      <c r="AL87" t="e">
        <f>'Technical Skills Weighting'!B3425+"`FU!%F&amp;"</f>
        <v>#VALUE!</v>
      </c>
      <c r="AM87" t="e">
        <f>'Technical Skills Weighting'!B3426+"`FU!%F'"</f>
        <v>#VALUE!</v>
      </c>
      <c r="AN87" t="e">
        <f>'Technical Skills Weighting'!B3427+"`FU!%F("</f>
        <v>#VALUE!</v>
      </c>
      <c r="AO87" t="e">
        <f>'Technical Skills Weighting'!B3428+"`FU!%F)"</f>
        <v>#VALUE!</v>
      </c>
      <c r="AP87" t="e">
        <f>'Technical Skills Weighting'!B3429+"`FU!%F."</f>
        <v>#VALUE!</v>
      </c>
      <c r="AQ87" t="e">
        <f>'Technical Skills Weighting'!B3430+"`FU!%F/"</f>
        <v>#VALUE!</v>
      </c>
      <c r="AR87" t="e">
        <f>'Technical Skills Weighting'!B3431+"`FU!%F0"</f>
        <v>#VALUE!</v>
      </c>
      <c r="AS87" t="e">
        <f>'Technical Skills Weighting'!B3432+"`FU!%F1"</f>
        <v>#VALUE!</v>
      </c>
      <c r="AT87" t="e">
        <f>'Technical Skills Weighting'!B3433+"`FU!%F2"</f>
        <v>#VALUE!</v>
      </c>
      <c r="AU87" t="e">
        <f>'Technical Skills Weighting'!B3434+"`FU!%F3"</f>
        <v>#VALUE!</v>
      </c>
      <c r="AV87" t="e">
        <f>'Technical Skills Weighting'!B3435+"`FU!%F4"</f>
        <v>#VALUE!</v>
      </c>
      <c r="AW87" t="e">
        <f>'Technical Skills Weighting'!B3436+"`FU!%F5"</f>
        <v>#VALUE!</v>
      </c>
      <c r="AX87" t="e">
        <f>'Technical Skills Weighting'!B3437+"`FU!%F6"</f>
        <v>#VALUE!</v>
      </c>
      <c r="AY87" t="e">
        <f>'Technical Skills Weighting'!B3438+"`FU!%F7"</f>
        <v>#VALUE!</v>
      </c>
      <c r="AZ87" t="e">
        <f>'Technical Skills Weighting'!B3439+"`FU!%F8"</f>
        <v>#VALUE!</v>
      </c>
      <c r="BA87" t="e">
        <f>'Technical Skills Weighting'!B3440+"`FU!%F9"</f>
        <v>#VALUE!</v>
      </c>
      <c r="BB87" t="e">
        <f>'Technical Skills Weighting'!B3441+"`FU!%F:"</f>
        <v>#VALUE!</v>
      </c>
      <c r="BC87" t="e">
        <f>'Technical Skills Weighting'!B3442+"`FU!%F;"</f>
        <v>#VALUE!</v>
      </c>
      <c r="BD87" t="e">
        <f>'Technical Skills Weighting'!B3443+"`FU!%F&lt;"</f>
        <v>#VALUE!</v>
      </c>
      <c r="BE87" t="e">
        <f>'Technical Skills Weighting'!B3444+"`FU!%F="</f>
        <v>#VALUE!</v>
      </c>
      <c r="BF87" t="e">
        <f>'Technical Skills Weighting'!B3445+"`FU!%F&gt;"</f>
        <v>#VALUE!</v>
      </c>
      <c r="BG87" t="e">
        <f>'Technical Skills Weighting'!B3446+"`FU!%F?"</f>
        <v>#VALUE!</v>
      </c>
      <c r="BH87" t="e">
        <f>'Technical Skills Weighting'!B3447+"`FU!%F@"</f>
        <v>#VALUE!</v>
      </c>
      <c r="BI87" t="e">
        <f>'Technical Skills Weighting'!B3448+"`FU!%FA"</f>
        <v>#VALUE!</v>
      </c>
      <c r="BJ87" t="e">
        <f>'Technical Skills Weighting'!B3449+"`FU!%FB"</f>
        <v>#VALUE!</v>
      </c>
      <c r="BK87" t="e">
        <f>'Technical Skills Weighting'!B3450+"`FU!%FC"</f>
        <v>#VALUE!</v>
      </c>
      <c r="BL87" t="e">
        <f>'Technical Skills Weighting'!B3451+"`FU!%FD"</f>
        <v>#VALUE!</v>
      </c>
      <c r="BM87" t="e">
        <f>'Technical Skills Weighting'!B3452+"`FU!%FE"</f>
        <v>#VALUE!</v>
      </c>
      <c r="BN87" t="e">
        <f>'Technical Skills Weighting'!B3453+"`FU!%FF"</f>
        <v>#VALUE!</v>
      </c>
      <c r="BO87" t="e">
        <f>'Technical Skills Weighting'!B3454+"`FU!%FG"</f>
        <v>#VALUE!</v>
      </c>
      <c r="BP87" t="e">
        <f>'Technical Skills Weighting'!B3455+"`FU!%FH"</f>
        <v>#VALUE!</v>
      </c>
      <c r="BQ87" t="e">
        <f>'Technical Skills Weighting'!B3456+"`FU!%FI"</f>
        <v>#VALUE!</v>
      </c>
      <c r="BR87" t="e">
        <f>'Technical Skills Weighting'!B3457+"`FU!%FJ"</f>
        <v>#VALUE!</v>
      </c>
      <c r="BS87" t="e">
        <f>'Technical Skills Weighting'!B3458+"`FU!%FK"</f>
        <v>#VALUE!</v>
      </c>
      <c r="BT87" t="e">
        <f>'Technical Skills Weighting'!B3459+"`FU!%FL"</f>
        <v>#VALUE!</v>
      </c>
      <c r="BU87" t="e">
        <f>'Technical Skills Weighting'!B3460+"`FU!%FM"</f>
        <v>#VALUE!</v>
      </c>
      <c r="BV87" t="e">
        <f>'Technical Skills Weighting'!B3461+"`FU!%FN"</f>
        <v>#VALUE!</v>
      </c>
      <c r="BW87" t="e">
        <f>'Technical Skills Weighting'!B3462+"`FU!%FO"</f>
        <v>#VALUE!</v>
      </c>
      <c r="BX87" t="e">
        <f>'Technical Skills Weighting'!B3463+"`FU!%FP"</f>
        <v>#VALUE!</v>
      </c>
      <c r="BY87" t="e">
        <f>'Technical Skills Weighting'!B3464+"`FU!%FQ"</f>
        <v>#VALUE!</v>
      </c>
      <c r="BZ87" t="e">
        <f>'Technical Skills Weighting'!B3465+"`FU!%FR"</f>
        <v>#VALUE!</v>
      </c>
      <c r="CA87" t="e">
        <f>'Technical Skills Weighting'!B3466+"`FU!%FS"</f>
        <v>#VALUE!</v>
      </c>
      <c r="CB87" t="e">
        <f>'Technical Skills Weighting'!B3467+"`FU!%FT"</f>
        <v>#VALUE!</v>
      </c>
      <c r="CC87" t="e">
        <f>'Technical Skills Weighting'!B3468+"`FU!%FU"</f>
        <v>#VALUE!</v>
      </c>
      <c r="CD87" t="e">
        <f>'Technical Skills Weighting'!B3469+"`FU!%FV"</f>
        <v>#VALUE!</v>
      </c>
      <c r="CE87" t="e">
        <f>'Technical Skills Weighting'!B3470+"`FU!%FW"</f>
        <v>#VALUE!</v>
      </c>
      <c r="CF87" t="e">
        <f>'Technical Skills Weighting'!B3471+"`FU!%FX"</f>
        <v>#VALUE!</v>
      </c>
      <c r="CG87" t="e">
        <f>'Technical Skills Weighting'!B3472+"`FU!%FY"</f>
        <v>#VALUE!</v>
      </c>
      <c r="CH87" t="e">
        <f>'Technical Skills Weighting'!B3473+"`FU!%FZ"</f>
        <v>#VALUE!</v>
      </c>
      <c r="CI87" t="e">
        <f>'Technical Skills Weighting'!B3474+"`FU!%F["</f>
        <v>#VALUE!</v>
      </c>
      <c r="CJ87" t="e">
        <f>'Technical Skills Weighting'!B3475+"`FU!%F\"</f>
        <v>#VALUE!</v>
      </c>
      <c r="CK87" t="e">
        <f>'Technical Skills Weighting'!B3476+"`FU!%F]"</f>
        <v>#VALUE!</v>
      </c>
      <c r="CL87" t="e">
        <f>'Technical Skills Weighting'!B3477+"`FU!%F^"</f>
        <v>#VALUE!</v>
      </c>
      <c r="CM87" t="e">
        <f>'Technical Skills Weighting'!B3478+"`FU!%F_"</f>
        <v>#VALUE!</v>
      </c>
      <c r="CN87" t="e">
        <f>'Technical Skills Weighting'!B3479+"`FU!%F`"</f>
        <v>#VALUE!</v>
      </c>
      <c r="CO87" t="e">
        <f>'Technical Skills Weighting'!B3480+"`FU!%Fa"</f>
        <v>#VALUE!</v>
      </c>
      <c r="CP87" t="e">
        <f>'Technical Skills Weighting'!B3481+"`FU!%Fb"</f>
        <v>#VALUE!</v>
      </c>
      <c r="CQ87" t="e">
        <f>'Technical Skills Weighting'!B3482+"`FU!%Fc"</f>
        <v>#VALUE!</v>
      </c>
      <c r="CR87" t="e">
        <f>'Technical Skills Weighting'!B3483+"`FU!%Fd"</f>
        <v>#VALUE!</v>
      </c>
      <c r="CS87" t="e">
        <f>'Technical Skills Weighting'!B3484+"`FU!%Fe"</f>
        <v>#VALUE!</v>
      </c>
      <c r="CT87" t="e">
        <f>'Technical Skills Weighting'!B3485+"`FU!%Ff"</f>
        <v>#VALUE!</v>
      </c>
      <c r="CU87" t="e">
        <f>'Technical Skills Weighting'!B3486+"`FU!%Fg"</f>
        <v>#VALUE!</v>
      </c>
      <c r="CV87" t="e">
        <f>'Technical Skills Weighting'!B3487+"`FU!%Fh"</f>
        <v>#VALUE!</v>
      </c>
      <c r="CW87" t="e">
        <f>'Technical Skills Weighting'!B3488+"`FU!%Fi"</f>
        <v>#VALUE!</v>
      </c>
      <c r="CX87" t="e">
        <f>'Technical Skills Weighting'!B3489+"`FU!%Fj"</f>
        <v>#VALUE!</v>
      </c>
      <c r="CY87" t="e">
        <f>'Technical Skills Weighting'!B3490+"`FU!%Fk"</f>
        <v>#VALUE!</v>
      </c>
      <c r="CZ87" t="e">
        <f>'Technical Skills Weighting'!B3491+"`FU!%Fl"</f>
        <v>#VALUE!</v>
      </c>
      <c r="DA87" t="e">
        <f>'Technical Skills Weighting'!B3492+"`FU!%Fm"</f>
        <v>#VALUE!</v>
      </c>
      <c r="DB87" t="e">
        <f>'Technical Skills Weighting'!B3493+"`FU!%Fn"</f>
        <v>#VALUE!</v>
      </c>
      <c r="DC87" t="e">
        <f>'Technical Skills Weighting'!B3494+"`FU!%Fo"</f>
        <v>#VALUE!</v>
      </c>
      <c r="DD87" t="e">
        <f>'Technical Skills Weighting'!B3495+"`FU!%Fp"</f>
        <v>#VALUE!</v>
      </c>
      <c r="DE87" t="e">
        <f>'Technical Skills Weighting'!B3496+"`FU!%Fq"</f>
        <v>#VALUE!</v>
      </c>
      <c r="DF87" t="e">
        <f>'Technical Skills Weighting'!B3497+"`FU!%Fr"</f>
        <v>#VALUE!</v>
      </c>
      <c r="DG87" t="e">
        <f>'Technical Skills Weighting'!B3498+"`FU!%Fs"</f>
        <v>#VALUE!</v>
      </c>
      <c r="DH87" t="e">
        <f>'Technical Skills Weighting'!B3499+"`FU!%Ft"</f>
        <v>#VALUE!</v>
      </c>
      <c r="DI87" t="e">
        <f>'Technical Skills Weighting'!B3500+"`FU!%Fu"</f>
        <v>#VALUE!</v>
      </c>
      <c r="DJ87" t="e">
        <f>'Technical Skills Weighting'!B3501+"`FU!%Fv"</f>
        <v>#VALUE!</v>
      </c>
      <c r="DK87" t="e">
        <f>'Technical Skills Weighting'!B3502+"`FU!%Fw"</f>
        <v>#VALUE!</v>
      </c>
      <c r="DL87" t="e">
        <f>'Technical Skills Weighting'!B3503+"`FU!%Fx"</f>
        <v>#VALUE!</v>
      </c>
      <c r="DM87" t="e">
        <f>'Technical Skills Weighting'!B3504+"`FU!%Fy"</f>
        <v>#VALUE!</v>
      </c>
      <c r="DN87" t="e">
        <f>'Technical Skills Weighting'!B3505+"`FU!%Fz"</f>
        <v>#VALUE!</v>
      </c>
      <c r="DO87" t="e">
        <f>'Technical Skills Weighting'!B3506+"`FU!%F{"</f>
        <v>#VALUE!</v>
      </c>
      <c r="DP87" t="e">
        <f>'Technical Skills Weighting'!B3507+"`FU!%F|"</f>
        <v>#VALUE!</v>
      </c>
      <c r="DQ87" t="e">
        <f>'Technical Skills Weighting'!B3508+"`FU!%F}"</f>
        <v>#VALUE!</v>
      </c>
      <c r="DR87" t="e">
        <f>'Technical Skills Weighting'!B3509+"`FU!%F~"</f>
        <v>#VALUE!</v>
      </c>
      <c r="DS87" t="e">
        <f>'Technical Skills Weighting'!B3510+"`FU!%G#"</f>
        <v>#VALUE!</v>
      </c>
      <c r="DT87" t="e">
        <f>'Technical Skills Weighting'!B3511+"`FU!%G$"</f>
        <v>#VALUE!</v>
      </c>
      <c r="DU87" t="e">
        <f>'Technical Skills Weighting'!B3512+"`FU!%G%"</f>
        <v>#VALUE!</v>
      </c>
      <c r="DV87" t="e">
        <f>'Technical Skills Weighting'!B3513+"`FU!%G&amp;"</f>
        <v>#VALUE!</v>
      </c>
      <c r="DW87" t="e">
        <f>'Technical Skills Weighting'!B3514+"`FU!%G'"</f>
        <v>#VALUE!</v>
      </c>
      <c r="DX87" t="e">
        <f>'Technical Skills Weighting'!B3515+"`FU!%G("</f>
        <v>#VALUE!</v>
      </c>
      <c r="DY87" t="e">
        <f>'Technical Skills Weighting'!B3516+"`FU!%G)"</f>
        <v>#VALUE!</v>
      </c>
      <c r="DZ87" t="e">
        <f>'Technical Skills Weighting'!B3517+"`FU!%G."</f>
        <v>#VALUE!</v>
      </c>
      <c r="EA87" t="e">
        <f>'Technical Skills Weighting'!B3518+"`FU!%G/"</f>
        <v>#VALUE!</v>
      </c>
      <c r="EB87" t="e">
        <f>'Technical Skills Weighting'!B3519+"`FU!%G0"</f>
        <v>#VALUE!</v>
      </c>
      <c r="EC87" t="e">
        <f>'Technical Skills Weighting'!B3520+"`FU!%G1"</f>
        <v>#VALUE!</v>
      </c>
      <c r="ED87" t="e">
        <f>'Technical Skills Weighting'!B3521+"`FU!%G2"</f>
        <v>#VALUE!</v>
      </c>
      <c r="EE87" t="e">
        <f>'Technical Skills Weighting'!B3522+"`FU!%G3"</f>
        <v>#VALUE!</v>
      </c>
      <c r="EF87" t="e">
        <f>'Technical Skills Weighting'!B3523+"`FU!%G4"</f>
        <v>#VALUE!</v>
      </c>
      <c r="EG87" t="e">
        <f>'Technical Skills Weighting'!B3524+"`FU!%G5"</f>
        <v>#VALUE!</v>
      </c>
      <c r="EH87" t="e">
        <f>'Technical Skills Weighting'!B3525+"`FU!%G6"</f>
        <v>#VALUE!</v>
      </c>
      <c r="EI87" t="e">
        <f>'Technical Skills Weighting'!B3526+"`FU!%G7"</f>
        <v>#VALUE!</v>
      </c>
      <c r="EJ87" t="e">
        <f>'Technical Skills Weighting'!B3527+"`FU!%G8"</f>
        <v>#VALUE!</v>
      </c>
      <c r="EK87" t="e">
        <f>'Technical Skills Weighting'!B3528+"`FU!%G9"</f>
        <v>#VALUE!</v>
      </c>
      <c r="EL87" t="e">
        <f>'Technical Skills Weighting'!B3529+"`FU!%G:"</f>
        <v>#VALUE!</v>
      </c>
      <c r="EM87" t="e">
        <f>'Technical Skills Weighting'!B3530+"`FU!%G;"</f>
        <v>#VALUE!</v>
      </c>
      <c r="EN87" t="e">
        <f>'Technical Skills Weighting'!B3531+"`FU!%G&lt;"</f>
        <v>#VALUE!</v>
      </c>
      <c r="EO87" t="e">
        <f>'Technical Skills Weighting'!B3532+"`FU!%G="</f>
        <v>#VALUE!</v>
      </c>
      <c r="EP87" t="e">
        <f>'Technical Skills Weighting'!B3533+"`FU!%G&gt;"</f>
        <v>#VALUE!</v>
      </c>
      <c r="EQ87" t="e">
        <f>'Technical Skills Weighting'!B3534+"`FU!%G?"</f>
        <v>#VALUE!</v>
      </c>
      <c r="ER87" t="e">
        <f>'Technical Skills Weighting'!B3535+"`FU!%G@"</f>
        <v>#VALUE!</v>
      </c>
      <c r="ES87" t="e">
        <f>'Technical Skills Weighting'!B3536+"`FU!%GA"</f>
        <v>#VALUE!</v>
      </c>
      <c r="ET87" t="e">
        <f>'Technical Skills Weighting'!B3537+"`FU!%GB"</f>
        <v>#VALUE!</v>
      </c>
      <c r="EU87" t="e">
        <f>'Technical Skills Weighting'!B3538+"`FU!%GC"</f>
        <v>#VALUE!</v>
      </c>
      <c r="EV87" t="e">
        <f>'Technical Skills Weighting'!B3539+"`FU!%GD"</f>
        <v>#VALUE!</v>
      </c>
      <c r="EW87" t="e">
        <f>'Technical Skills Weighting'!B3540+"`FU!%GE"</f>
        <v>#VALUE!</v>
      </c>
      <c r="EX87" t="e">
        <f>'Technical Skills Weighting'!B3541+"`FU!%GF"</f>
        <v>#VALUE!</v>
      </c>
      <c r="EY87" t="e">
        <f>'Technical Skills Weighting'!B3542+"`FU!%GG"</f>
        <v>#VALUE!</v>
      </c>
      <c r="EZ87" t="e">
        <f>'Technical Skills Weighting'!B3543+"`FU!%GH"</f>
        <v>#VALUE!</v>
      </c>
      <c r="FA87" t="e">
        <f>'Technical Skills Weighting'!B3544+"`FU!%GI"</f>
        <v>#VALUE!</v>
      </c>
      <c r="FB87" t="e">
        <f>'Technical Skills Weighting'!B3545+"`FU!%GJ"</f>
        <v>#VALUE!</v>
      </c>
      <c r="FC87" t="e">
        <f>'Technical Skills Weighting'!B3546+"`FU!%GK"</f>
        <v>#VALUE!</v>
      </c>
      <c r="FD87" t="e">
        <f>'Technical Skills Weighting'!B3547+"`FU!%GL"</f>
        <v>#VALUE!</v>
      </c>
      <c r="FE87" t="e">
        <f>'Technical Skills Weighting'!B3548+"`FU!%GM"</f>
        <v>#VALUE!</v>
      </c>
      <c r="FF87" t="e">
        <f>'Technical Skills Weighting'!B3549+"`FU!%GN"</f>
        <v>#VALUE!</v>
      </c>
      <c r="FG87" t="e">
        <f>'Technical Skills Weighting'!B3550+"`FU!%GO"</f>
        <v>#VALUE!</v>
      </c>
      <c r="FH87" t="e">
        <f>'Technical Skills Weighting'!B3551+"`FU!%GP"</f>
        <v>#VALUE!</v>
      </c>
      <c r="FI87" t="e">
        <f>'Technical Skills Weighting'!B3552+"`FU!%GQ"</f>
        <v>#VALUE!</v>
      </c>
      <c r="FJ87" t="e">
        <f>'Technical Skills Weighting'!B3553+"`FU!%GR"</f>
        <v>#VALUE!</v>
      </c>
      <c r="FK87" t="e">
        <f>'Technical Skills Weighting'!B3554+"`FU!%GS"</f>
        <v>#VALUE!</v>
      </c>
      <c r="FL87" t="e">
        <f>'Technical Skills Weighting'!B3555+"`FU!%GT"</f>
        <v>#VALUE!</v>
      </c>
      <c r="FM87" t="e">
        <f>'Technical Skills Weighting'!B3556+"`FU!%GU"</f>
        <v>#VALUE!</v>
      </c>
      <c r="FN87" t="e">
        <f>'Technical Skills Weighting'!B3557+"`FU!%GV"</f>
        <v>#VALUE!</v>
      </c>
      <c r="FO87" t="e">
        <f>'Technical Skills Weighting'!B3558+"`FU!%GW"</f>
        <v>#VALUE!</v>
      </c>
      <c r="FP87" t="e">
        <f>'Technical Skills Weighting'!B3559+"`FU!%GX"</f>
        <v>#VALUE!</v>
      </c>
      <c r="FQ87" t="e">
        <f>'Technical Skills Weighting'!B3560+"`FU!%GY"</f>
        <v>#VALUE!</v>
      </c>
      <c r="FR87" t="e">
        <f>'Technical Skills Weighting'!B3561+"`FU!%GZ"</f>
        <v>#VALUE!</v>
      </c>
      <c r="FS87" t="e">
        <f>'Technical Skills Weighting'!B3562+"`FU!%G["</f>
        <v>#VALUE!</v>
      </c>
      <c r="FT87" t="e">
        <f>'Technical Skills Weighting'!B3563+"`FU!%G\"</f>
        <v>#VALUE!</v>
      </c>
      <c r="FU87" t="e">
        <f>'Technical Skills Weighting'!B3564+"`FU!%G]"</f>
        <v>#VALUE!</v>
      </c>
      <c r="FV87" t="e">
        <f>'Technical Skills Weighting'!B3565+"`FU!%G^"</f>
        <v>#VALUE!</v>
      </c>
      <c r="FW87" t="e">
        <f>'Technical Skills Weighting'!B3566+"`FU!%G_"</f>
        <v>#VALUE!</v>
      </c>
      <c r="FX87" t="e">
        <f>'Technical Skills Weighting'!B3567+"`FU!%G`"</f>
        <v>#VALUE!</v>
      </c>
      <c r="FY87" t="e">
        <f>'Technical Skills Weighting'!B3568+"`FU!%Ga"</f>
        <v>#VALUE!</v>
      </c>
      <c r="FZ87" t="e">
        <f>'Technical Skills Weighting'!B3569+"`FU!%Gb"</f>
        <v>#VALUE!</v>
      </c>
      <c r="GA87" t="e">
        <f>'Technical Skills Weighting'!B3570+"`FU!%Gc"</f>
        <v>#VALUE!</v>
      </c>
      <c r="GB87" t="e">
        <f>'Technical Skills Weighting'!B3571+"`FU!%Gd"</f>
        <v>#VALUE!</v>
      </c>
      <c r="GC87" t="e">
        <f>'Technical Skills Weighting'!B3572+"`FU!%Ge"</f>
        <v>#VALUE!</v>
      </c>
      <c r="GD87" t="e">
        <f>'Technical Skills Weighting'!B3573+"`FU!%Gf"</f>
        <v>#VALUE!</v>
      </c>
      <c r="GE87" t="e">
        <f>'Technical Skills Weighting'!B3574+"`FU!%Gg"</f>
        <v>#VALUE!</v>
      </c>
      <c r="GF87" t="e">
        <f>'Technical Skills Weighting'!B3575+"`FU!%Gh"</f>
        <v>#VALUE!</v>
      </c>
      <c r="GG87" t="e">
        <f>'Technical Skills Weighting'!B3576+"`FU!%Gi"</f>
        <v>#VALUE!</v>
      </c>
      <c r="GH87" t="e">
        <f>'Technical Skills Weighting'!B3577+"`FU!%Gj"</f>
        <v>#VALUE!</v>
      </c>
      <c r="GI87" t="e">
        <f>'Technical Skills Weighting'!B3578+"`FU!%Gk"</f>
        <v>#VALUE!</v>
      </c>
      <c r="GJ87" t="e">
        <f>'Technical Skills Weighting'!B3579+"`FU!%Gl"</f>
        <v>#VALUE!</v>
      </c>
      <c r="GK87" t="e">
        <f>'Technical Skills Weighting'!B3580+"`FU!%Gm"</f>
        <v>#VALUE!</v>
      </c>
      <c r="GL87" t="e">
        <f>'Technical Skills Weighting'!B3581+"`FU!%Gn"</f>
        <v>#VALUE!</v>
      </c>
      <c r="GM87" t="e">
        <f>'Technical Skills Weighting'!B3582+"`FU!%Go"</f>
        <v>#VALUE!</v>
      </c>
      <c r="GN87" t="e">
        <f>'Technical Skills Weighting'!B3583+"`FU!%Gp"</f>
        <v>#VALUE!</v>
      </c>
      <c r="GO87" t="e">
        <f>'Technical Skills Weighting'!B3584+"`FU!%Gq"</f>
        <v>#VALUE!</v>
      </c>
      <c r="GP87" t="e">
        <f>'Technical Skills Weighting'!B3585+"`FU!%Gr"</f>
        <v>#VALUE!</v>
      </c>
      <c r="GQ87" t="e">
        <f>'Technical Skills Weighting'!B3586+"`FU!%Gs"</f>
        <v>#VALUE!</v>
      </c>
      <c r="GR87" t="e">
        <f>'Technical Skills Weighting'!B3587+"`FU!%Gt"</f>
        <v>#VALUE!</v>
      </c>
      <c r="GS87" t="e">
        <f>'Technical Skills Weighting'!B3588+"`FU!%Gu"</f>
        <v>#VALUE!</v>
      </c>
      <c r="GT87" t="e">
        <f>'Technical Skills Weighting'!B3589+"`FU!%Gv"</f>
        <v>#VALUE!</v>
      </c>
      <c r="GU87" t="e">
        <f>'Technical Skills Weighting'!B3590+"`FU!%Gw"</f>
        <v>#VALUE!</v>
      </c>
      <c r="GV87" t="e">
        <f>'Technical Skills Weighting'!B3591+"`FU!%Gx"</f>
        <v>#VALUE!</v>
      </c>
      <c r="GW87" t="e">
        <f>'Technical Skills Weighting'!B3592+"`FU!%Gy"</f>
        <v>#VALUE!</v>
      </c>
      <c r="GX87" t="e">
        <f>'Technical Skills Weighting'!B3593+"`FU!%Gz"</f>
        <v>#VALUE!</v>
      </c>
      <c r="GY87" t="e">
        <f>'Technical Skills Weighting'!B3594+"`FU!%G{"</f>
        <v>#VALUE!</v>
      </c>
      <c r="GZ87" t="e">
        <f>'Technical Skills Weighting'!B3595+"`FU!%G|"</f>
        <v>#VALUE!</v>
      </c>
      <c r="HA87" t="e">
        <f>'Technical Skills Weighting'!B3596+"`FU!%G}"</f>
        <v>#VALUE!</v>
      </c>
      <c r="HB87" t="e">
        <f>'Technical Skills Weighting'!B3597+"`FU!%G~"</f>
        <v>#VALUE!</v>
      </c>
      <c r="HC87" t="e">
        <f>'Technical Skills Weighting'!B3598+"`FU!%H#"</f>
        <v>#VALUE!</v>
      </c>
      <c r="HD87" t="e">
        <f>'Technical Skills Weighting'!B3599+"`FU!%H$"</f>
        <v>#VALUE!</v>
      </c>
      <c r="HE87" t="e">
        <f>'Technical Skills Weighting'!B3600+"`FU!%H%"</f>
        <v>#VALUE!</v>
      </c>
      <c r="HF87" t="e">
        <f>'Technical Skills Weighting'!B3601+"`FU!%H&amp;"</f>
        <v>#VALUE!</v>
      </c>
      <c r="HG87" t="e">
        <f>'Technical Skills Weighting'!B3602+"`FU!%H'"</f>
        <v>#VALUE!</v>
      </c>
      <c r="HH87" t="e">
        <f>'Technical Skills Weighting'!B3603+"`FU!%H("</f>
        <v>#VALUE!</v>
      </c>
      <c r="HI87" t="e">
        <f>'Technical Skills Weighting'!B3604+"`FU!%H)"</f>
        <v>#VALUE!</v>
      </c>
      <c r="HJ87" t="e">
        <f>'Technical Skills Weighting'!B3605+"`FU!%H."</f>
        <v>#VALUE!</v>
      </c>
      <c r="HK87" t="e">
        <f>'Technical Skills Weighting'!B3606+"`FU!%H/"</f>
        <v>#VALUE!</v>
      </c>
      <c r="HL87" t="e">
        <f>'Technical Skills Weighting'!B3607+"`FU!%H0"</f>
        <v>#VALUE!</v>
      </c>
      <c r="HM87" t="e">
        <f>'Technical Skills Weighting'!B3608+"`FU!%H1"</f>
        <v>#VALUE!</v>
      </c>
      <c r="HN87" t="e">
        <f>'Technical Skills Weighting'!B3609+"`FU!%H2"</f>
        <v>#VALUE!</v>
      </c>
      <c r="HO87" t="e">
        <f>'Technical Skills Weighting'!B3610+"`FU!%H3"</f>
        <v>#VALUE!</v>
      </c>
      <c r="HP87" t="e">
        <f>'Technical Skills Weighting'!B3611+"`FU!%H4"</f>
        <v>#VALUE!</v>
      </c>
      <c r="HQ87" t="e">
        <f>'Technical Skills Weighting'!B3612+"`FU!%H5"</f>
        <v>#VALUE!</v>
      </c>
      <c r="HR87" t="e">
        <f>'Technical Skills Weighting'!B3613+"`FU!%H6"</f>
        <v>#VALUE!</v>
      </c>
      <c r="HS87" t="e">
        <f>'Technical Skills Weighting'!B3614+"`FU!%H7"</f>
        <v>#VALUE!</v>
      </c>
      <c r="HT87" t="e">
        <f>'Technical Skills Weighting'!B3615+"`FU!%H8"</f>
        <v>#VALUE!</v>
      </c>
      <c r="HU87" t="e">
        <f>'Technical Skills Weighting'!B3616+"`FU!%H9"</f>
        <v>#VALUE!</v>
      </c>
      <c r="HV87" t="e">
        <f>'Technical Skills Weighting'!B3617+"`FU!%H:"</f>
        <v>#VALUE!</v>
      </c>
      <c r="HW87" t="e">
        <f>'Technical Skills Weighting'!B3618+"`FU!%H;"</f>
        <v>#VALUE!</v>
      </c>
      <c r="HX87" t="e">
        <f>'Technical Skills Weighting'!B3619+"`FU!%H&lt;"</f>
        <v>#VALUE!</v>
      </c>
      <c r="HY87" t="e">
        <f>'Technical Skills Weighting'!B3620+"`FU!%H="</f>
        <v>#VALUE!</v>
      </c>
      <c r="HZ87" t="e">
        <f>'Technical Skills Weighting'!B3621+"`FU!%H&gt;"</f>
        <v>#VALUE!</v>
      </c>
      <c r="IA87" t="e">
        <f>'Technical Skills Weighting'!B3622+"`FU!%H?"</f>
        <v>#VALUE!</v>
      </c>
      <c r="IB87" t="e">
        <f>'Technical Skills Weighting'!B3623+"`FU!%H@"</f>
        <v>#VALUE!</v>
      </c>
      <c r="IC87" t="e">
        <f>'Technical Skills Weighting'!B3624+"`FU!%HA"</f>
        <v>#VALUE!</v>
      </c>
      <c r="ID87" t="e">
        <f>'Technical Skills Weighting'!B3625+"`FU!%HB"</f>
        <v>#VALUE!</v>
      </c>
      <c r="IE87" t="e">
        <f>'Technical Skills Weighting'!B3626+"`FU!%HC"</f>
        <v>#VALUE!</v>
      </c>
      <c r="IF87" t="e">
        <f>'Technical Skills Weighting'!B3627+"`FU!%HD"</f>
        <v>#VALUE!</v>
      </c>
      <c r="IG87" t="e">
        <f>'Technical Skills Weighting'!B3628+"`FU!%HE"</f>
        <v>#VALUE!</v>
      </c>
      <c r="IH87" t="e">
        <f>'Technical Skills Weighting'!B3629+"`FU!%HF"</f>
        <v>#VALUE!</v>
      </c>
      <c r="II87" t="e">
        <f>'Technical Skills Weighting'!B3630+"`FU!%HG"</f>
        <v>#VALUE!</v>
      </c>
      <c r="IJ87" t="e">
        <f>'Technical Skills Weighting'!B3631+"`FU!%HH"</f>
        <v>#VALUE!</v>
      </c>
      <c r="IK87" t="e">
        <f>'Technical Skills Weighting'!B3632+"`FU!%HI"</f>
        <v>#VALUE!</v>
      </c>
      <c r="IL87" t="e">
        <f>'Technical Skills Weighting'!B3633+"`FU!%HJ"</f>
        <v>#VALUE!</v>
      </c>
      <c r="IM87" t="e">
        <f>'Technical Skills Weighting'!B3634+"`FU!%HK"</f>
        <v>#VALUE!</v>
      </c>
      <c r="IN87" t="e">
        <f>'Technical Skills Weighting'!B3635+"`FU!%HL"</f>
        <v>#VALUE!</v>
      </c>
      <c r="IO87" t="e">
        <f>'Technical Skills Weighting'!B3636+"`FU!%HM"</f>
        <v>#VALUE!</v>
      </c>
      <c r="IP87" t="e">
        <f>'Technical Skills Weighting'!B3637+"`FU!%HN"</f>
        <v>#VALUE!</v>
      </c>
      <c r="IQ87" t="e">
        <f>'Technical Skills Weighting'!B3638+"`FU!%HO"</f>
        <v>#VALUE!</v>
      </c>
      <c r="IR87" t="e">
        <f>'Technical Skills Weighting'!B3639+"`FU!%HP"</f>
        <v>#VALUE!</v>
      </c>
      <c r="IS87" t="e">
        <f>'Technical Skills Weighting'!B3640+"`FU!%HQ"</f>
        <v>#VALUE!</v>
      </c>
      <c r="IT87" t="e">
        <f>'Technical Skills Weighting'!B3641+"`FU!%HR"</f>
        <v>#VALUE!</v>
      </c>
      <c r="IU87" t="e">
        <f>'Technical Skills Weighting'!B3642+"`FU!%HS"</f>
        <v>#VALUE!</v>
      </c>
      <c r="IV87" t="e">
        <f>'Technical Skills Weighting'!B3643+"`FU!%HT"</f>
        <v>#VALUE!</v>
      </c>
    </row>
    <row r="88" spans="6:256" x14ac:dyDescent="0.25">
      <c r="F88" t="e">
        <f>'Technical Skills Weighting'!B3644+"`FU!%HU"</f>
        <v>#VALUE!</v>
      </c>
      <c r="G88" t="e">
        <f>'Technical Skills Weighting'!B3645+"`FU!%HV"</f>
        <v>#VALUE!</v>
      </c>
      <c r="H88" t="e">
        <f>'Technical Skills Weighting'!B3646+"`FU!%HW"</f>
        <v>#VALUE!</v>
      </c>
      <c r="I88" t="e">
        <f>'Technical Skills Weighting'!B3647+"`FU!%HX"</f>
        <v>#VALUE!</v>
      </c>
      <c r="J88" t="e">
        <f>'Technical Skills Weighting'!B3648+"`FU!%HY"</f>
        <v>#VALUE!</v>
      </c>
      <c r="K88" t="e">
        <f>'Technical Skills Weighting'!B3649+"`FU!%HZ"</f>
        <v>#VALUE!</v>
      </c>
      <c r="L88" t="e">
        <f>'Technical Skills Weighting'!B3650+"`FU!%H["</f>
        <v>#VALUE!</v>
      </c>
      <c r="M88" t="e">
        <f>'Technical Skills Weighting'!B3651+"`FU!%H\"</f>
        <v>#VALUE!</v>
      </c>
      <c r="N88" t="e">
        <f>'Technical Skills Weighting'!B3652+"`FU!%H]"</f>
        <v>#VALUE!</v>
      </c>
      <c r="O88" t="e">
        <f>'Technical Skills Weighting'!B3653+"`FU!%H^"</f>
        <v>#VALUE!</v>
      </c>
      <c r="P88" t="e">
        <f>'Technical Skills Weighting'!B3654+"`FU!%H_"</f>
        <v>#VALUE!</v>
      </c>
      <c r="Q88" t="e">
        <f>'Technical Skills Weighting'!B3655+"`FU!%H`"</f>
        <v>#VALUE!</v>
      </c>
      <c r="R88" t="e">
        <f>'Technical Skills Weighting'!B3656+"`FU!%Ha"</f>
        <v>#VALUE!</v>
      </c>
      <c r="S88" t="e">
        <f>'Technical Skills Weighting'!B3657+"`FU!%Hb"</f>
        <v>#VALUE!</v>
      </c>
      <c r="T88" t="e">
        <f>'Technical Skills Weighting'!B3658+"`FU!%Hc"</f>
        <v>#VALUE!</v>
      </c>
      <c r="U88" t="e">
        <f>'Technical Skills Weighting'!B3659+"`FU!%Hd"</f>
        <v>#VALUE!</v>
      </c>
      <c r="V88" t="e">
        <f>'Technical Skills Weighting'!B3660+"`FU!%He"</f>
        <v>#VALUE!</v>
      </c>
      <c r="W88" t="e">
        <f>'Technical Skills Weighting'!B3661+"`FU!%Hf"</f>
        <v>#VALUE!</v>
      </c>
      <c r="X88" t="e">
        <f>'Technical Skills Weighting'!B3662+"`FU!%Hg"</f>
        <v>#VALUE!</v>
      </c>
      <c r="Y88" t="e">
        <f>'Technical Skills Weighting'!B3663+"`FU!%Hh"</f>
        <v>#VALUE!</v>
      </c>
      <c r="Z88" t="e">
        <f>'Technical Skills Weighting'!B3664+"`FU!%Hi"</f>
        <v>#VALUE!</v>
      </c>
      <c r="AA88" t="e">
        <f>'Technical Skills Weighting'!B3665+"`FU!%Hj"</f>
        <v>#VALUE!</v>
      </c>
      <c r="AB88" t="e">
        <f>'Technical Skills Weighting'!B3666+"`FU!%Hk"</f>
        <v>#VALUE!</v>
      </c>
      <c r="AC88" t="e">
        <f>'Technical Skills Weighting'!B3667+"`FU!%Hl"</f>
        <v>#VALUE!</v>
      </c>
      <c r="AD88" t="e">
        <f>'Technical Skills Weighting'!B3668+"`FU!%Hm"</f>
        <v>#VALUE!</v>
      </c>
      <c r="AE88" t="e">
        <f>'Technical Skills Weighting'!B3669+"`FU!%Hn"</f>
        <v>#VALUE!</v>
      </c>
      <c r="AF88" t="e">
        <f>'Technical Skills Weighting'!B3670+"`FU!%Ho"</f>
        <v>#VALUE!</v>
      </c>
      <c r="AG88" t="e">
        <f>'Technical Skills Weighting'!B3671+"`FU!%Hp"</f>
        <v>#VALUE!</v>
      </c>
      <c r="AH88" t="e">
        <f>'Technical Skills Weighting'!B3672+"`FU!%Hq"</f>
        <v>#VALUE!</v>
      </c>
      <c r="AI88" t="e">
        <f>'Technical Skills Weighting'!B3673+"`FU!%Hr"</f>
        <v>#VALUE!</v>
      </c>
      <c r="AJ88" t="e">
        <f>'Technical Skills Weighting'!B3674+"`FU!%Hs"</f>
        <v>#VALUE!</v>
      </c>
      <c r="AK88" t="e">
        <f>'Technical Skills Weighting'!B3675+"`FU!%Ht"</f>
        <v>#VALUE!</v>
      </c>
      <c r="AL88" t="e">
        <f>'Technical Skills Weighting'!B3676+"`FU!%Hu"</f>
        <v>#VALUE!</v>
      </c>
      <c r="AM88" t="e">
        <f>'Technical Skills Weighting'!B3677+"`FU!%Hv"</f>
        <v>#VALUE!</v>
      </c>
      <c r="AN88" t="e">
        <f>'Technical Skills Weighting'!B3678+"`FU!%Hw"</f>
        <v>#VALUE!</v>
      </c>
      <c r="AO88" t="e">
        <f>'Technical Skills Weighting'!B3679+"`FU!%Hx"</f>
        <v>#VALUE!</v>
      </c>
      <c r="AP88" t="e">
        <f>'Technical Skills Weighting'!B3680+"`FU!%Hy"</f>
        <v>#VALUE!</v>
      </c>
      <c r="AQ88" t="e">
        <f>'Technical Skills Weighting'!B3681+"`FU!%Hz"</f>
        <v>#VALUE!</v>
      </c>
      <c r="AR88" t="e">
        <f>'Technical Skills Weighting'!B3682+"`FU!%H{"</f>
        <v>#VALUE!</v>
      </c>
      <c r="AS88" t="e">
        <f>'Technical Skills Weighting'!B3683+"`FU!%H|"</f>
        <v>#VALUE!</v>
      </c>
      <c r="AT88" t="e">
        <f>'Technical Skills Weighting'!B3684+"`FU!%H}"</f>
        <v>#VALUE!</v>
      </c>
      <c r="AU88" t="e">
        <f>'Technical Skills Weighting'!B3685+"`FU!%H~"</f>
        <v>#VALUE!</v>
      </c>
      <c r="AV88" t="e">
        <f>'Technical Skills Weighting'!B3686+"`FU!%I#"</f>
        <v>#VALUE!</v>
      </c>
      <c r="AW88" t="e">
        <f>'Technical Skills Weighting'!B3687+"`FU!%I$"</f>
        <v>#VALUE!</v>
      </c>
      <c r="AX88" t="e">
        <f>'Technical Skills Weighting'!B3688+"`FU!%I%"</f>
        <v>#VALUE!</v>
      </c>
      <c r="AY88" t="e">
        <f>'Technical Skills Weighting'!B3689+"`FU!%I&amp;"</f>
        <v>#VALUE!</v>
      </c>
      <c r="AZ88" t="e">
        <f>'Technical Skills Weighting'!B3690+"`FU!%I'"</f>
        <v>#VALUE!</v>
      </c>
      <c r="BA88" t="e">
        <f>'Technical Skills Weighting'!B3691+"`FU!%I("</f>
        <v>#VALUE!</v>
      </c>
      <c r="BB88" t="e">
        <f>'Technical Skills Weighting'!B3692+"`FU!%I)"</f>
        <v>#VALUE!</v>
      </c>
      <c r="BC88" t="e">
        <f>'Technical Skills Weighting'!B3693+"`FU!%I."</f>
        <v>#VALUE!</v>
      </c>
      <c r="BD88" t="e">
        <f>'Technical Skills Weighting'!B3694+"`FU!%I/"</f>
        <v>#VALUE!</v>
      </c>
      <c r="BE88" t="e">
        <f>'Technical Skills Weighting'!B3695+"`FU!%I0"</f>
        <v>#VALUE!</v>
      </c>
      <c r="BF88" t="e">
        <f>'Technical Skills Weighting'!B3696+"`FU!%I1"</f>
        <v>#VALUE!</v>
      </c>
      <c r="BG88" t="e">
        <f>'Technical Skills Weighting'!B3697+"`FU!%I2"</f>
        <v>#VALUE!</v>
      </c>
      <c r="BH88" t="e">
        <f>'Technical Skills Weighting'!B3698+"`FU!%I3"</f>
        <v>#VALUE!</v>
      </c>
      <c r="BI88" t="e">
        <f>'Technical Skills Weighting'!B3699+"`FU!%I4"</f>
        <v>#VALUE!</v>
      </c>
      <c r="BJ88" t="e">
        <f>'Technical Skills Weighting'!B3700+"`FU!%I5"</f>
        <v>#VALUE!</v>
      </c>
      <c r="BK88" t="e">
        <f>'Technical Skills Weighting'!B3701+"`FU!%I6"</f>
        <v>#VALUE!</v>
      </c>
      <c r="BL88" t="e">
        <f>'Technical Skills Weighting'!B3702+"`FU!%I7"</f>
        <v>#VALUE!</v>
      </c>
      <c r="BM88" t="e">
        <f>'Technical Skills Weighting'!B3703+"`FU!%I8"</f>
        <v>#VALUE!</v>
      </c>
      <c r="BN88" t="e">
        <f>'Technical Skills Weighting'!B3704+"`FU!%I9"</f>
        <v>#VALUE!</v>
      </c>
      <c r="BO88" t="e">
        <f>'Technical Skills Weighting'!B3705+"`FU!%I:"</f>
        <v>#VALUE!</v>
      </c>
      <c r="BP88" t="e">
        <f>'Technical Skills Weighting'!B3706+"`FU!%I;"</f>
        <v>#VALUE!</v>
      </c>
      <c r="BQ88" t="e">
        <f>'Technical Skills Weighting'!B3707+"`FU!%I&lt;"</f>
        <v>#VALUE!</v>
      </c>
      <c r="BR88" t="e">
        <f>'Technical Skills Weighting'!B3708+"`FU!%I="</f>
        <v>#VALUE!</v>
      </c>
      <c r="BS88" t="e">
        <f>'Technical Skills Weighting'!B3709+"`FU!%I&gt;"</f>
        <v>#VALUE!</v>
      </c>
      <c r="BT88" t="e">
        <f>'Technical Skills Weighting'!B3710+"`FU!%I?"</f>
        <v>#VALUE!</v>
      </c>
      <c r="BU88" t="e">
        <f>'Technical Skills Weighting'!B3711+"`FU!%I@"</f>
        <v>#VALUE!</v>
      </c>
      <c r="BV88" t="e">
        <f>'Technical Skills Weighting'!B3712+"`FU!%IA"</f>
        <v>#VALUE!</v>
      </c>
      <c r="BW88" t="e">
        <f>'Technical Skills Weighting'!B3713+"`FU!%IB"</f>
        <v>#VALUE!</v>
      </c>
      <c r="BX88" t="e">
        <f>'Technical Skills Weighting'!B3714+"`FU!%IC"</f>
        <v>#VALUE!</v>
      </c>
      <c r="BY88" t="e">
        <f>'Technical Skills Weighting'!B3715+"`FU!%ID"</f>
        <v>#VALUE!</v>
      </c>
      <c r="BZ88" t="e">
        <f>'Technical Skills Weighting'!B3716+"`FU!%IE"</f>
        <v>#VALUE!</v>
      </c>
      <c r="CA88" t="e">
        <f>'Technical Skills Weighting'!B3717+"`FU!%IF"</f>
        <v>#VALUE!</v>
      </c>
      <c r="CB88" t="e">
        <f>'Technical Skills Weighting'!B3718+"`FU!%IG"</f>
        <v>#VALUE!</v>
      </c>
      <c r="CC88" t="e">
        <f>'Technical Skills Weighting'!B3719+"`FU!%IH"</f>
        <v>#VALUE!</v>
      </c>
      <c r="CD88" t="e">
        <f>'Technical Skills Weighting'!B3720+"`FU!%II"</f>
        <v>#VALUE!</v>
      </c>
      <c r="CE88" t="e">
        <f>'Technical Skills Weighting'!B3721+"`FU!%IJ"</f>
        <v>#VALUE!</v>
      </c>
      <c r="CF88" t="e">
        <f>'Technical Skills Weighting'!B3722+"`FU!%IK"</f>
        <v>#VALUE!</v>
      </c>
      <c r="CG88" t="e">
        <f>'Technical Skills Weighting'!B3723+"`FU!%IL"</f>
        <v>#VALUE!</v>
      </c>
      <c r="CH88" t="e">
        <f>'Technical Skills Weighting'!B3724+"`FU!%IM"</f>
        <v>#VALUE!</v>
      </c>
      <c r="CI88" t="e">
        <f>'Technical Skills Weighting'!B3725+"`FU!%IN"</f>
        <v>#VALUE!</v>
      </c>
      <c r="CJ88" t="e">
        <f>'Technical Skills Weighting'!B3726+"`FU!%IO"</f>
        <v>#VALUE!</v>
      </c>
      <c r="CK88" t="e">
        <f>'Technical Skills Weighting'!B3727+"`FU!%IP"</f>
        <v>#VALUE!</v>
      </c>
      <c r="CL88" t="e">
        <f>'Technical Skills Weighting'!B3728+"`FU!%IQ"</f>
        <v>#VALUE!</v>
      </c>
      <c r="CM88" t="e">
        <f>'Technical Skills Weighting'!B3729+"`FU!%IR"</f>
        <v>#VALUE!</v>
      </c>
      <c r="CN88" t="e">
        <f>'Technical Skills Weighting'!B3730+"`FU!%IS"</f>
        <v>#VALUE!</v>
      </c>
      <c r="CO88" t="e">
        <f>'Technical Skills Weighting'!B3731+"`FU!%IT"</f>
        <v>#VALUE!</v>
      </c>
      <c r="CP88" t="e">
        <f>'Technical Skills Weighting'!B3732+"`FU!%IU"</f>
        <v>#VALUE!</v>
      </c>
      <c r="CQ88" t="e">
        <f>'Technical Skills Weighting'!B3733+"`FU!%IV"</f>
        <v>#VALUE!</v>
      </c>
      <c r="CR88" t="e">
        <f>'Technical Skills Weighting'!B3734+"`FU!%IW"</f>
        <v>#VALUE!</v>
      </c>
      <c r="CS88" t="e">
        <f>'Technical Skills Weighting'!B3735+"`FU!%IX"</f>
        <v>#VALUE!</v>
      </c>
      <c r="CT88" t="e">
        <f>'Technical Skills Weighting'!B3736+"`FU!%IY"</f>
        <v>#VALUE!</v>
      </c>
      <c r="CU88" t="e">
        <f>'Technical Skills Weighting'!B3737+"`FU!%IZ"</f>
        <v>#VALUE!</v>
      </c>
      <c r="CV88" t="e">
        <f>'Technical Skills Weighting'!B3738+"`FU!%I["</f>
        <v>#VALUE!</v>
      </c>
      <c r="CW88" t="e">
        <f>'Technical Skills Weighting'!B3739+"`FU!%I\"</f>
        <v>#VALUE!</v>
      </c>
      <c r="CX88" t="e">
        <f>'Technical Skills Weighting'!B3740+"`FU!%I]"</f>
        <v>#VALUE!</v>
      </c>
      <c r="CY88" t="e">
        <f>'Technical Skills Weighting'!B3741+"`FU!%I^"</f>
        <v>#VALUE!</v>
      </c>
      <c r="CZ88" t="e">
        <f>'Technical Skills Weighting'!B3742+"`FU!%I_"</f>
        <v>#VALUE!</v>
      </c>
      <c r="DA88" t="e">
        <f>'Technical Skills Weighting'!B3743+"`FU!%I`"</f>
        <v>#VALUE!</v>
      </c>
      <c r="DB88" t="e">
        <f>'Technical Skills Weighting'!B3744+"`FU!%Ia"</f>
        <v>#VALUE!</v>
      </c>
      <c r="DC88" t="e">
        <f>'Technical Skills Weighting'!B3745+"`FU!%Ib"</f>
        <v>#VALUE!</v>
      </c>
      <c r="DD88" t="e">
        <f>'Technical Skills Weighting'!B3746+"`FU!%Ic"</f>
        <v>#VALUE!</v>
      </c>
      <c r="DE88" t="e">
        <f>'Technical Skills Weighting'!B3747+"`FU!%Id"</f>
        <v>#VALUE!</v>
      </c>
      <c r="DF88" t="e">
        <f>'Technical Skills Weighting'!B3748+"`FU!%Ie"</f>
        <v>#VALUE!</v>
      </c>
      <c r="DG88" t="e">
        <f>'Technical Skills Weighting'!B3749+"`FU!%If"</f>
        <v>#VALUE!</v>
      </c>
      <c r="DH88" t="e">
        <f>'Technical Skills Weighting'!B3750+"`FU!%Ig"</f>
        <v>#VALUE!</v>
      </c>
      <c r="DI88" t="e">
        <f>'Technical Skills Weighting'!B3751+"`FU!%Ih"</f>
        <v>#VALUE!</v>
      </c>
      <c r="DJ88" t="e">
        <f>'Technical Skills Weighting'!B3752+"`FU!%Ii"</f>
        <v>#VALUE!</v>
      </c>
      <c r="DK88" t="e">
        <f>'Technical Skills Weighting'!B3753+"`FU!%Ij"</f>
        <v>#VALUE!</v>
      </c>
      <c r="DL88" t="e">
        <f>'Technical Skills Weighting'!B3754+"`FU!%Ik"</f>
        <v>#VALUE!</v>
      </c>
      <c r="DM88" t="e">
        <f>'Technical Skills Weighting'!B3755+"`FU!%Il"</f>
        <v>#VALUE!</v>
      </c>
      <c r="DN88" t="e">
        <f>'Technical Skills Weighting'!B3756+"`FU!%Im"</f>
        <v>#VALUE!</v>
      </c>
      <c r="DO88" t="e">
        <f>'Technical Skills Weighting'!B3757+"`FU!%In"</f>
        <v>#VALUE!</v>
      </c>
      <c r="DP88" t="e">
        <f>'Technical Skills Weighting'!B3758+"`FU!%Io"</f>
        <v>#VALUE!</v>
      </c>
      <c r="DQ88" t="e">
        <f>'Technical Skills Weighting'!B3759+"`FU!%Ip"</f>
        <v>#VALUE!</v>
      </c>
      <c r="DR88" t="e">
        <f>'Technical Skills Weighting'!B3760+"`FU!%Iq"</f>
        <v>#VALUE!</v>
      </c>
      <c r="DS88" t="e">
        <f>'Technical Skills Weighting'!B3761+"`FU!%Ir"</f>
        <v>#VALUE!</v>
      </c>
      <c r="DT88" t="e">
        <f>'Technical Skills Weighting'!B3762+"`FU!%Is"</f>
        <v>#VALUE!</v>
      </c>
      <c r="DU88" t="e">
        <f>'Technical Skills Weighting'!B3763+"`FU!%It"</f>
        <v>#VALUE!</v>
      </c>
      <c r="DV88" t="e">
        <f>'Technical Skills Weighting'!B3764+"`FU!%Iu"</f>
        <v>#VALUE!</v>
      </c>
      <c r="DW88" t="e">
        <f>'Technical Skills Weighting'!B3765+"`FU!%Iv"</f>
        <v>#VALUE!</v>
      </c>
      <c r="DX88" t="e">
        <f>'Technical Skills Weighting'!B3766+"`FU!%Iw"</f>
        <v>#VALUE!</v>
      </c>
      <c r="DY88" t="e">
        <f>'Technical Skills Weighting'!B3767+"`FU!%Ix"</f>
        <v>#VALUE!</v>
      </c>
      <c r="DZ88" t="e">
        <f>'Technical Skills Weighting'!B3768+"`FU!%Iy"</f>
        <v>#VALUE!</v>
      </c>
      <c r="EA88" t="e">
        <f>'Technical Skills Weighting'!B3769+"`FU!%Iz"</f>
        <v>#VALUE!</v>
      </c>
      <c r="EB88" t="e">
        <f>'Technical Skills Weighting'!B3770+"`FU!%I{"</f>
        <v>#VALUE!</v>
      </c>
      <c r="EC88" t="e">
        <f>'Technical Skills Weighting'!B3771+"`FU!%I|"</f>
        <v>#VALUE!</v>
      </c>
      <c r="ED88" t="e">
        <f>'Technical Skills Weighting'!B3772+"`FU!%I}"</f>
        <v>#VALUE!</v>
      </c>
      <c r="EE88" t="e">
        <f>'Technical Skills Weighting'!B3773+"`FU!%I~"</f>
        <v>#VALUE!</v>
      </c>
      <c r="EF88" t="e">
        <f>'Technical Skills Weighting'!B3774+"`FU!%J#"</f>
        <v>#VALUE!</v>
      </c>
      <c r="EG88" t="e">
        <f>'Technical Skills Weighting'!B3775+"`FU!%J$"</f>
        <v>#VALUE!</v>
      </c>
      <c r="EH88" t="e">
        <f>'Technical Skills Weighting'!B3776+"`FU!%J%"</f>
        <v>#VALUE!</v>
      </c>
      <c r="EI88" t="e">
        <f>'Technical Skills Weighting'!B3777+"`FU!%J&amp;"</f>
        <v>#VALUE!</v>
      </c>
      <c r="EJ88" t="e">
        <f>'Technical Skills Weighting'!B3778+"`FU!%J'"</f>
        <v>#VALUE!</v>
      </c>
      <c r="EK88" t="e">
        <f>'Technical Skills Weighting'!B3779+"`FU!%J("</f>
        <v>#VALUE!</v>
      </c>
      <c r="EL88" t="e">
        <f>'Technical Skills Weighting'!B3780+"`FU!%J)"</f>
        <v>#VALUE!</v>
      </c>
      <c r="EM88" t="e">
        <f>'Technical Skills Weighting'!B3781+"`FU!%J."</f>
        <v>#VALUE!</v>
      </c>
      <c r="EN88" t="e">
        <f>'Technical Skills Weighting'!B3782+"`FU!%J/"</f>
        <v>#VALUE!</v>
      </c>
      <c r="EO88" t="e">
        <f>'Technical Skills Weighting'!B3783+"`FU!%J0"</f>
        <v>#VALUE!</v>
      </c>
      <c r="EP88" t="e">
        <f>'Technical Skills Weighting'!B3784+"`FU!%J1"</f>
        <v>#VALUE!</v>
      </c>
      <c r="EQ88" t="e">
        <f>'Technical Skills Weighting'!B3785+"`FU!%J2"</f>
        <v>#VALUE!</v>
      </c>
      <c r="ER88" t="e">
        <f>'Technical Skills Weighting'!B3786+"`FU!%J3"</f>
        <v>#VALUE!</v>
      </c>
      <c r="ES88" t="e">
        <f>'Technical Skills Weighting'!B3787+"`FU!%J4"</f>
        <v>#VALUE!</v>
      </c>
      <c r="ET88" t="e">
        <f>'Technical Skills Weighting'!B3788+"`FU!%J5"</f>
        <v>#VALUE!</v>
      </c>
      <c r="EU88" t="e">
        <f>'Technical Skills Weighting'!B3789+"`FU!%J6"</f>
        <v>#VALUE!</v>
      </c>
      <c r="EV88" t="e">
        <f>'Technical Skills Weighting'!B3790+"`FU!%J7"</f>
        <v>#VALUE!</v>
      </c>
      <c r="EW88" t="e">
        <f>'Technical Skills Weighting'!B3791+"`FU!%J8"</f>
        <v>#VALUE!</v>
      </c>
      <c r="EX88" t="e">
        <f>'Technical Skills Weighting'!B3792+"`FU!%J9"</f>
        <v>#VALUE!</v>
      </c>
      <c r="EY88" t="e">
        <f>'Technical Skills Weighting'!B3793+"`FU!%J:"</f>
        <v>#VALUE!</v>
      </c>
      <c r="EZ88" t="e">
        <f>'Technical Skills Weighting'!B3794+"`FU!%J;"</f>
        <v>#VALUE!</v>
      </c>
      <c r="FA88" t="e">
        <f>'Technical Skills Weighting'!B3795+"`FU!%J&lt;"</f>
        <v>#VALUE!</v>
      </c>
      <c r="FB88" t="e">
        <f>'Technical Skills Weighting'!B3796+"`FU!%J="</f>
        <v>#VALUE!</v>
      </c>
      <c r="FC88" t="e">
        <f>'Technical Skills Weighting'!B3797+"`FU!%J&gt;"</f>
        <v>#VALUE!</v>
      </c>
      <c r="FD88" t="e">
        <f>'Technical Skills Weighting'!B3798+"`FU!%J?"</f>
        <v>#VALUE!</v>
      </c>
      <c r="FE88" t="e">
        <f>'Technical Skills Weighting'!B3799+"`FU!%J@"</f>
        <v>#VALUE!</v>
      </c>
      <c r="FF88" t="e">
        <f>'Technical Skills Weighting'!B3800+"`FU!%JA"</f>
        <v>#VALUE!</v>
      </c>
      <c r="FG88" t="e">
        <f>'Technical Skills Weighting'!B3801+"`FU!%JB"</f>
        <v>#VALUE!</v>
      </c>
      <c r="FH88" t="e">
        <f>'Technical Skills Weighting'!B3802+"`FU!%JC"</f>
        <v>#VALUE!</v>
      </c>
      <c r="FI88" t="e">
        <f>'Technical Skills Weighting'!B3803+"`FU!%JD"</f>
        <v>#VALUE!</v>
      </c>
      <c r="FJ88" t="e">
        <f>'Technical Skills Weighting'!B3804+"`FU!%JE"</f>
        <v>#VALUE!</v>
      </c>
      <c r="FK88" t="e">
        <f>'Technical Skills Weighting'!B3805+"`FU!%JF"</f>
        <v>#VALUE!</v>
      </c>
      <c r="FL88" t="e">
        <f>'Technical Skills Weighting'!B3806+"`FU!%JG"</f>
        <v>#VALUE!</v>
      </c>
      <c r="FM88" t="e">
        <f>'Technical Skills Weighting'!B3807+"`FU!%JH"</f>
        <v>#VALUE!</v>
      </c>
      <c r="FN88" t="e">
        <f>'Technical Skills Weighting'!B3808+"`FU!%JI"</f>
        <v>#VALUE!</v>
      </c>
      <c r="FO88" t="e">
        <f>'Technical Skills Weighting'!B3809+"`FU!%JJ"</f>
        <v>#VALUE!</v>
      </c>
      <c r="FP88" t="e">
        <f>'Technical Skills Weighting'!B3810+"`FU!%JK"</f>
        <v>#VALUE!</v>
      </c>
      <c r="FQ88" t="e">
        <f>'Technical Skills Weighting'!B3811+"`FU!%JL"</f>
        <v>#VALUE!</v>
      </c>
      <c r="FR88" t="e">
        <f>'Technical Skills Weighting'!B3812+"`FU!%JM"</f>
        <v>#VALUE!</v>
      </c>
      <c r="FS88" t="e">
        <f>'Technical Skills Weighting'!B3813+"`FU!%JN"</f>
        <v>#VALUE!</v>
      </c>
      <c r="FT88" t="e">
        <f>'Technical Skills Weighting'!B3814+"`FU!%JO"</f>
        <v>#VALUE!</v>
      </c>
      <c r="FU88" t="e">
        <f>'Technical Skills Weighting'!B3815+"`FU!%JP"</f>
        <v>#VALUE!</v>
      </c>
      <c r="FV88" t="e">
        <f>'Technical Skills Weighting'!B3816+"`FU!%JQ"</f>
        <v>#VALUE!</v>
      </c>
      <c r="FW88" t="e">
        <f>'Technical Skills Weighting'!B3817+"`FU!%JR"</f>
        <v>#VALUE!</v>
      </c>
      <c r="FX88" t="e">
        <f>'Technical Skills Weighting'!B3818+"`FU!%JS"</f>
        <v>#VALUE!</v>
      </c>
      <c r="FY88" t="e">
        <f>'Technical Skills Weighting'!B3819+"`FU!%JT"</f>
        <v>#VALUE!</v>
      </c>
      <c r="FZ88" t="e">
        <f>'Technical Skills Weighting'!B3820+"`FU!%JU"</f>
        <v>#VALUE!</v>
      </c>
      <c r="GA88" t="e">
        <f>'Technical Skills Weighting'!B3821+"`FU!%JV"</f>
        <v>#VALUE!</v>
      </c>
      <c r="GB88" t="e">
        <f>'Technical Skills Weighting'!B3822+"`FU!%JW"</f>
        <v>#VALUE!</v>
      </c>
      <c r="GC88" t="e">
        <f>'Technical Skills Weighting'!B3823+"`FU!%JX"</f>
        <v>#VALUE!</v>
      </c>
      <c r="GD88" t="e">
        <f>'Technical Skills Weighting'!B3824+"`FU!%JY"</f>
        <v>#VALUE!</v>
      </c>
      <c r="GE88" t="e">
        <f>'Technical Skills Weighting'!B3825+"`FU!%JZ"</f>
        <v>#VALUE!</v>
      </c>
      <c r="GF88" t="e">
        <f>'Technical Skills Weighting'!B3826+"`FU!%J["</f>
        <v>#VALUE!</v>
      </c>
      <c r="GG88" t="e">
        <f>'Technical Skills Weighting'!B3827+"`FU!%J\"</f>
        <v>#VALUE!</v>
      </c>
      <c r="GH88" t="e">
        <f>'Technical Skills Weighting'!B3828+"`FU!%J]"</f>
        <v>#VALUE!</v>
      </c>
      <c r="GI88" t="e">
        <f>'Technical Skills Weighting'!B3829+"`FU!%J^"</f>
        <v>#VALUE!</v>
      </c>
      <c r="GJ88" t="e">
        <f>'Technical Skills Weighting'!B3830+"`FU!%J_"</f>
        <v>#VALUE!</v>
      </c>
      <c r="GK88" t="e">
        <f>'Technical Skills Weighting'!B3831+"`FU!%J`"</f>
        <v>#VALUE!</v>
      </c>
      <c r="GL88" t="e">
        <f>'Technical Skills Weighting'!B3832+"`FU!%Ja"</f>
        <v>#VALUE!</v>
      </c>
      <c r="GM88" t="e">
        <f>'Technical Skills Weighting'!B3833+"`FU!%Jb"</f>
        <v>#VALUE!</v>
      </c>
      <c r="GN88" t="e">
        <f>'Technical Skills Weighting'!B3834+"`FU!%Jc"</f>
        <v>#VALUE!</v>
      </c>
      <c r="GO88" t="e">
        <f>'Technical Skills Weighting'!B3835+"`FU!%Jd"</f>
        <v>#VALUE!</v>
      </c>
      <c r="GP88" t="e">
        <f>'Technical Skills Weighting'!B3836+"`FU!%Je"</f>
        <v>#VALUE!</v>
      </c>
      <c r="GQ88" t="e">
        <f>'Technical Skills Weighting'!B3837+"`FU!%Jf"</f>
        <v>#VALUE!</v>
      </c>
      <c r="GR88" t="e">
        <f>'Technical Skills Weighting'!B3838+"`FU!%Jg"</f>
        <v>#VALUE!</v>
      </c>
      <c r="GS88" t="e">
        <f>'Technical Skills Weighting'!B3839+"`FU!%Jh"</f>
        <v>#VALUE!</v>
      </c>
      <c r="GT88" t="e">
        <f>'Technical Skills Weighting'!B3840+"`FU!%Ji"</f>
        <v>#VALUE!</v>
      </c>
      <c r="GU88" t="e">
        <f>'Technical Skills Weighting'!B3841+"`FU!%Jj"</f>
        <v>#VALUE!</v>
      </c>
      <c r="GV88" t="e">
        <f>'Technical Skills Weighting'!B3842+"`FU!%Jk"</f>
        <v>#VALUE!</v>
      </c>
      <c r="GW88" t="e">
        <f>'Technical Skills Weighting'!B3843+"`FU!%Jl"</f>
        <v>#VALUE!</v>
      </c>
      <c r="GX88" t="e">
        <f>'Technical Skills Weighting'!B3844+"`FU!%Jm"</f>
        <v>#VALUE!</v>
      </c>
      <c r="GY88" t="e">
        <f>'Technical Skills Weighting'!B3845+"`FU!%Jn"</f>
        <v>#VALUE!</v>
      </c>
      <c r="GZ88" t="e">
        <f>'Technical Skills Weighting'!B3846+"`FU!%Jo"</f>
        <v>#VALUE!</v>
      </c>
      <c r="HA88" t="e">
        <f>'Technical Skills Weighting'!B3847+"`FU!%Jp"</f>
        <v>#VALUE!</v>
      </c>
      <c r="HB88" t="e">
        <f>'Technical Skills Weighting'!B3848+"`FU!%Jq"</f>
        <v>#VALUE!</v>
      </c>
      <c r="HC88" t="e">
        <f>'Technical Skills Weighting'!B3849+"`FU!%Jr"</f>
        <v>#VALUE!</v>
      </c>
      <c r="HD88" t="e">
        <f>'Technical Skills Weighting'!B3850+"`FU!%Js"</f>
        <v>#VALUE!</v>
      </c>
      <c r="HE88" t="e">
        <f>'Technical Skills Weighting'!B3851+"`FU!%Jt"</f>
        <v>#VALUE!</v>
      </c>
      <c r="HF88" t="e">
        <f>'Technical Skills Weighting'!B3852+"`FU!%Ju"</f>
        <v>#VALUE!</v>
      </c>
      <c r="HG88" t="e">
        <f>'Technical Skills Weighting'!B3853+"`FU!%Jv"</f>
        <v>#VALUE!</v>
      </c>
      <c r="HH88" t="e">
        <f>'Technical Skills Weighting'!B3854+"`FU!%Jw"</f>
        <v>#VALUE!</v>
      </c>
      <c r="HI88" t="e">
        <f>'Technical Skills Weighting'!B3855+"`FU!%Jx"</f>
        <v>#VALUE!</v>
      </c>
      <c r="HJ88" t="e">
        <f>'Technical Skills Weighting'!B3856+"`FU!%Jy"</f>
        <v>#VALUE!</v>
      </c>
      <c r="HK88" t="e">
        <f>'Technical Skills Weighting'!B3857+"`FU!%Jz"</f>
        <v>#VALUE!</v>
      </c>
      <c r="HL88" t="e">
        <f>'Technical Skills Weighting'!B3858+"`FU!%J{"</f>
        <v>#VALUE!</v>
      </c>
      <c r="HM88" t="e">
        <f>'Technical Skills Weighting'!B3859+"`FU!%J|"</f>
        <v>#VALUE!</v>
      </c>
      <c r="HN88" t="e">
        <f>'Technical Skills Weighting'!B3860+"`FU!%J}"</f>
        <v>#VALUE!</v>
      </c>
      <c r="HO88" t="e">
        <f>'Technical Skills Weighting'!B3861+"`FU!%J~"</f>
        <v>#VALUE!</v>
      </c>
      <c r="HP88" t="e">
        <f>'Technical Skills Weighting'!B3862+"`FU!%K#"</f>
        <v>#VALUE!</v>
      </c>
      <c r="HQ88" t="e">
        <f>'Technical Skills Weighting'!B3863+"`FU!%K$"</f>
        <v>#VALUE!</v>
      </c>
      <c r="HR88" t="e">
        <f>'Technical Skills Weighting'!B3864+"`FU!%K%"</f>
        <v>#VALUE!</v>
      </c>
      <c r="HS88" t="e">
        <f>'Technical Skills Weighting'!B3865+"`FU!%K&amp;"</f>
        <v>#VALUE!</v>
      </c>
      <c r="HT88" t="e">
        <f>'Technical Skills Weighting'!B3866+"`FU!%K'"</f>
        <v>#VALUE!</v>
      </c>
      <c r="HU88" t="e">
        <f>'Technical Skills Weighting'!B3867+"`FU!%K("</f>
        <v>#VALUE!</v>
      </c>
      <c r="HV88" t="e">
        <f>'Technical Skills Weighting'!B3868+"`FU!%K)"</f>
        <v>#VALUE!</v>
      </c>
      <c r="HW88" t="e">
        <f>'Technical Skills Weighting'!B3869+"`FU!%K."</f>
        <v>#VALUE!</v>
      </c>
      <c r="HX88" t="e">
        <f>'Technical Skills Weighting'!B3870+"`FU!%K/"</f>
        <v>#VALUE!</v>
      </c>
      <c r="HY88" t="e">
        <f>'Technical Skills Weighting'!B3871+"`FU!%K0"</f>
        <v>#VALUE!</v>
      </c>
      <c r="HZ88" t="e">
        <f>'Technical Skills Weighting'!B3872+"`FU!%K1"</f>
        <v>#VALUE!</v>
      </c>
      <c r="IA88" t="e">
        <f>'Technical Skills Weighting'!B3873+"`FU!%K2"</f>
        <v>#VALUE!</v>
      </c>
      <c r="IB88" t="e">
        <f>'Technical Skills Weighting'!B3874+"`FU!%K3"</f>
        <v>#VALUE!</v>
      </c>
      <c r="IC88" t="e">
        <f>'Technical Skills Weighting'!B3875+"`FU!%K4"</f>
        <v>#VALUE!</v>
      </c>
      <c r="ID88" t="e">
        <f>'Technical Skills Weighting'!B3876+"`FU!%K5"</f>
        <v>#VALUE!</v>
      </c>
      <c r="IE88" t="e">
        <f>'Technical Skills Weighting'!B3877+"`FU!%K6"</f>
        <v>#VALUE!</v>
      </c>
      <c r="IF88" t="e">
        <f>'Technical Skills Weighting'!B3878+"`FU!%K7"</f>
        <v>#VALUE!</v>
      </c>
      <c r="IG88" t="e">
        <f>'Technical Skills Weighting'!B3879+"`FU!%K8"</f>
        <v>#VALUE!</v>
      </c>
      <c r="IH88" t="e">
        <f>'Technical Skills Weighting'!B3880+"`FU!%K9"</f>
        <v>#VALUE!</v>
      </c>
      <c r="II88" t="e">
        <f>'Technical Skills Weighting'!B3881+"`FU!%K:"</f>
        <v>#VALUE!</v>
      </c>
      <c r="IJ88" t="e">
        <f>'Technical Skills Weighting'!B3882+"`FU!%K;"</f>
        <v>#VALUE!</v>
      </c>
      <c r="IK88" t="e">
        <f>'Technical Skills Weighting'!B3883+"`FU!%K&lt;"</f>
        <v>#VALUE!</v>
      </c>
      <c r="IL88" t="e">
        <f>'Technical Skills Weighting'!B3884+"`FU!%K="</f>
        <v>#VALUE!</v>
      </c>
      <c r="IM88" t="e">
        <f>'Technical Skills Weighting'!B3885+"`FU!%K&gt;"</f>
        <v>#VALUE!</v>
      </c>
      <c r="IN88" t="e">
        <f>'Technical Skills Weighting'!B3886+"`FU!%K?"</f>
        <v>#VALUE!</v>
      </c>
      <c r="IO88" t="e">
        <f>'Technical Skills Weighting'!B3887+"`FU!%K@"</f>
        <v>#VALUE!</v>
      </c>
      <c r="IP88" t="e">
        <f>'Technical Skills Weighting'!B3888+"`FU!%KA"</f>
        <v>#VALUE!</v>
      </c>
      <c r="IQ88" t="e">
        <f>'Technical Skills Weighting'!B3889+"`FU!%KB"</f>
        <v>#VALUE!</v>
      </c>
      <c r="IR88" t="e">
        <f>'Technical Skills Weighting'!B3890+"`FU!%KC"</f>
        <v>#VALUE!</v>
      </c>
      <c r="IS88" t="e">
        <f>'Technical Skills Weighting'!B3891+"`FU!%KD"</f>
        <v>#VALUE!</v>
      </c>
      <c r="IT88" t="e">
        <f>'Technical Skills Weighting'!B3892+"`FU!%KE"</f>
        <v>#VALUE!</v>
      </c>
      <c r="IU88" t="e">
        <f>'Technical Skills Weighting'!B3893+"`FU!%KF"</f>
        <v>#VALUE!</v>
      </c>
      <c r="IV88" t="e">
        <f>'Technical Skills Weighting'!B3894+"`FU!%KG"</f>
        <v>#VALUE!</v>
      </c>
    </row>
    <row r="89" spans="6:256" x14ac:dyDescent="0.25">
      <c r="F89" t="e">
        <f>'Technical Skills Weighting'!B3895+"`FU!%KH"</f>
        <v>#VALUE!</v>
      </c>
      <c r="G89" t="e">
        <f>'Technical Skills Weighting'!B3896+"`FU!%KI"</f>
        <v>#VALUE!</v>
      </c>
      <c r="H89" t="e">
        <f>'Technical Skills Weighting'!B3897+"`FU!%KJ"</f>
        <v>#VALUE!</v>
      </c>
      <c r="I89" t="e">
        <f>'Technical Skills Weighting'!B3898+"`FU!%KK"</f>
        <v>#VALUE!</v>
      </c>
      <c r="J89" t="e">
        <f>'Technical Skills Weighting'!B3899+"`FU!%KL"</f>
        <v>#VALUE!</v>
      </c>
      <c r="K89" t="e">
        <f>'Technical Skills Weighting'!B3900+"`FU!%KM"</f>
        <v>#VALUE!</v>
      </c>
      <c r="L89" t="e">
        <f>'Technical Skills Weighting'!B3901+"`FU!%KN"</f>
        <v>#VALUE!</v>
      </c>
      <c r="M89" t="e">
        <f>'Technical Skills Weighting'!B3902+"`FU!%KO"</f>
        <v>#VALUE!</v>
      </c>
      <c r="N89" t="e">
        <f>'Technical Skills Weighting'!B3903+"`FU!%KP"</f>
        <v>#VALUE!</v>
      </c>
      <c r="O89" t="e">
        <f>'Technical Skills Weighting'!B3904+"`FU!%KQ"</f>
        <v>#VALUE!</v>
      </c>
      <c r="P89" t="e">
        <f>'Technical Skills Weighting'!B3905+"`FU!%KR"</f>
        <v>#VALUE!</v>
      </c>
      <c r="Q89" t="e">
        <f>'Technical Skills Weighting'!B3906+"`FU!%KS"</f>
        <v>#VALUE!</v>
      </c>
      <c r="R89" t="e">
        <f>'Technical Skills Weighting'!B3907+"`FU!%KT"</f>
        <v>#VALUE!</v>
      </c>
      <c r="S89" t="e">
        <f>'Technical Skills Weighting'!B3908+"`FU!%KU"</f>
        <v>#VALUE!</v>
      </c>
      <c r="T89" t="e">
        <f>'Technical Skills Weighting'!B3909+"`FU!%KV"</f>
        <v>#VALUE!</v>
      </c>
      <c r="U89" t="e">
        <f>'Technical Skills Weighting'!B3910+"`FU!%KW"</f>
        <v>#VALUE!</v>
      </c>
      <c r="V89" t="e">
        <f>'Technical Skills Weighting'!B3911+"`FU!%KX"</f>
        <v>#VALUE!</v>
      </c>
      <c r="W89" t="e">
        <f>'Technical Skills Weighting'!B3912+"`FU!%KY"</f>
        <v>#VALUE!</v>
      </c>
      <c r="X89" t="e">
        <f>'Technical Skills Weighting'!B3913+"`FU!%KZ"</f>
        <v>#VALUE!</v>
      </c>
      <c r="Y89" t="e">
        <f>'Technical Skills Weighting'!B3914+"`FU!%K["</f>
        <v>#VALUE!</v>
      </c>
      <c r="Z89" t="e">
        <f>'Technical Skills Weighting'!B3915+"`FU!%K\"</f>
        <v>#VALUE!</v>
      </c>
      <c r="AA89" t="e">
        <f>'Technical Skills Weighting'!B3916+"`FU!%K]"</f>
        <v>#VALUE!</v>
      </c>
      <c r="AB89" t="e">
        <f>'Technical Skills Weighting'!B3917+"`FU!%K^"</f>
        <v>#VALUE!</v>
      </c>
      <c r="AC89" t="e">
        <f>'Technical Skills Weighting'!B3918+"`FU!%K_"</f>
        <v>#VALUE!</v>
      </c>
      <c r="AD89" t="e">
        <f>'Technical Skills Weighting'!B3919+"`FU!%K`"</f>
        <v>#VALUE!</v>
      </c>
      <c r="AE89" t="e">
        <f>'Technical Skills Weighting'!B3920+"`FU!%Ka"</f>
        <v>#VALUE!</v>
      </c>
      <c r="AF89" t="e">
        <f>'Technical Skills Weighting'!B3921+"`FU!%Kb"</f>
        <v>#VALUE!</v>
      </c>
      <c r="AG89" t="e">
        <f>'Technical Skills Weighting'!B3922+"`FU!%Kc"</f>
        <v>#VALUE!</v>
      </c>
      <c r="AH89" t="e">
        <f>'Technical Skills Weighting'!B3923+"`FU!%Kd"</f>
        <v>#VALUE!</v>
      </c>
      <c r="AI89" t="e">
        <f>'Technical Skills Weighting'!B3924+"`FU!%Ke"</f>
        <v>#VALUE!</v>
      </c>
      <c r="AJ89" t="e">
        <f>'Technical Skills Weighting'!B3925+"`FU!%Kf"</f>
        <v>#VALUE!</v>
      </c>
      <c r="AK89" t="e">
        <f>'Technical Skills Weighting'!B3926+"`FU!%Kg"</f>
        <v>#VALUE!</v>
      </c>
      <c r="AL89" t="e">
        <f>'Technical Skills Weighting'!B3927+"`FU!%Kh"</f>
        <v>#VALUE!</v>
      </c>
      <c r="AM89" t="e">
        <f>'Technical Skills Weighting'!B3928+"`FU!%Ki"</f>
        <v>#VALUE!</v>
      </c>
      <c r="AN89" t="e">
        <f>'Technical Skills Weighting'!B3929+"`FU!%Kj"</f>
        <v>#VALUE!</v>
      </c>
      <c r="AO89" t="e">
        <f>'Technical Skills Weighting'!B3930+"`FU!%Kk"</f>
        <v>#VALUE!</v>
      </c>
      <c r="AP89" t="e">
        <f>'Technical Skills Weighting'!B3931+"`FU!%Kl"</f>
        <v>#VALUE!</v>
      </c>
      <c r="AQ89" t="e">
        <f>'Technical Skills Weighting'!B3932+"`FU!%Km"</f>
        <v>#VALUE!</v>
      </c>
      <c r="AR89" t="e">
        <f>'Technical Skills Weighting'!B3933+"`FU!%Kn"</f>
        <v>#VALUE!</v>
      </c>
      <c r="AS89" t="e">
        <f>'Technical Skills Weighting'!B3934+"`FU!%Ko"</f>
        <v>#VALUE!</v>
      </c>
      <c r="AT89" t="e">
        <f>'Technical Skills Weighting'!B3935+"`FU!%Kp"</f>
        <v>#VALUE!</v>
      </c>
      <c r="AU89" t="e">
        <f>'Technical Skills Weighting'!B3936+"`FU!%Kq"</f>
        <v>#VALUE!</v>
      </c>
      <c r="AV89" t="e">
        <f>'Technical Skills Weighting'!B3937+"`FU!%Kr"</f>
        <v>#VALUE!</v>
      </c>
      <c r="AW89" t="e">
        <f>'Technical Skills Weighting'!B3938+"`FU!%Ks"</f>
        <v>#VALUE!</v>
      </c>
      <c r="AX89" t="e">
        <f>'Technical Skills Weighting'!B3939+"`FU!%Kt"</f>
        <v>#VALUE!</v>
      </c>
      <c r="AY89" t="e">
        <f>'Technical Skills Weighting'!B3940+"`FU!%Ku"</f>
        <v>#VALUE!</v>
      </c>
      <c r="AZ89" t="e">
        <f>'Technical Skills Weighting'!B3941+"`FU!%Kv"</f>
        <v>#VALUE!</v>
      </c>
      <c r="BA89" t="e">
        <f>'Technical Skills Weighting'!B3942+"`FU!%Kw"</f>
        <v>#VALUE!</v>
      </c>
      <c r="BB89" t="e">
        <f>'Technical Skills Weighting'!B3943+"`FU!%Kx"</f>
        <v>#VALUE!</v>
      </c>
      <c r="BC89" t="e">
        <f>'Technical Skills Weighting'!B3944+"`FU!%Ky"</f>
        <v>#VALUE!</v>
      </c>
      <c r="BD89" t="e">
        <f>'Technical Skills Weighting'!B3945+"`FU!%Kz"</f>
        <v>#VALUE!</v>
      </c>
      <c r="BE89" t="e">
        <f>'Technical Skills Weighting'!B3946+"`FU!%K{"</f>
        <v>#VALUE!</v>
      </c>
      <c r="BF89" t="e">
        <f>'Technical Skills Weighting'!B3947+"`FU!%K|"</f>
        <v>#VALUE!</v>
      </c>
      <c r="BG89" t="e">
        <f>'Technical Skills Weighting'!B3948+"`FU!%K}"</f>
        <v>#VALUE!</v>
      </c>
      <c r="BH89" t="e">
        <f>'Technical Skills Weighting'!B3949+"`FU!%K~"</f>
        <v>#VALUE!</v>
      </c>
      <c r="BI89" t="e">
        <f>'Technical Skills Weighting'!B3950+"`FU!%L#"</f>
        <v>#VALUE!</v>
      </c>
      <c r="BJ89" t="e">
        <f>'Technical Skills Weighting'!B3951+"`FU!%L$"</f>
        <v>#VALUE!</v>
      </c>
      <c r="BK89" t="e">
        <f>'Technical Skills Weighting'!B3952+"`FU!%L%"</f>
        <v>#VALUE!</v>
      </c>
      <c r="BL89" t="e">
        <f>'Technical Skills Weighting'!B3953+"`FU!%L&amp;"</f>
        <v>#VALUE!</v>
      </c>
      <c r="BM89" t="e">
        <f>'Technical Skills Weighting'!B3954+"`FU!%L'"</f>
        <v>#VALUE!</v>
      </c>
      <c r="BN89" t="e">
        <f>'Technical Skills Weighting'!B3955+"`FU!%L("</f>
        <v>#VALUE!</v>
      </c>
      <c r="BO89" t="e">
        <f>'Technical Skills Weighting'!B3956+"`FU!%L)"</f>
        <v>#VALUE!</v>
      </c>
      <c r="BP89" t="e">
        <f>'Technical Skills Weighting'!B3957+"`FU!%L."</f>
        <v>#VALUE!</v>
      </c>
      <c r="BQ89" t="e">
        <f>'Technical Skills Weighting'!B3958+"`FU!%L/"</f>
        <v>#VALUE!</v>
      </c>
      <c r="BR89" t="e">
        <f>'Technical Skills Weighting'!B3959+"`FU!%L0"</f>
        <v>#VALUE!</v>
      </c>
      <c r="BS89" t="e">
        <f>'Technical Skills Weighting'!B3960+"`FU!%L1"</f>
        <v>#VALUE!</v>
      </c>
      <c r="BT89" t="e">
        <f>'Technical Skills Weighting'!B3961+"`FU!%L2"</f>
        <v>#VALUE!</v>
      </c>
      <c r="BU89" t="e">
        <f>'Technical Skills Weighting'!B3962+"`FU!%L3"</f>
        <v>#VALUE!</v>
      </c>
      <c r="BV89" t="e">
        <f>'Technical Skills Weighting'!B3963+"`FU!%L4"</f>
        <v>#VALUE!</v>
      </c>
      <c r="BW89" t="e">
        <f>'Technical Skills Weighting'!B3964+"`FU!%L5"</f>
        <v>#VALUE!</v>
      </c>
      <c r="BX89" t="e">
        <f>'Technical Skills Weighting'!B3965+"`FU!%L6"</f>
        <v>#VALUE!</v>
      </c>
      <c r="BY89" t="e">
        <f>'Technical Skills Weighting'!B3966+"`FU!%L7"</f>
        <v>#VALUE!</v>
      </c>
      <c r="BZ89" t="e">
        <f>'Technical Skills Weighting'!B3967+"`FU!%L8"</f>
        <v>#VALUE!</v>
      </c>
      <c r="CA89" t="e">
        <f>'Technical Skills Weighting'!B3968+"`FU!%L9"</f>
        <v>#VALUE!</v>
      </c>
      <c r="CB89" t="e">
        <f>'Technical Skills Weighting'!B3969+"`FU!%L:"</f>
        <v>#VALUE!</v>
      </c>
      <c r="CC89" t="e">
        <f>'Technical Skills Weighting'!B3970+"`FU!%L;"</f>
        <v>#VALUE!</v>
      </c>
      <c r="CD89" t="e">
        <f>'Technical Skills Weighting'!B3971+"`FU!%L&lt;"</f>
        <v>#VALUE!</v>
      </c>
      <c r="CE89" t="e">
        <f>'Technical Skills Weighting'!B3972+"`FU!%L="</f>
        <v>#VALUE!</v>
      </c>
      <c r="CF89" t="e">
        <f>'Technical Skills Weighting'!B3973+"`FU!%L&gt;"</f>
        <v>#VALUE!</v>
      </c>
      <c r="CG89" t="e">
        <f>'Technical Skills Weighting'!B3974+"`FU!%L?"</f>
        <v>#VALUE!</v>
      </c>
      <c r="CH89" t="e">
        <f>'Technical Skills Weighting'!B3975+"`FU!%L@"</f>
        <v>#VALUE!</v>
      </c>
      <c r="CI89" t="e">
        <f>'Technical Skills Weighting'!B3976+"`FU!%LA"</f>
        <v>#VALUE!</v>
      </c>
      <c r="CJ89" t="e">
        <f>'Technical Skills Weighting'!B3977+"`FU!%LB"</f>
        <v>#VALUE!</v>
      </c>
      <c r="CK89" t="e">
        <f>'Technical Skills Weighting'!B3978+"`FU!%LC"</f>
        <v>#VALUE!</v>
      </c>
      <c r="CL89" t="e">
        <f>'Technical Skills Weighting'!B3979+"`FU!%LD"</f>
        <v>#VALUE!</v>
      </c>
      <c r="CM89" t="e">
        <f>'Technical Skills Weighting'!B3980+"`FU!%LE"</f>
        <v>#VALUE!</v>
      </c>
      <c r="CN89" t="e">
        <f>'Technical Skills Weighting'!B3981+"`FU!%LF"</f>
        <v>#VALUE!</v>
      </c>
      <c r="CO89" t="e">
        <f>'Technical Skills Weighting'!B3982+"`FU!%LG"</f>
        <v>#VALUE!</v>
      </c>
      <c r="CP89" t="e">
        <f>'Technical Skills Weighting'!B3983+"`FU!%LH"</f>
        <v>#VALUE!</v>
      </c>
      <c r="CQ89" t="e">
        <f>'Technical Skills Weighting'!B3984+"`FU!%LI"</f>
        <v>#VALUE!</v>
      </c>
      <c r="CR89" t="e">
        <f>'Technical Skills Weighting'!B3985+"`FU!%LJ"</f>
        <v>#VALUE!</v>
      </c>
      <c r="CS89" t="e">
        <f>'Technical Skills Weighting'!B3986+"`FU!%LK"</f>
        <v>#VALUE!</v>
      </c>
      <c r="CT89" t="e">
        <f>'Technical Skills Weighting'!B3987+"`FU!%LL"</f>
        <v>#VALUE!</v>
      </c>
      <c r="CU89" t="e">
        <f>'Technical Skills Weighting'!B3988+"`FU!%LM"</f>
        <v>#VALUE!</v>
      </c>
      <c r="CV89" t="e">
        <f>'Technical Skills Weighting'!B3989+"`FU!%LN"</f>
        <v>#VALUE!</v>
      </c>
      <c r="CW89" t="e">
        <f>'Technical Skills Weighting'!B3990+"`FU!%LO"</f>
        <v>#VALUE!</v>
      </c>
      <c r="CX89" t="e">
        <f>'Technical Skills Weighting'!B3991+"`FU!%LP"</f>
        <v>#VALUE!</v>
      </c>
      <c r="CY89" t="e">
        <f>'Technical Skills Weighting'!B3992+"`FU!%LQ"</f>
        <v>#VALUE!</v>
      </c>
      <c r="CZ89" t="e">
        <f>'Technical Skills Weighting'!B3993+"`FU!%LR"</f>
        <v>#VALUE!</v>
      </c>
      <c r="DA89" t="e">
        <f>'Technical Skills Weighting'!B3994+"`FU!%LS"</f>
        <v>#VALUE!</v>
      </c>
      <c r="DB89" t="e">
        <f>'Technical Skills Weighting'!B3995+"`FU!%LT"</f>
        <v>#VALUE!</v>
      </c>
      <c r="DC89" t="e">
        <f>'Technical Skills Weighting'!B3996+"`FU!%LU"</f>
        <v>#VALUE!</v>
      </c>
      <c r="DD89" t="e">
        <f>'Technical Skills Weighting'!B3997+"`FU!%LV"</f>
        <v>#VALUE!</v>
      </c>
      <c r="DE89" t="e">
        <f>'Technical Skills Weighting'!B3998+"`FU!%LW"</f>
        <v>#VALUE!</v>
      </c>
      <c r="DF89" t="e">
        <f>'Technical Skills Weighting'!B3999+"`FU!%LX"</f>
        <v>#VALUE!</v>
      </c>
      <c r="DG89" t="e">
        <f>'Technical Skills Weighting'!B4000+"`FU!%LY"</f>
        <v>#VALUE!</v>
      </c>
      <c r="DH89" t="e">
        <f>'Technical Skills Weighting'!B4001+"`FU!%LZ"</f>
        <v>#VALUE!</v>
      </c>
      <c r="DI89" t="e">
        <f>'Technical Skills Weighting'!B4002+"`FU!%L["</f>
        <v>#VALUE!</v>
      </c>
      <c r="DJ89" t="e">
        <f>'Technical Skills Weighting'!B4003+"`FU!%L\"</f>
        <v>#VALUE!</v>
      </c>
      <c r="DK89" t="e">
        <f>'Technical Skills Weighting'!B4004+"`FU!%L]"</f>
        <v>#VALUE!</v>
      </c>
      <c r="DL89" t="e">
        <f>'Technical Skills Weighting'!B4005+"`FU!%L^"</f>
        <v>#VALUE!</v>
      </c>
      <c r="DM89" t="e">
        <f>'Technical Skills Weighting'!B4006+"`FU!%L_"</f>
        <v>#VALUE!</v>
      </c>
      <c r="DN89" t="e">
        <f>'Technical Skills Weighting'!B4007+"`FU!%L`"</f>
        <v>#VALUE!</v>
      </c>
      <c r="DO89" t="e">
        <f>'Technical Skills Weighting'!B4008+"`FU!%La"</f>
        <v>#VALUE!</v>
      </c>
      <c r="DP89" t="e">
        <f>'Technical Skills Weighting'!B4009+"`FU!%Lb"</f>
        <v>#VALUE!</v>
      </c>
      <c r="DQ89" t="e">
        <f>'Technical Skills Weighting'!B4010+"`FU!%Lc"</f>
        <v>#VALUE!</v>
      </c>
      <c r="DR89" t="e">
        <f>'Technical Skills Weighting'!B4011+"`FU!%Ld"</f>
        <v>#VALUE!</v>
      </c>
      <c r="DS89" t="e">
        <f>'Technical Skills Weighting'!B4012+"`FU!%Le"</f>
        <v>#VALUE!</v>
      </c>
      <c r="DT89" t="e">
        <f>'Technical Skills Weighting'!B4013+"`FU!%Lf"</f>
        <v>#VALUE!</v>
      </c>
      <c r="DU89" t="e">
        <f>'Technical Skills Weighting'!B4014+"`FU!%Lg"</f>
        <v>#VALUE!</v>
      </c>
      <c r="DV89" t="e">
        <f>'Technical Skills Weighting'!B4015+"`FU!%Lh"</f>
        <v>#VALUE!</v>
      </c>
      <c r="DW89" t="e">
        <f>'Technical Skills Weighting'!B4016+"`FU!%Li"</f>
        <v>#VALUE!</v>
      </c>
      <c r="DX89" t="e">
        <f>'Technical Skills Weighting'!B4017+"`FU!%Lj"</f>
        <v>#VALUE!</v>
      </c>
      <c r="DY89" t="e">
        <f>'Technical Skills Weighting'!B4018+"`FU!%Lk"</f>
        <v>#VALUE!</v>
      </c>
      <c r="DZ89" t="e">
        <f>'Technical Skills Weighting'!B4019+"`FU!%Ll"</f>
        <v>#VALUE!</v>
      </c>
      <c r="EA89" t="e">
        <f>'Technical Skills Weighting'!B4020+"`FU!%Lm"</f>
        <v>#VALUE!</v>
      </c>
      <c r="EB89" t="e">
        <f>'Technical Skills Weighting'!B4021+"`FU!%Ln"</f>
        <v>#VALUE!</v>
      </c>
      <c r="EC89" t="e">
        <f>'Technical Skills Weighting'!B4022+"`FU!%Lo"</f>
        <v>#VALUE!</v>
      </c>
      <c r="ED89" t="e">
        <f>'Technical Skills Weighting'!B4023+"`FU!%Lp"</f>
        <v>#VALUE!</v>
      </c>
      <c r="EE89" t="e">
        <f>'Technical Skills Weighting'!B4024+"`FU!%Lq"</f>
        <v>#VALUE!</v>
      </c>
      <c r="EF89" t="e">
        <f>'Technical Skills Weighting'!B4025+"`FU!%Lr"</f>
        <v>#VALUE!</v>
      </c>
      <c r="EG89" t="e">
        <f>'Technical Skills Weighting'!B4026+"`FU!%Ls"</f>
        <v>#VALUE!</v>
      </c>
      <c r="EH89" t="e">
        <f>'Technical Skills Weighting'!B4027+"`FU!%Lt"</f>
        <v>#VALUE!</v>
      </c>
      <c r="EI89" t="e">
        <f>'Technical Skills Weighting'!B4028+"`FU!%Lu"</f>
        <v>#VALUE!</v>
      </c>
      <c r="EJ89" t="e">
        <f>'Technical Skills Weighting'!B4029+"`FU!%Lv"</f>
        <v>#VALUE!</v>
      </c>
      <c r="EK89" t="e">
        <f>'Technical Skills Weighting'!B4030+"`FU!%Lw"</f>
        <v>#VALUE!</v>
      </c>
      <c r="EL89" t="e">
        <f>'Technical Skills Weighting'!B4031+"`FU!%Lx"</f>
        <v>#VALUE!</v>
      </c>
      <c r="EM89" t="e">
        <f>'Technical Skills Weighting'!B4032+"`FU!%Ly"</f>
        <v>#VALUE!</v>
      </c>
      <c r="EN89" t="e">
        <f>'Technical Skills Weighting'!B4033+"`FU!%Lz"</f>
        <v>#VALUE!</v>
      </c>
      <c r="EO89" t="e">
        <f>'Technical Skills Weighting'!B4034+"`FU!%L{"</f>
        <v>#VALUE!</v>
      </c>
      <c r="EP89" t="e">
        <f>'Technical Skills Weighting'!B4035+"`FU!%L|"</f>
        <v>#VALUE!</v>
      </c>
      <c r="EQ89" t="e">
        <f>'Technical Skills Weighting'!B4036+"`FU!%L}"</f>
        <v>#VALUE!</v>
      </c>
      <c r="ER89" t="e">
        <f>'Technical Skills Weighting'!B4037+"`FU!%L~"</f>
        <v>#VALUE!</v>
      </c>
      <c r="ES89" t="e">
        <f>'Technical Skills Weighting'!B4038+"`FU!%M#"</f>
        <v>#VALUE!</v>
      </c>
      <c r="ET89" t="e">
        <f>'Technical Skills Weighting'!B4039+"`FU!%M$"</f>
        <v>#VALUE!</v>
      </c>
      <c r="EU89" t="e">
        <f>'Technical Skills Weighting'!B4040+"`FU!%M%"</f>
        <v>#VALUE!</v>
      </c>
      <c r="EV89" t="e">
        <f>'Technical Skills Weighting'!B4041+"`FU!%M&amp;"</f>
        <v>#VALUE!</v>
      </c>
      <c r="EW89" t="e">
        <f>'Technical Skills Weighting'!B4042+"`FU!%M'"</f>
        <v>#VALUE!</v>
      </c>
      <c r="EX89" t="e">
        <f>'Technical Skills Weighting'!B4043+"`FU!%M("</f>
        <v>#VALUE!</v>
      </c>
      <c r="EY89" t="e">
        <f>'Technical Skills Weighting'!B4044+"`FU!%M)"</f>
        <v>#VALUE!</v>
      </c>
      <c r="EZ89" t="e">
        <f>'Technical Skills Weighting'!B4045+"`FU!%M."</f>
        <v>#VALUE!</v>
      </c>
      <c r="FA89" t="e">
        <f>'Technical Skills Weighting'!B4046+"`FU!%M/"</f>
        <v>#VALUE!</v>
      </c>
      <c r="FB89" t="e">
        <f>'Technical Skills Weighting'!B4047+"`FU!%M0"</f>
        <v>#VALUE!</v>
      </c>
      <c r="FC89" t="e">
        <f>'Technical Skills Weighting'!B4048+"`FU!%M1"</f>
        <v>#VALUE!</v>
      </c>
      <c r="FD89" t="e">
        <f>'Technical Skills Weighting'!B4049+"`FU!%M2"</f>
        <v>#VALUE!</v>
      </c>
      <c r="FE89" t="e">
        <f>'Technical Skills Weighting'!B4050+"`FU!%M3"</f>
        <v>#VALUE!</v>
      </c>
      <c r="FF89" t="e">
        <f>'Technical Skills Weighting'!B4051+"`FU!%M4"</f>
        <v>#VALUE!</v>
      </c>
      <c r="FG89" t="e">
        <f>'Technical Skills Weighting'!B4052+"`FU!%M5"</f>
        <v>#VALUE!</v>
      </c>
      <c r="FH89" t="e">
        <f>'Technical Skills Weighting'!B4053+"`FU!%M6"</f>
        <v>#VALUE!</v>
      </c>
      <c r="FI89" t="e">
        <f>'Technical Skills Weighting'!B4054+"`FU!%M7"</f>
        <v>#VALUE!</v>
      </c>
      <c r="FJ89" t="e">
        <f>'Technical Skills Weighting'!B4055+"`FU!%M8"</f>
        <v>#VALUE!</v>
      </c>
      <c r="FK89" t="e">
        <f>'Technical Skills Weighting'!B4056+"`FU!%M9"</f>
        <v>#VALUE!</v>
      </c>
      <c r="FL89" t="e">
        <f>'Technical Skills Weighting'!B4057+"`FU!%M:"</f>
        <v>#VALUE!</v>
      </c>
      <c r="FM89" t="e">
        <f>'Technical Skills Weighting'!B4058+"`FU!%M;"</f>
        <v>#VALUE!</v>
      </c>
      <c r="FN89" t="e">
        <f>'Technical Skills Weighting'!B4059+"`FU!%M&lt;"</f>
        <v>#VALUE!</v>
      </c>
      <c r="FO89" t="e">
        <f>'Technical Skills Weighting'!B4060+"`FU!%M="</f>
        <v>#VALUE!</v>
      </c>
      <c r="FP89" t="e">
        <f>'Technical Skills Weighting'!B4061+"`FU!%M&gt;"</f>
        <v>#VALUE!</v>
      </c>
      <c r="FQ89" t="e">
        <f>'Technical Skills Weighting'!B4062+"`FU!%M?"</f>
        <v>#VALUE!</v>
      </c>
      <c r="FR89" t="e">
        <f>'Technical Skills Weighting'!B4063+"`FU!%M@"</f>
        <v>#VALUE!</v>
      </c>
      <c r="FS89" t="e">
        <f>'Technical Skills Weighting'!B4064+"`FU!%MA"</f>
        <v>#VALUE!</v>
      </c>
      <c r="FT89" t="e">
        <f>'Technical Skills Weighting'!B4065+"`FU!%MB"</f>
        <v>#VALUE!</v>
      </c>
      <c r="FU89" t="e">
        <f>'Technical Skills Weighting'!B4066+"`FU!%MC"</f>
        <v>#VALUE!</v>
      </c>
      <c r="FV89" t="e">
        <f>'Technical Skills Weighting'!B4067+"`FU!%MD"</f>
        <v>#VALUE!</v>
      </c>
      <c r="FW89" t="e">
        <f>'Technical Skills Weighting'!B4068+"`FU!%ME"</f>
        <v>#VALUE!</v>
      </c>
      <c r="FX89" t="e">
        <f>'Technical Skills Weighting'!B4069+"`FU!%MF"</f>
        <v>#VALUE!</v>
      </c>
      <c r="FY89" t="e">
        <f>'Technical Skills Weighting'!B4070+"`FU!%MG"</f>
        <v>#VALUE!</v>
      </c>
      <c r="FZ89" t="e">
        <f>'Technical Skills Weighting'!B4071+"`FU!%MH"</f>
        <v>#VALUE!</v>
      </c>
      <c r="GA89" t="e">
        <f>'Technical Skills Weighting'!B4072+"`FU!%MI"</f>
        <v>#VALUE!</v>
      </c>
      <c r="GB89" t="e">
        <f>'Technical Skills Weighting'!B4073+"`FU!%MJ"</f>
        <v>#VALUE!</v>
      </c>
      <c r="GC89" t="e">
        <f>'Technical Skills Weighting'!B4074+"`FU!%MK"</f>
        <v>#VALUE!</v>
      </c>
      <c r="GD89" t="e">
        <f>'Technical Skills Weighting'!B4075+"`FU!%ML"</f>
        <v>#VALUE!</v>
      </c>
      <c r="GE89" t="e">
        <f>'Technical Skills Weighting'!B4076+"`FU!%MM"</f>
        <v>#VALUE!</v>
      </c>
      <c r="GF89" t="e">
        <f>'Technical Skills Weighting'!B4077+"`FU!%MN"</f>
        <v>#VALUE!</v>
      </c>
      <c r="GG89" t="e">
        <f>'Technical Skills Weighting'!B4078+"`FU!%MO"</f>
        <v>#VALUE!</v>
      </c>
      <c r="GH89" t="e">
        <f>'Technical Skills Weighting'!B4079+"`FU!%MP"</f>
        <v>#VALUE!</v>
      </c>
      <c r="GI89" t="e">
        <f>'Technical Skills Weighting'!B4080+"`FU!%MQ"</f>
        <v>#VALUE!</v>
      </c>
      <c r="GJ89" t="e">
        <f>'Technical Skills Weighting'!B4081+"`FU!%MR"</f>
        <v>#VALUE!</v>
      </c>
      <c r="GK89" t="e">
        <f>'Technical Skills Weighting'!B4082+"`FU!%MS"</f>
        <v>#VALUE!</v>
      </c>
      <c r="GL89" t="e">
        <f>'Technical Skills Weighting'!B4083+"`FU!%MT"</f>
        <v>#VALUE!</v>
      </c>
      <c r="GM89" t="e">
        <f>'Technical Skills Weighting'!B4084+"`FU!%MU"</f>
        <v>#VALUE!</v>
      </c>
      <c r="GN89" t="e">
        <f>'Technical Skills Weighting'!B4085+"`FU!%MV"</f>
        <v>#VALUE!</v>
      </c>
      <c r="GO89" t="e">
        <f>'Technical Skills Weighting'!B4086+"`FU!%MW"</f>
        <v>#VALUE!</v>
      </c>
      <c r="GP89" t="e">
        <f>'Technical Skills Weighting'!B4087+"`FU!%MX"</f>
        <v>#VALUE!</v>
      </c>
      <c r="GQ89" t="e">
        <f>'Technical Skills Weighting'!B4088+"`FU!%MY"</f>
        <v>#VALUE!</v>
      </c>
      <c r="GR89" t="e">
        <f>'Technical Skills Weighting'!B4089+"`FU!%MZ"</f>
        <v>#VALUE!</v>
      </c>
      <c r="GS89" t="e">
        <f>'Technical Skills Weighting'!B4090+"`FU!%M["</f>
        <v>#VALUE!</v>
      </c>
      <c r="GT89" t="e">
        <f>'Technical Skills Weighting'!B4091+"`FU!%M\"</f>
        <v>#VALUE!</v>
      </c>
      <c r="GU89" t="e">
        <f>'Technical Skills Weighting'!B4092+"`FU!%M]"</f>
        <v>#VALUE!</v>
      </c>
      <c r="GV89" t="e">
        <f>'Technical Skills Weighting'!B4093+"`FU!%M^"</f>
        <v>#VALUE!</v>
      </c>
      <c r="GW89" t="e">
        <f>'Technical Skills Weighting'!B4094+"`FU!%M_"</f>
        <v>#VALUE!</v>
      </c>
      <c r="GX89" t="e">
        <f>'Technical Skills Weighting'!B4095+"`FU!%M`"</f>
        <v>#VALUE!</v>
      </c>
      <c r="GY89" t="e">
        <f>'Technical Skills Weighting'!B4096+"`FU!%Ma"</f>
        <v>#VALUE!</v>
      </c>
      <c r="GZ89" t="e">
        <f>'Technical Skills Weighting'!B4097+"`FU!%Mb"</f>
        <v>#VALUE!</v>
      </c>
      <c r="HA89" t="e">
        <f>'Technical Skills Weighting'!B4098+"`FU!%Mc"</f>
        <v>#VALUE!</v>
      </c>
      <c r="HB89" t="e">
        <f>'Technical Skills Weighting'!B4099+"`FU!%Md"</f>
        <v>#VALUE!</v>
      </c>
      <c r="HC89" t="e">
        <f>'Technical Skills Weighting'!B4100+"`FU!%Me"</f>
        <v>#VALUE!</v>
      </c>
      <c r="HD89" t="e">
        <f>'Technical Skills Weighting'!B4101+"`FU!%Mf"</f>
        <v>#VALUE!</v>
      </c>
      <c r="HE89" t="e">
        <f>'Technical Skills Weighting'!B4102+"`FU!%Mg"</f>
        <v>#VALUE!</v>
      </c>
      <c r="HF89" t="e">
        <f>'Technical Skills Weighting'!B4103+"`FU!%Mh"</f>
        <v>#VALUE!</v>
      </c>
      <c r="HG89" t="e">
        <f>'Technical Skills Weighting'!B4104+"`FU!%Mi"</f>
        <v>#VALUE!</v>
      </c>
      <c r="HH89" t="e">
        <f>'Technical Skills Weighting'!B4105+"`FU!%Mj"</f>
        <v>#VALUE!</v>
      </c>
      <c r="HI89" t="e">
        <f>'Technical Skills Weighting'!B4106+"`FU!%Mk"</f>
        <v>#VALUE!</v>
      </c>
      <c r="HJ89" t="e">
        <f>'Technical Skills Weighting'!B4107+"`FU!%Ml"</f>
        <v>#VALUE!</v>
      </c>
      <c r="HK89" t="e">
        <f>'Technical Skills Weighting'!B4108+"`FU!%Mm"</f>
        <v>#VALUE!</v>
      </c>
      <c r="HL89" t="e">
        <f>'Technical Skills Weighting'!B4109+"`FU!%Mn"</f>
        <v>#VALUE!</v>
      </c>
      <c r="HM89" t="e">
        <f>'Technical Skills Weighting'!B4110+"`FU!%Mo"</f>
        <v>#VALUE!</v>
      </c>
      <c r="HN89" t="e">
        <f>'Technical Skills Weighting'!B4111+"`FU!%Mp"</f>
        <v>#VALUE!</v>
      </c>
      <c r="HO89" t="e">
        <f>'Technical Skills Weighting'!B4112+"`FU!%Mq"</f>
        <v>#VALUE!</v>
      </c>
      <c r="HP89" t="e">
        <f>'Technical Skills Weighting'!B4113+"`FU!%Mr"</f>
        <v>#VALUE!</v>
      </c>
      <c r="HQ89" t="e">
        <f>'Technical Skills Weighting'!B4114+"`FU!%Ms"</f>
        <v>#VALUE!</v>
      </c>
      <c r="HR89" t="e">
        <f>'Technical Skills Weighting'!B4115+"`FU!%Mt"</f>
        <v>#VALUE!</v>
      </c>
      <c r="HS89" t="e">
        <f>'Technical Skills Weighting'!B4116+"`FU!%Mu"</f>
        <v>#VALUE!</v>
      </c>
      <c r="HT89" t="e">
        <f>'Technical Skills Weighting'!B4117+"`FU!%Mv"</f>
        <v>#VALUE!</v>
      </c>
      <c r="HU89" t="e">
        <f>'Technical Skills Weighting'!B4118+"`FU!%Mw"</f>
        <v>#VALUE!</v>
      </c>
      <c r="HV89" t="e">
        <f>'Technical Skills Weighting'!B4119+"`FU!%Mx"</f>
        <v>#VALUE!</v>
      </c>
      <c r="HW89" t="e">
        <f>'Technical Skills Weighting'!B4120+"`FU!%My"</f>
        <v>#VALUE!</v>
      </c>
      <c r="HX89" t="e">
        <f>'Technical Skills Weighting'!B4121+"`FU!%Mz"</f>
        <v>#VALUE!</v>
      </c>
      <c r="HY89" t="e">
        <f>'Technical Skills Weighting'!B4122+"`FU!%M{"</f>
        <v>#VALUE!</v>
      </c>
      <c r="HZ89" t="e">
        <f>'Technical Skills Weighting'!B4123+"`FU!%M|"</f>
        <v>#VALUE!</v>
      </c>
      <c r="IA89" t="e">
        <f>'Technical Skills Weighting'!B4124+"`FU!%M}"</f>
        <v>#VALUE!</v>
      </c>
      <c r="IB89" t="e">
        <f>'Technical Skills Weighting'!B4125+"`FU!%M~"</f>
        <v>#VALUE!</v>
      </c>
      <c r="IC89" t="e">
        <f>'Technical Skills Weighting'!B4126+"`FU!%N#"</f>
        <v>#VALUE!</v>
      </c>
      <c r="ID89" t="e">
        <f>'Technical Skills Weighting'!B4127+"`FU!%N$"</f>
        <v>#VALUE!</v>
      </c>
      <c r="IE89" t="e">
        <f>'Technical Skills Weighting'!B4128+"`FU!%N%"</f>
        <v>#VALUE!</v>
      </c>
      <c r="IF89" t="e">
        <f>'Technical Skills Weighting'!B4129+"`FU!%N&amp;"</f>
        <v>#VALUE!</v>
      </c>
      <c r="IG89" t="e">
        <f>'Technical Skills Weighting'!B4130+"`FU!%N'"</f>
        <v>#VALUE!</v>
      </c>
      <c r="IH89" t="e">
        <f>'Technical Skills Weighting'!B4131+"`FU!%N("</f>
        <v>#VALUE!</v>
      </c>
      <c r="II89" t="e">
        <f>'Technical Skills Weighting'!B4132+"`FU!%N)"</f>
        <v>#VALUE!</v>
      </c>
      <c r="IJ89" t="e">
        <f>'Technical Skills Weighting'!B4133+"`FU!%N."</f>
        <v>#VALUE!</v>
      </c>
      <c r="IK89" t="e">
        <f>'Technical Skills Weighting'!B4134+"`FU!%N/"</f>
        <v>#VALUE!</v>
      </c>
      <c r="IL89" t="e">
        <f>'Technical Skills Weighting'!B4135+"`FU!%N0"</f>
        <v>#VALUE!</v>
      </c>
      <c r="IM89" t="e">
        <f>'Technical Skills Weighting'!B4136+"`FU!%N1"</f>
        <v>#VALUE!</v>
      </c>
      <c r="IN89" t="e">
        <f>'Technical Skills Weighting'!B4137+"`FU!%N2"</f>
        <v>#VALUE!</v>
      </c>
      <c r="IO89" t="e">
        <f>'Technical Skills Weighting'!B4138+"`FU!%N3"</f>
        <v>#VALUE!</v>
      </c>
      <c r="IP89" t="e">
        <f>'Technical Skills Weighting'!B4139+"`FU!%N4"</f>
        <v>#VALUE!</v>
      </c>
      <c r="IQ89" t="e">
        <f>'Technical Skills Weighting'!B4140+"`FU!%N5"</f>
        <v>#VALUE!</v>
      </c>
      <c r="IR89" t="e">
        <f>'Technical Skills Weighting'!B4141+"`FU!%N6"</f>
        <v>#VALUE!</v>
      </c>
      <c r="IS89" t="e">
        <f>'Technical Skills Weighting'!B4142+"`FU!%N7"</f>
        <v>#VALUE!</v>
      </c>
      <c r="IT89" t="e">
        <f>'Technical Skills Weighting'!B4143+"`FU!%N8"</f>
        <v>#VALUE!</v>
      </c>
      <c r="IU89" t="e">
        <f>'Technical Skills Weighting'!B4144+"`FU!%N9"</f>
        <v>#VALUE!</v>
      </c>
      <c r="IV89" t="e">
        <f>'Technical Skills Weighting'!B4145+"`FU!%N:"</f>
        <v>#VALUE!</v>
      </c>
    </row>
    <row r="90" spans="6:256" x14ac:dyDescent="0.25">
      <c r="F90" t="e">
        <f>'Technical Skills Weighting'!B4146+"`FU!%N;"</f>
        <v>#VALUE!</v>
      </c>
      <c r="G90" t="e">
        <f>'Technical Skills Weighting'!B4147+"`FU!%N&lt;"</f>
        <v>#VALUE!</v>
      </c>
      <c r="H90" t="e">
        <f>'Technical Skills Weighting'!B4148+"`FU!%N="</f>
        <v>#VALUE!</v>
      </c>
      <c r="I90" t="e">
        <f>'Technical Skills Weighting'!B4149+"`FU!%N&gt;"</f>
        <v>#VALUE!</v>
      </c>
      <c r="J90" t="e">
        <f>'Technical Skills Weighting'!B4150+"`FU!%N?"</f>
        <v>#VALUE!</v>
      </c>
      <c r="K90" t="e">
        <f>'Technical Skills Weighting'!B4151+"`FU!%N@"</f>
        <v>#VALUE!</v>
      </c>
      <c r="L90" t="e">
        <f>'Technical Skills Weighting'!B4152+"`FU!%NA"</f>
        <v>#VALUE!</v>
      </c>
      <c r="M90" t="e">
        <f>'Technical Skills Weighting'!B4153+"`FU!%NB"</f>
        <v>#VALUE!</v>
      </c>
      <c r="N90" t="e">
        <f>'Technical Skills Weighting'!B4154+"`FU!%NC"</f>
        <v>#VALUE!</v>
      </c>
      <c r="O90" t="e">
        <f>'Technical Skills Weighting'!B4155+"`FU!%ND"</f>
        <v>#VALUE!</v>
      </c>
      <c r="P90" t="e">
        <f>'Technical Skills Weighting'!B4156+"`FU!%NE"</f>
        <v>#VALUE!</v>
      </c>
      <c r="Q90" t="e">
        <f>'Technical Skills Weighting'!B4157+"`FU!%NF"</f>
        <v>#VALUE!</v>
      </c>
      <c r="R90" t="e">
        <f>'Technical Skills Weighting'!B4158+"`FU!%NG"</f>
        <v>#VALUE!</v>
      </c>
      <c r="S90" t="e">
        <f>'Technical Skills Weighting'!B4159+"`FU!%NH"</f>
        <v>#VALUE!</v>
      </c>
      <c r="T90" t="e">
        <f>'Technical Skills Weighting'!B4160+"`FU!%NI"</f>
        <v>#VALUE!</v>
      </c>
      <c r="U90" t="e">
        <f>'Technical Skills Weighting'!B4161+"`FU!%NJ"</f>
        <v>#VALUE!</v>
      </c>
      <c r="V90" t="e">
        <f>'Technical Skills Weighting'!B4162+"`FU!%NK"</f>
        <v>#VALUE!</v>
      </c>
      <c r="W90" t="e">
        <f>'Technical Skills Weighting'!B4163+"`FU!%NL"</f>
        <v>#VALUE!</v>
      </c>
      <c r="X90" t="e">
        <f>'Technical Skills Weighting'!B4164+"`FU!%NM"</f>
        <v>#VALUE!</v>
      </c>
      <c r="Y90" t="e">
        <f>'Technical Skills Weighting'!B4165+"`FU!%NN"</f>
        <v>#VALUE!</v>
      </c>
      <c r="Z90" t="e">
        <f>'Technical Skills Weighting'!B4166+"`FU!%NO"</f>
        <v>#VALUE!</v>
      </c>
      <c r="AA90" t="e">
        <f>'Technical Skills Weighting'!B4167+"`FU!%NP"</f>
        <v>#VALUE!</v>
      </c>
      <c r="AB90" t="e">
        <f>'Technical Skills Weighting'!B4168+"`FU!%NQ"</f>
        <v>#VALUE!</v>
      </c>
      <c r="AC90" t="e">
        <f>'Technical Skills Weighting'!B4169+"`FU!%NR"</f>
        <v>#VALUE!</v>
      </c>
      <c r="AD90" t="e">
        <f>'Technical Skills Weighting'!B4170+"`FU!%NS"</f>
        <v>#VALUE!</v>
      </c>
      <c r="AE90" t="e">
        <f>'Technical Skills Weighting'!B4171+"`FU!%NT"</f>
        <v>#VALUE!</v>
      </c>
      <c r="AF90" t="e">
        <f>'Technical Skills Weighting'!B4172+"`FU!%NU"</f>
        <v>#VALUE!</v>
      </c>
      <c r="AG90" t="e">
        <f>'Technical Skills Weighting'!B4173+"`FU!%NV"</f>
        <v>#VALUE!</v>
      </c>
      <c r="AH90" t="e">
        <f>'Technical Skills Weighting'!B4174+"`FU!%NW"</f>
        <v>#VALUE!</v>
      </c>
      <c r="AI90" t="e">
        <f>'Technical Skills Weighting'!B4175+"`FU!%NX"</f>
        <v>#VALUE!</v>
      </c>
      <c r="AJ90" t="e">
        <f>'Technical Skills Weighting'!B4176+"`FU!%NY"</f>
        <v>#VALUE!</v>
      </c>
      <c r="AK90" t="e">
        <f>'Technical Skills Weighting'!B4177+"`FU!%NZ"</f>
        <v>#VALUE!</v>
      </c>
      <c r="AL90" t="e">
        <f>'Technical Skills Weighting'!B4178+"`FU!%N["</f>
        <v>#VALUE!</v>
      </c>
      <c r="AM90" t="e">
        <f>'Technical Skills Weighting'!B4179+"`FU!%N\"</f>
        <v>#VALUE!</v>
      </c>
      <c r="AN90" t="e">
        <f>'Technical Skills Weighting'!B4180+"`FU!%N]"</f>
        <v>#VALUE!</v>
      </c>
      <c r="AO90" t="e">
        <f>'Technical Skills Weighting'!B4181+"`FU!%N^"</f>
        <v>#VALUE!</v>
      </c>
      <c r="AP90" t="e">
        <f>'Technical Skills Weighting'!B4182+"`FU!%N_"</f>
        <v>#VALUE!</v>
      </c>
      <c r="AQ90" t="e">
        <f>'Technical Skills Weighting'!B4183+"`FU!%N`"</f>
        <v>#VALUE!</v>
      </c>
      <c r="AR90" t="e">
        <f>'Technical Skills Weighting'!B4184+"`FU!%Na"</f>
        <v>#VALUE!</v>
      </c>
      <c r="AS90" t="e">
        <f>'Technical Skills Weighting'!B4185+"`FU!%Nb"</f>
        <v>#VALUE!</v>
      </c>
      <c r="AT90" t="e">
        <f>'Technical Skills Weighting'!B4186+"`FU!%Nc"</f>
        <v>#VALUE!</v>
      </c>
      <c r="AU90" t="e">
        <f>'Technical Skills Weighting'!B4187+"`FU!%Nd"</f>
        <v>#VALUE!</v>
      </c>
      <c r="AV90" t="e">
        <f>'Technical Skills Weighting'!B4188+"`FU!%Ne"</f>
        <v>#VALUE!</v>
      </c>
      <c r="AW90" t="e">
        <f>'Technical Skills Weighting'!B4189+"`FU!%Nf"</f>
        <v>#VALUE!</v>
      </c>
      <c r="AX90" t="e">
        <f>'Technical Skills Weighting'!B4190+"`FU!%Ng"</f>
        <v>#VALUE!</v>
      </c>
      <c r="AY90" t="e">
        <f>'Technical Skills Weighting'!B4191+"`FU!%Nh"</f>
        <v>#VALUE!</v>
      </c>
      <c r="AZ90" t="e">
        <f>'Technical Skills Weighting'!B4192+"`FU!%Ni"</f>
        <v>#VALUE!</v>
      </c>
      <c r="BA90" t="e">
        <f>'Technical Skills Weighting'!B4193+"`FU!%Nj"</f>
        <v>#VALUE!</v>
      </c>
      <c r="BB90" t="e">
        <f>'Technical Skills Weighting'!B4194+"`FU!%Nk"</f>
        <v>#VALUE!</v>
      </c>
      <c r="BC90" t="e">
        <f>'Technical Skills Weighting'!B4195+"`FU!%Nl"</f>
        <v>#VALUE!</v>
      </c>
      <c r="BD90" t="e">
        <f>'Technical Skills Weighting'!B4196+"`FU!%Nm"</f>
        <v>#VALUE!</v>
      </c>
      <c r="BE90" t="e">
        <f>'Technical Skills Weighting'!B4197+"`FU!%Nn"</f>
        <v>#VALUE!</v>
      </c>
      <c r="BF90" t="e">
        <f>'Technical Skills Weighting'!B4198+"`FU!%No"</f>
        <v>#VALUE!</v>
      </c>
      <c r="BG90" t="e">
        <f>'Technical Skills Weighting'!B4199+"`FU!%Np"</f>
        <v>#VALUE!</v>
      </c>
      <c r="BH90" t="e">
        <f>'Technical Skills Weighting'!B4200+"`FU!%Nq"</f>
        <v>#VALUE!</v>
      </c>
      <c r="BI90" t="e">
        <f>'Technical Skills Weighting'!B4201+"`FU!%Nr"</f>
        <v>#VALUE!</v>
      </c>
      <c r="BJ90" t="e">
        <f>'Technical Skills Weighting'!B4202+"`FU!%Ns"</f>
        <v>#VALUE!</v>
      </c>
      <c r="BK90" t="e">
        <f>'Technical Skills Weighting'!B4203+"`FU!%Nt"</f>
        <v>#VALUE!</v>
      </c>
      <c r="BL90" t="e">
        <f>'Technical Skills Weighting'!B4204+"`FU!%Nu"</f>
        <v>#VALUE!</v>
      </c>
      <c r="BM90" t="e">
        <f>'Technical Skills Weighting'!B4205+"`FU!%Nv"</f>
        <v>#VALUE!</v>
      </c>
      <c r="BN90" t="e">
        <f>'Technical Skills Weighting'!B4206+"`FU!%Nw"</f>
        <v>#VALUE!</v>
      </c>
      <c r="BO90" t="e">
        <f>'Technical Skills Weighting'!B4207+"`FU!%Nx"</f>
        <v>#VALUE!</v>
      </c>
      <c r="BP90" t="e">
        <f>'Technical Skills Weighting'!B4208+"`FU!%Ny"</f>
        <v>#VALUE!</v>
      </c>
      <c r="BQ90" t="e">
        <f>'Technical Skills Weighting'!B4209+"`FU!%Nz"</f>
        <v>#VALUE!</v>
      </c>
      <c r="BR90" t="e">
        <f>'Technical Skills Weighting'!B4210+"`FU!%N{"</f>
        <v>#VALUE!</v>
      </c>
      <c r="BS90" t="e">
        <f>'Technical Skills Weighting'!B4211+"`FU!%N|"</f>
        <v>#VALUE!</v>
      </c>
      <c r="BT90" t="e">
        <f>'Technical Skills Weighting'!B4212+"`FU!%N}"</f>
        <v>#VALUE!</v>
      </c>
      <c r="BU90" t="e">
        <f>'Technical Skills Weighting'!B4213+"`FU!%N~"</f>
        <v>#VALUE!</v>
      </c>
      <c r="BV90" t="e">
        <f>'Technical Skills Weighting'!B4214+"`FU!%O#"</f>
        <v>#VALUE!</v>
      </c>
      <c r="BW90" t="e">
        <f>'Technical Skills Weighting'!B4215+"`FU!%O$"</f>
        <v>#VALUE!</v>
      </c>
      <c r="BX90" t="e">
        <f>'Technical Skills Weighting'!B4216+"`FU!%O%"</f>
        <v>#VALUE!</v>
      </c>
      <c r="BY90" t="e">
        <f>'Technical Skills Weighting'!B4217+"`FU!%O&amp;"</f>
        <v>#VALUE!</v>
      </c>
      <c r="BZ90" t="e">
        <f>'Technical Skills Weighting'!B4218+"`FU!%O'"</f>
        <v>#VALUE!</v>
      </c>
      <c r="CA90" t="e">
        <f>'Technical Skills Weighting'!B4219+"`FU!%O("</f>
        <v>#VALUE!</v>
      </c>
      <c r="CB90" t="e">
        <f>'Technical Skills Weighting'!B4220+"`FU!%O)"</f>
        <v>#VALUE!</v>
      </c>
      <c r="CC90" t="e">
        <f>'Technical Skills Weighting'!B4221+"`FU!%O."</f>
        <v>#VALUE!</v>
      </c>
      <c r="CD90" t="e">
        <f>'Technical Skills Weighting'!B4222+"`FU!%O/"</f>
        <v>#VALUE!</v>
      </c>
      <c r="CE90" t="e">
        <f>'Technical Skills Weighting'!B4223+"`FU!%O0"</f>
        <v>#VALUE!</v>
      </c>
      <c r="CF90" t="e">
        <f>'Technical Skills Weighting'!B4224+"`FU!%O1"</f>
        <v>#VALUE!</v>
      </c>
      <c r="CG90" t="e">
        <f>'Technical Skills Weighting'!B4225+"`FU!%O2"</f>
        <v>#VALUE!</v>
      </c>
      <c r="CH90" t="e">
        <f>'Technical Skills Weighting'!B4226+"`FU!%O3"</f>
        <v>#VALUE!</v>
      </c>
      <c r="CI90" t="e">
        <f>'Technical Skills Weighting'!B4227+"`FU!%O4"</f>
        <v>#VALUE!</v>
      </c>
      <c r="CJ90" t="e">
        <f>'Technical Skills Weighting'!B4228+"`FU!%O5"</f>
        <v>#VALUE!</v>
      </c>
      <c r="CK90" t="e">
        <f>'Technical Skills Weighting'!B4229+"`FU!%O6"</f>
        <v>#VALUE!</v>
      </c>
      <c r="CL90" t="e">
        <f>'Technical Skills Weighting'!B4230+"`FU!%O7"</f>
        <v>#VALUE!</v>
      </c>
      <c r="CM90" t="e">
        <f>'Technical Skills Weighting'!B4231+"`FU!%O8"</f>
        <v>#VALUE!</v>
      </c>
      <c r="CN90" t="e">
        <f>'Technical Skills Weighting'!B4232+"`FU!%O9"</f>
        <v>#VALUE!</v>
      </c>
      <c r="CO90" t="e">
        <f>'Technical Skills Weighting'!B4233+"`FU!%O:"</f>
        <v>#VALUE!</v>
      </c>
      <c r="CP90" t="e">
        <f>'Technical Skills Weighting'!B4234+"`FU!%O;"</f>
        <v>#VALUE!</v>
      </c>
      <c r="CQ90" t="e">
        <f>'Technical Skills Weighting'!B4235+"`FU!%O&lt;"</f>
        <v>#VALUE!</v>
      </c>
      <c r="CR90" t="e">
        <f>'Technical Skills Weighting'!B4236+"`FU!%O="</f>
        <v>#VALUE!</v>
      </c>
      <c r="CS90" t="e">
        <f>'Technical Skills Weighting'!B4237+"`FU!%O&gt;"</f>
        <v>#VALUE!</v>
      </c>
      <c r="CT90" t="e">
        <f>'Technical Skills Weighting'!B4238+"`FU!%O?"</f>
        <v>#VALUE!</v>
      </c>
      <c r="CU90" t="e">
        <f>'Technical Skills Weighting'!B4239+"`FU!%O@"</f>
        <v>#VALUE!</v>
      </c>
      <c r="CV90" t="e">
        <f>'Technical Skills Weighting'!B4240+"`FU!%OA"</f>
        <v>#VALUE!</v>
      </c>
      <c r="CW90" t="e">
        <f>'Technical Skills Weighting'!B4241+"`FU!%OB"</f>
        <v>#VALUE!</v>
      </c>
      <c r="CX90" t="e">
        <f>'Technical Skills Weighting'!B4242+"`FU!%OC"</f>
        <v>#VALUE!</v>
      </c>
      <c r="CY90" t="e">
        <f>'Technical Skills Weighting'!B4243+"`FU!%OD"</f>
        <v>#VALUE!</v>
      </c>
      <c r="CZ90" t="e">
        <f>'Technical Skills Weighting'!B4244+"`FU!%OE"</f>
        <v>#VALUE!</v>
      </c>
      <c r="DA90" t="e">
        <f>'Technical Skills Weighting'!B4245+"`FU!%OF"</f>
        <v>#VALUE!</v>
      </c>
      <c r="DB90" t="e">
        <f>'Technical Skills Weighting'!B4246+"`FU!%OG"</f>
        <v>#VALUE!</v>
      </c>
      <c r="DC90" t="e">
        <f>'Technical Skills Weighting'!B4247+"`FU!%OH"</f>
        <v>#VALUE!</v>
      </c>
      <c r="DD90" t="e">
        <f>'Technical Skills Weighting'!B4248+"`FU!%OI"</f>
        <v>#VALUE!</v>
      </c>
      <c r="DE90" t="e">
        <f>'Technical Skills Weighting'!B4249+"`FU!%OJ"</f>
        <v>#VALUE!</v>
      </c>
      <c r="DF90" t="e">
        <f>'Technical Skills Weighting'!B4250+"`FU!%OK"</f>
        <v>#VALUE!</v>
      </c>
      <c r="DG90" t="e">
        <f>'Technical Skills Weighting'!B4251+"`FU!%OL"</f>
        <v>#VALUE!</v>
      </c>
      <c r="DH90" t="e">
        <f>'Technical Skills Weighting'!B4252+"`FU!%OM"</f>
        <v>#VALUE!</v>
      </c>
      <c r="DI90" t="e">
        <f>'Technical Skills Weighting'!B4253+"`FU!%ON"</f>
        <v>#VALUE!</v>
      </c>
      <c r="DJ90" t="e">
        <f>'Technical Skills Weighting'!B4254+"`FU!%OO"</f>
        <v>#VALUE!</v>
      </c>
      <c r="DK90" t="e">
        <f>'Technical Skills Weighting'!B4255+"`FU!%OP"</f>
        <v>#VALUE!</v>
      </c>
      <c r="DL90" t="e">
        <f>'Technical Skills Weighting'!B4256+"`FU!%OQ"</f>
        <v>#VALUE!</v>
      </c>
      <c r="DM90" t="e">
        <f>'Technical Skills Weighting'!B4257+"`FU!%OR"</f>
        <v>#VALUE!</v>
      </c>
      <c r="DN90" t="e">
        <f>'Technical Skills Weighting'!B4258+"`FU!%OS"</f>
        <v>#VALUE!</v>
      </c>
      <c r="DO90" t="e">
        <f>'Technical Skills Weighting'!B4259+"`FU!%OT"</f>
        <v>#VALUE!</v>
      </c>
      <c r="DP90" t="e">
        <f>'Technical Skills Weighting'!B4260+"`FU!%OU"</f>
        <v>#VALUE!</v>
      </c>
      <c r="DQ90" t="e">
        <f>'Technical Skills Weighting'!B4261+"`FU!%OV"</f>
        <v>#VALUE!</v>
      </c>
      <c r="DR90" t="e">
        <f>'Technical Skills Weighting'!B4262+"`FU!%OW"</f>
        <v>#VALUE!</v>
      </c>
      <c r="DS90" t="e">
        <f>'Technical Skills Weighting'!B4263+"`FU!%OX"</f>
        <v>#VALUE!</v>
      </c>
      <c r="DT90" t="e">
        <f>'Technical Skills Weighting'!B4264+"`FU!%OY"</f>
        <v>#VALUE!</v>
      </c>
      <c r="DU90" t="e">
        <f>'Technical Skills Weighting'!B4265+"`FU!%OZ"</f>
        <v>#VALUE!</v>
      </c>
      <c r="DV90" t="e">
        <f>'Technical Skills Weighting'!B4266+"`FU!%O["</f>
        <v>#VALUE!</v>
      </c>
      <c r="DW90" t="e">
        <f>'Technical Skills Weighting'!B4267+"`FU!%O\"</f>
        <v>#VALUE!</v>
      </c>
      <c r="DX90" t="e">
        <f>'Technical Skills Weighting'!B4268+"`FU!%O]"</f>
        <v>#VALUE!</v>
      </c>
      <c r="DY90" t="e">
        <f>'Technical Skills Weighting'!B4269+"`FU!%O^"</f>
        <v>#VALUE!</v>
      </c>
      <c r="DZ90" t="e">
        <f>'Technical Skills Weighting'!B4270+"`FU!%O_"</f>
        <v>#VALUE!</v>
      </c>
      <c r="EA90" t="e">
        <f>'Technical Skills Weighting'!B4271+"`FU!%O`"</f>
        <v>#VALUE!</v>
      </c>
      <c r="EB90" t="e">
        <f>'Technical Skills Weighting'!B4272+"`FU!%Oa"</f>
        <v>#VALUE!</v>
      </c>
      <c r="EC90" t="e">
        <f>'Technical Skills Weighting'!B4273+"`FU!%Ob"</f>
        <v>#VALUE!</v>
      </c>
      <c r="ED90" t="e">
        <f>'Technical Skills Weighting'!B4274+"`FU!%Oc"</f>
        <v>#VALUE!</v>
      </c>
      <c r="EE90" t="e">
        <f>'Technical Skills Weighting'!B4275+"`FU!%Od"</f>
        <v>#VALUE!</v>
      </c>
      <c r="EF90" t="e">
        <f>'Technical Skills Weighting'!B4276+"`FU!%Oe"</f>
        <v>#VALUE!</v>
      </c>
      <c r="EG90" t="e">
        <f>'Technical Skills Weighting'!B4277+"`FU!%Of"</f>
        <v>#VALUE!</v>
      </c>
      <c r="EH90" t="e">
        <f>'Technical Skills Weighting'!B4278+"`FU!%Og"</f>
        <v>#VALUE!</v>
      </c>
      <c r="EI90" t="e">
        <f>'Technical Skills Weighting'!B4279+"`FU!%Oh"</f>
        <v>#VALUE!</v>
      </c>
      <c r="EJ90" t="e">
        <f>'Technical Skills Weighting'!B4280+"`FU!%Oi"</f>
        <v>#VALUE!</v>
      </c>
      <c r="EK90" t="e">
        <f>'Technical Skills Weighting'!B4281+"`FU!%Oj"</f>
        <v>#VALUE!</v>
      </c>
      <c r="EL90" t="e">
        <f>'Technical Skills Weighting'!B4282+"`FU!%Ok"</f>
        <v>#VALUE!</v>
      </c>
      <c r="EM90" t="e">
        <f>'Technical Skills Weighting'!B4283+"`FU!%Ol"</f>
        <v>#VALUE!</v>
      </c>
      <c r="EN90" t="e">
        <f>'Technical Skills Weighting'!B4284+"`FU!%Om"</f>
        <v>#VALUE!</v>
      </c>
      <c r="EO90" t="e">
        <f>'Technical Skills Weighting'!B4285+"`FU!%On"</f>
        <v>#VALUE!</v>
      </c>
      <c r="EP90" t="e">
        <f>'Technical Skills Weighting'!B4286+"`FU!%Oo"</f>
        <v>#VALUE!</v>
      </c>
      <c r="EQ90" t="e">
        <f>'Technical Skills Weighting'!B4287+"`FU!%Op"</f>
        <v>#VALUE!</v>
      </c>
      <c r="ER90" t="e">
        <f>'Technical Skills Weighting'!B4288+"`FU!%Oq"</f>
        <v>#VALUE!</v>
      </c>
      <c r="ES90" t="e">
        <f>'Technical Skills Weighting'!B4289+"`FU!%Or"</f>
        <v>#VALUE!</v>
      </c>
      <c r="ET90" t="e">
        <f>'Technical Skills Weighting'!B4290+"`FU!%Os"</f>
        <v>#VALUE!</v>
      </c>
      <c r="EU90" t="e">
        <f>'Technical Skills Weighting'!B4291+"`FU!%Ot"</f>
        <v>#VALUE!</v>
      </c>
      <c r="EV90" t="e">
        <f>'Technical Skills Weighting'!B4292+"`FU!%Ou"</f>
        <v>#VALUE!</v>
      </c>
      <c r="EW90" t="e">
        <f>'Technical Skills Weighting'!B4293+"`FU!%Ov"</f>
        <v>#VALUE!</v>
      </c>
      <c r="EX90" t="e">
        <f>'Technical Skills Weighting'!B4294+"`FU!%Ow"</f>
        <v>#VALUE!</v>
      </c>
      <c r="EY90" t="e">
        <f>'Technical Skills Weighting'!B4295+"`FU!%Ox"</f>
        <v>#VALUE!</v>
      </c>
      <c r="EZ90" t="e">
        <f>'Technical Skills Weighting'!B4296+"`FU!%Oy"</f>
        <v>#VALUE!</v>
      </c>
      <c r="FA90" t="e">
        <f>'Technical Skills Weighting'!B4297+"`FU!%Oz"</f>
        <v>#VALUE!</v>
      </c>
      <c r="FB90" t="e">
        <f>'Technical Skills Weighting'!B4298+"`FU!%O{"</f>
        <v>#VALUE!</v>
      </c>
      <c r="FC90" t="e">
        <f>'Technical Skills Weighting'!B4299+"`FU!%O|"</f>
        <v>#VALUE!</v>
      </c>
      <c r="FD90" t="e">
        <f>'Technical Skills Weighting'!B4300+"`FU!%O}"</f>
        <v>#VALUE!</v>
      </c>
      <c r="FE90" t="e">
        <f>'Technical Skills Weighting'!B4301+"`FU!%O~"</f>
        <v>#VALUE!</v>
      </c>
      <c r="FF90" t="e">
        <f>'Technical Skills Weighting'!B4302+"`FU!%P#"</f>
        <v>#VALUE!</v>
      </c>
      <c r="FG90" t="e">
        <f>'Technical Skills Weighting'!B4303+"`FU!%P$"</f>
        <v>#VALUE!</v>
      </c>
      <c r="FH90" t="e">
        <f>'Technical Skills Weighting'!B4304+"`FU!%P%"</f>
        <v>#VALUE!</v>
      </c>
      <c r="FI90" t="e">
        <f>'Technical Skills Weighting'!B4305+"`FU!%P&amp;"</f>
        <v>#VALUE!</v>
      </c>
      <c r="FJ90" t="e">
        <f>'Technical Skills Weighting'!B4306+"`FU!%P'"</f>
        <v>#VALUE!</v>
      </c>
      <c r="FK90" t="e">
        <f>'Technical Skills Weighting'!B4307+"`FU!%P("</f>
        <v>#VALUE!</v>
      </c>
      <c r="FL90" t="e">
        <f>'Technical Skills Weighting'!B4308+"`FU!%P)"</f>
        <v>#VALUE!</v>
      </c>
      <c r="FM90" t="e">
        <f>'Technical Skills Weighting'!B4309+"`FU!%P."</f>
        <v>#VALUE!</v>
      </c>
      <c r="FN90" t="e">
        <f>'Technical Skills Weighting'!B4310+"`FU!%P/"</f>
        <v>#VALUE!</v>
      </c>
      <c r="FO90" t="e">
        <f>'Technical Skills Weighting'!B4311+"`FU!%P0"</f>
        <v>#VALUE!</v>
      </c>
      <c r="FP90" t="e">
        <f>'Technical Skills Weighting'!B4312+"`FU!%P1"</f>
        <v>#VALUE!</v>
      </c>
      <c r="FQ90" t="e">
        <f>'Technical Skills Weighting'!B4313+"`FU!%P2"</f>
        <v>#VALUE!</v>
      </c>
      <c r="FR90" t="e">
        <f>'Technical Skills Weighting'!B4314+"`FU!%P3"</f>
        <v>#VALUE!</v>
      </c>
      <c r="FS90" t="e">
        <f>'Technical Skills Weighting'!B4315+"`FU!%P4"</f>
        <v>#VALUE!</v>
      </c>
      <c r="FT90" t="e">
        <f>'Technical Skills Weighting'!B4316+"`FU!%P5"</f>
        <v>#VALUE!</v>
      </c>
      <c r="FU90" t="e">
        <f>'Technical Skills Weighting'!B4317+"`FU!%P6"</f>
        <v>#VALUE!</v>
      </c>
      <c r="FV90" t="e">
        <f>'Technical Skills Weighting'!B4318+"`FU!%P7"</f>
        <v>#VALUE!</v>
      </c>
      <c r="FW90" t="e">
        <f>'Technical Skills Weighting'!B4319+"`FU!%P8"</f>
        <v>#VALUE!</v>
      </c>
      <c r="FX90" t="e">
        <f>'Technical Skills Weighting'!B4320+"`FU!%P9"</f>
        <v>#VALUE!</v>
      </c>
      <c r="FY90" t="e">
        <f>'Technical Skills Weighting'!B4321+"`FU!%P:"</f>
        <v>#VALUE!</v>
      </c>
      <c r="FZ90" t="e">
        <f>'Technical Skills Weighting'!B4322+"`FU!%P;"</f>
        <v>#VALUE!</v>
      </c>
      <c r="GA90" t="e">
        <f>'Technical Skills Weighting'!B4323+"`FU!%P&lt;"</f>
        <v>#VALUE!</v>
      </c>
      <c r="GB90" t="e">
        <f>'Technical Skills Weighting'!B4324+"`FU!%P="</f>
        <v>#VALUE!</v>
      </c>
      <c r="GC90" t="e">
        <f>'Technical Skills Weighting'!B4325+"`FU!%P&gt;"</f>
        <v>#VALUE!</v>
      </c>
      <c r="GD90" t="e">
        <f>'Technical Skills Weighting'!B4326+"`FU!%P?"</f>
        <v>#VALUE!</v>
      </c>
      <c r="GE90" t="e">
        <f>'Technical Skills Weighting'!B4327+"`FU!%P@"</f>
        <v>#VALUE!</v>
      </c>
      <c r="GF90" t="e">
        <f>'Technical Skills Weighting'!B4328+"`FU!%PA"</f>
        <v>#VALUE!</v>
      </c>
      <c r="GG90" t="e">
        <f>'Technical Skills Weighting'!B4329+"`FU!%PB"</f>
        <v>#VALUE!</v>
      </c>
      <c r="GH90" t="e">
        <f>'Technical Skills Weighting'!B4330+"`FU!%PC"</f>
        <v>#VALUE!</v>
      </c>
      <c r="GI90" t="e">
        <f>'Technical Skills Weighting'!B4331+"`FU!%PD"</f>
        <v>#VALUE!</v>
      </c>
      <c r="GJ90" t="e">
        <f>'Technical Skills Weighting'!B4332+"`FU!%PE"</f>
        <v>#VALUE!</v>
      </c>
      <c r="GK90" t="e">
        <f>'Technical Skills Weighting'!B4333+"`FU!%PF"</f>
        <v>#VALUE!</v>
      </c>
      <c r="GL90" t="e">
        <f>'Technical Skills Weighting'!B4334+"`FU!%PG"</f>
        <v>#VALUE!</v>
      </c>
      <c r="GM90" t="e">
        <f>'Technical Skills Weighting'!B4335+"`FU!%PH"</f>
        <v>#VALUE!</v>
      </c>
      <c r="GN90" t="e">
        <f>'Technical Skills Weighting'!B4336+"`FU!%PI"</f>
        <v>#VALUE!</v>
      </c>
      <c r="GO90" t="e">
        <f>'Technical Skills Weighting'!B4337+"`FU!%PJ"</f>
        <v>#VALUE!</v>
      </c>
      <c r="GP90" t="e">
        <f>'Technical Skills Weighting'!B4338+"`FU!%PK"</f>
        <v>#VALUE!</v>
      </c>
      <c r="GQ90" t="e">
        <f>'Technical Skills Weighting'!B4339+"`FU!%PL"</f>
        <v>#VALUE!</v>
      </c>
      <c r="GR90" t="e">
        <f>'Technical Skills Weighting'!B4340+"`FU!%PM"</f>
        <v>#VALUE!</v>
      </c>
      <c r="GS90" t="e">
        <f>'Technical Skills Weighting'!B4341+"`FU!%PN"</f>
        <v>#VALUE!</v>
      </c>
      <c r="GT90" t="e">
        <f>'Technical Skills Weighting'!B4342+"`FU!%PO"</f>
        <v>#VALUE!</v>
      </c>
      <c r="GU90" t="e">
        <f>'Technical Skills Weighting'!B4343+"`FU!%PP"</f>
        <v>#VALUE!</v>
      </c>
      <c r="GV90" t="e">
        <f>'Technical Skills Weighting'!B4344+"`FU!%PQ"</f>
        <v>#VALUE!</v>
      </c>
      <c r="GW90" t="e">
        <f>'Technical Skills Weighting'!B4345+"`FU!%PR"</f>
        <v>#VALUE!</v>
      </c>
      <c r="GX90" t="e">
        <f>'Technical Skills Weighting'!B4346+"`FU!%PS"</f>
        <v>#VALUE!</v>
      </c>
      <c r="GY90" t="e">
        <f>'Technical Skills Weighting'!B4347+"`FU!%PT"</f>
        <v>#VALUE!</v>
      </c>
      <c r="GZ90" t="e">
        <f>'Technical Skills Weighting'!B4348+"`FU!%PU"</f>
        <v>#VALUE!</v>
      </c>
      <c r="HA90" t="e">
        <f>'Technical Skills Weighting'!B4349+"`FU!%PV"</f>
        <v>#VALUE!</v>
      </c>
      <c r="HB90" t="e">
        <f>'Technical Skills Weighting'!B4350+"`FU!%PW"</f>
        <v>#VALUE!</v>
      </c>
      <c r="HC90" t="e">
        <f>'Technical Skills Weighting'!B4351+"`FU!%PX"</f>
        <v>#VALUE!</v>
      </c>
      <c r="HD90" t="e">
        <f>'Technical Skills Weighting'!B4352+"`FU!%PY"</f>
        <v>#VALUE!</v>
      </c>
      <c r="HE90" t="e">
        <f>'Technical Skills Weighting'!B4353+"`FU!%PZ"</f>
        <v>#VALUE!</v>
      </c>
      <c r="HF90" t="e">
        <f>'Technical Skills Weighting'!B4354+"`FU!%P["</f>
        <v>#VALUE!</v>
      </c>
      <c r="HG90" t="e">
        <f>'Technical Skills Weighting'!B4355+"`FU!%P\"</f>
        <v>#VALUE!</v>
      </c>
      <c r="HH90" t="e">
        <f>'Technical Skills Weighting'!B4356+"`FU!%P]"</f>
        <v>#VALUE!</v>
      </c>
      <c r="HI90" t="e">
        <f>'Technical Skills Weighting'!B4357+"`FU!%P^"</f>
        <v>#VALUE!</v>
      </c>
      <c r="HJ90" t="e">
        <f>'Technical Skills Weighting'!B4358+"`FU!%P_"</f>
        <v>#VALUE!</v>
      </c>
      <c r="HK90" t="e">
        <f>'Technical Skills Weighting'!B4359+"`FU!%P`"</f>
        <v>#VALUE!</v>
      </c>
      <c r="HL90" t="e">
        <f>'Technical Skills Weighting'!B4360+"`FU!%Pa"</f>
        <v>#VALUE!</v>
      </c>
      <c r="HM90" t="e">
        <f>'Technical Skills Weighting'!B4361+"`FU!%Pb"</f>
        <v>#VALUE!</v>
      </c>
      <c r="HN90" t="e">
        <f>'Technical Skills Weighting'!B4362+"`FU!%Pc"</f>
        <v>#VALUE!</v>
      </c>
      <c r="HO90" t="e">
        <f>'Technical Skills Weighting'!B4363+"`FU!%Pd"</f>
        <v>#VALUE!</v>
      </c>
      <c r="HP90" t="e">
        <f>'Technical Skills Weighting'!B4364+"`FU!%Pe"</f>
        <v>#VALUE!</v>
      </c>
      <c r="HQ90" t="e">
        <f>'Technical Skills Weighting'!B4365+"`FU!%Pf"</f>
        <v>#VALUE!</v>
      </c>
      <c r="HR90" t="e">
        <f>'Technical Skills Weighting'!B4366+"`FU!%Pg"</f>
        <v>#VALUE!</v>
      </c>
      <c r="HS90" t="e">
        <f>'Technical Skills Weighting'!B4367+"`FU!%Ph"</f>
        <v>#VALUE!</v>
      </c>
      <c r="HT90" t="e">
        <f>'Technical Skills Weighting'!B4368+"`FU!%Pi"</f>
        <v>#VALUE!</v>
      </c>
      <c r="HU90" t="e">
        <f>'Technical Skills Weighting'!B4369+"`FU!%Pj"</f>
        <v>#VALUE!</v>
      </c>
      <c r="HV90" t="e">
        <f>'Technical Skills Weighting'!B4370+"`FU!%Pk"</f>
        <v>#VALUE!</v>
      </c>
      <c r="HW90" t="e">
        <f>'Technical Skills Weighting'!B4371+"`FU!%Pl"</f>
        <v>#VALUE!</v>
      </c>
      <c r="HX90" t="e">
        <f>'Technical Skills Weighting'!B4372+"`FU!%Pm"</f>
        <v>#VALUE!</v>
      </c>
      <c r="HY90" t="e">
        <f>'Technical Skills Weighting'!B4373+"`FU!%Pn"</f>
        <v>#VALUE!</v>
      </c>
      <c r="HZ90" t="e">
        <f>'Technical Skills Weighting'!B4374+"`FU!%Po"</f>
        <v>#VALUE!</v>
      </c>
      <c r="IA90" t="e">
        <f>'Technical Skills Weighting'!B4375+"`FU!%Pp"</f>
        <v>#VALUE!</v>
      </c>
      <c r="IB90" t="e">
        <f>'Technical Skills Weighting'!B4376+"`FU!%Pq"</f>
        <v>#VALUE!</v>
      </c>
      <c r="IC90" t="e">
        <f>'Technical Skills Weighting'!B4377+"`FU!%Pr"</f>
        <v>#VALUE!</v>
      </c>
      <c r="ID90" t="e">
        <f>'Technical Skills Weighting'!B4378+"`FU!%Ps"</f>
        <v>#VALUE!</v>
      </c>
      <c r="IE90" t="e">
        <f>'Technical Skills Weighting'!B4379+"`FU!%Pt"</f>
        <v>#VALUE!</v>
      </c>
      <c r="IF90" t="e">
        <f>'Technical Skills Weighting'!B4380+"`FU!%Pu"</f>
        <v>#VALUE!</v>
      </c>
      <c r="IG90" t="e">
        <f>'Technical Skills Weighting'!B4381+"`FU!%Pv"</f>
        <v>#VALUE!</v>
      </c>
      <c r="IH90" t="e">
        <f>'Technical Skills Weighting'!B4382+"`FU!%Pw"</f>
        <v>#VALUE!</v>
      </c>
      <c r="II90" t="e">
        <f>'Technical Skills Weighting'!B4383+"`FU!%Px"</f>
        <v>#VALUE!</v>
      </c>
      <c r="IJ90" t="e">
        <f>'Technical Skills Weighting'!B4384+"`FU!%Py"</f>
        <v>#VALUE!</v>
      </c>
      <c r="IK90" t="e">
        <f>'Technical Skills Weighting'!B4385+"`FU!%Pz"</f>
        <v>#VALUE!</v>
      </c>
      <c r="IL90" t="e">
        <f>'Technical Skills Weighting'!B4386+"`FU!%P{"</f>
        <v>#VALUE!</v>
      </c>
      <c r="IM90" t="e">
        <f>'Technical Skills Weighting'!B4387+"`FU!%P|"</f>
        <v>#VALUE!</v>
      </c>
      <c r="IN90" t="e">
        <f>'Technical Skills Weighting'!B4388+"`FU!%P}"</f>
        <v>#VALUE!</v>
      </c>
      <c r="IO90" t="e">
        <f>'Technical Skills Weighting'!B4389+"`FU!%P~"</f>
        <v>#VALUE!</v>
      </c>
      <c r="IP90" t="e">
        <f>'Technical Skills Weighting'!B4390+"`FU!%Q#"</f>
        <v>#VALUE!</v>
      </c>
      <c r="IQ90" t="e">
        <f>'Technical Skills Weighting'!B4391+"`FU!%Q$"</f>
        <v>#VALUE!</v>
      </c>
      <c r="IR90" t="e">
        <f>'Technical Skills Weighting'!B4392+"`FU!%Q%"</f>
        <v>#VALUE!</v>
      </c>
      <c r="IS90" t="e">
        <f>'Technical Skills Weighting'!B4393+"`FU!%Q&amp;"</f>
        <v>#VALUE!</v>
      </c>
      <c r="IT90" t="e">
        <f>'Technical Skills Weighting'!B4394+"`FU!%Q'"</f>
        <v>#VALUE!</v>
      </c>
      <c r="IU90" t="e">
        <f>'Technical Skills Weighting'!B4395+"`FU!%Q("</f>
        <v>#VALUE!</v>
      </c>
      <c r="IV90" t="e">
        <f>'Technical Skills Weighting'!B4396+"`FU!%Q)"</f>
        <v>#VALUE!</v>
      </c>
    </row>
    <row r="91" spans="6:256" x14ac:dyDescent="0.25">
      <c r="F91" t="e">
        <f>'Technical Skills Weighting'!B4397+"`FU!%Q."</f>
        <v>#VALUE!</v>
      </c>
      <c r="G91" t="e">
        <f>'Technical Skills Weighting'!B4398+"`FU!%Q/"</f>
        <v>#VALUE!</v>
      </c>
      <c r="H91" t="e">
        <f>'Technical Skills Weighting'!B4399+"`FU!%Q0"</f>
        <v>#VALUE!</v>
      </c>
      <c r="I91" t="e">
        <f>'Technical Skills Weighting'!B4400+"`FU!%Q1"</f>
        <v>#VALUE!</v>
      </c>
      <c r="J91" t="e">
        <f>'Technical Skills Weighting'!B4401+"`FU!%Q2"</f>
        <v>#VALUE!</v>
      </c>
      <c r="K91" t="e">
        <f>'Technical Skills Weighting'!B4402+"`FU!%Q3"</f>
        <v>#VALUE!</v>
      </c>
      <c r="L91" t="e">
        <f>'Technical Skills Weighting'!B4403+"`FU!%Q4"</f>
        <v>#VALUE!</v>
      </c>
      <c r="M91" t="e">
        <f>'Technical Skills Weighting'!B4404+"`FU!%Q5"</f>
        <v>#VALUE!</v>
      </c>
      <c r="N91" t="e">
        <f>'Technical Skills Weighting'!B4405+"`FU!%Q6"</f>
        <v>#VALUE!</v>
      </c>
      <c r="O91" t="e">
        <f>'Technical Skills Weighting'!B4406+"`FU!%Q7"</f>
        <v>#VALUE!</v>
      </c>
      <c r="P91" t="e">
        <f>'Technical Skills Weighting'!B4407+"`FU!%Q8"</f>
        <v>#VALUE!</v>
      </c>
      <c r="Q91" t="e">
        <f>'Technical Skills Weighting'!B4408+"`FU!%Q9"</f>
        <v>#VALUE!</v>
      </c>
      <c r="R91" t="e">
        <f>'Technical Skills Weighting'!B4409+"`FU!%Q:"</f>
        <v>#VALUE!</v>
      </c>
      <c r="S91" t="e">
        <f>'Technical Skills Weighting'!B4410+"`FU!%Q;"</f>
        <v>#VALUE!</v>
      </c>
      <c r="T91" t="e">
        <f>'Technical Skills Weighting'!B4411+"`FU!%Q&lt;"</f>
        <v>#VALUE!</v>
      </c>
      <c r="U91" t="e">
        <f>'Technical Skills Weighting'!B4412+"`FU!%Q="</f>
        <v>#VALUE!</v>
      </c>
      <c r="V91" t="e">
        <f>'Technical Skills Weighting'!B4413+"`FU!%Q&gt;"</f>
        <v>#VALUE!</v>
      </c>
      <c r="W91" t="e">
        <f>'Technical Skills Weighting'!B4414+"`FU!%Q?"</f>
        <v>#VALUE!</v>
      </c>
      <c r="X91" t="e">
        <f>'Technical Skills Weighting'!B4415+"`FU!%Q@"</f>
        <v>#VALUE!</v>
      </c>
      <c r="Y91" t="e">
        <f>'Technical Skills Weighting'!B4416+"`FU!%QA"</f>
        <v>#VALUE!</v>
      </c>
      <c r="Z91" t="e">
        <f>'Technical Skills Weighting'!B4417+"`FU!%QB"</f>
        <v>#VALUE!</v>
      </c>
      <c r="AA91" t="e">
        <f>'Technical Skills Weighting'!B4418+"`FU!%QC"</f>
        <v>#VALUE!</v>
      </c>
      <c r="AB91" t="e">
        <f>'Technical Skills Weighting'!B4419+"`FU!%QD"</f>
        <v>#VALUE!</v>
      </c>
      <c r="AC91" t="e">
        <f>'Technical Skills Weighting'!B4420+"`FU!%QE"</f>
        <v>#VALUE!</v>
      </c>
      <c r="AD91" t="e">
        <f>'Technical Skills Weighting'!B4421+"`FU!%QF"</f>
        <v>#VALUE!</v>
      </c>
      <c r="AE91" t="e">
        <f>'Technical Skills Weighting'!B4422+"`FU!%QG"</f>
        <v>#VALUE!</v>
      </c>
      <c r="AF91" t="e">
        <f>'Technical Skills Weighting'!B4423+"`FU!%QH"</f>
        <v>#VALUE!</v>
      </c>
      <c r="AG91" t="e">
        <f>'Technical Skills Weighting'!B4424+"`FU!%QI"</f>
        <v>#VALUE!</v>
      </c>
      <c r="AH91" t="e">
        <f>'Technical Skills Weighting'!B4425+"`FU!%QJ"</f>
        <v>#VALUE!</v>
      </c>
      <c r="AI91" t="e">
        <f>'Technical Skills Weighting'!B4426+"`FU!%QK"</f>
        <v>#VALUE!</v>
      </c>
      <c r="AJ91" t="e">
        <f>'Technical Skills Weighting'!B4427+"`FU!%QL"</f>
        <v>#VALUE!</v>
      </c>
      <c r="AK91" t="e">
        <f>'Technical Skills Weighting'!B4428+"`FU!%QM"</f>
        <v>#VALUE!</v>
      </c>
      <c r="AL91" t="e">
        <f>'Technical Skills Weighting'!B4429+"`FU!%QN"</f>
        <v>#VALUE!</v>
      </c>
      <c r="AM91" t="e">
        <f>'Technical Skills Weighting'!B4430+"`FU!%QO"</f>
        <v>#VALUE!</v>
      </c>
      <c r="AN91" t="e">
        <f>'Technical Skills Weighting'!B4431+"`FU!%QP"</f>
        <v>#VALUE!</v>
      </c>
      <c r="AO91" t="e">
        <f>'Technical Skills Weighting'!B4432+"`FU!%QQ"</f>
        <v>#VALUE!</v>
      </c>
      <c r="AP91" t="e">
        <f>'Technical Skills Weighting'!B4433+"`FU!%QR"</f>
        <v>#VALUE!</v>
      </c>
      <c r="AQ91" t="e">
        <f>'Technical Skills Weighting'!B4434+"`FU!%QS"</f>
        <v>#VALUE!</v>
      </c>
      <c r="AR91" t="e">
        <f>'Technical Skills Weighting'!B4435+"`FU!%QT"</f>
        <v>#VALUE!</v>
      </c>
      <c r="AS91" t="e">
        <f>'Technical Skills Weighting'!B4436+"`FU!%QU"</f>
        <v>#VALUE!</v>
      </c>
      <c r="AT91" t="e">
        <f>'Technical Skills Weighting'!B4437+"`FU!%QV"</f>
        <v>#VALUE!</v>
      </c>
      <c r="AU91" t="e">
        <f>'Technical Skills Weighting'!B4438+"`FU!%QW"</f>
        <v>#VALUE!</v>
      </c>
      <c r="AV91" t="e">
        <f>'Technical Skills Weighting'!B4439+"`FU!%QX"</f>
        <v>#VALUE!</v>
      </c>
      <c r="AW91" t="e">
        <f>'Technical Skills Weighting'!B4440+"`FU!%QY"</f>
        <v>#VALUE!</v>
      </c>
      <c r="AX91" t="e">
        <f>'Technical Skills Weighting'!B4441+"`FU!%QZ"</f>
        <v>#VALUE!</v>
      </c>
      <c r="AY91" t="e">
        <f>'Technical Skills Weighting'!B4442+"`FU!%Q["</f>
        <v>#VALUE!</v>
      </c>
      <c r="AZ91" t="e">
        <f>'Technical Skills Weighting'!B4443+"`FU!%Q\"</f>
        <v>#VALUE!</v>
      </c>
      <c r="BA91" t="e">
        <f>'Technical Skills Weighting'!B4444+"`FU!%Q]"</f>
        <v>#VALUE!</v>
      </c>
      <c r="BB91" t="e">
        <f>'Technical Skills Weighting'!B4445+"`FU!%Q^"</f>
        <v>#VALUE!</v>
      </c>
      <c r="BC91" t="e">
        <f>'Technical Skills Weighting'!B4446+"`FU!%Q_"</f>
        <v>#VALUE!</v>
      </c>
      <c r="BD91" t="e">
        <f>'Technical Skills Weighting'!B4447+"`FU!%Q`"</f>
        <v>#VALUE!</v>
      </c>
      <c r="BE91" t="e">
        <f>'Technical Skills Weighting'!B4448+"`FU!%Qa"</f>
        <v>#VALUE!</v>
      </c>
      <c r="BF91" t="e">
        <f>'Technical Skills Weighting'!B4449+"`FU!%Qb"</f>
        <v>#VALUE!</v>
      </c>
      <c r="BG91" t="e">
        <f>'Technical Skills Weighting'!B4450+"`FU!%Qc"</f>
        <v>#VALUE!</v>
      </c>
      <c r="BH91" t="e">
        <f>'Technical Skills Weighting'!B4451+"`FU!%Qd"</f>
        <v>#VALUE!</v>
      </c>
      <c r="BI91" t="e">
        <f>'Technical Skills Weighting'!B4452+"`FU!%Qe"</f>
        <v>#VALUE!</v>
      </c>
      <c r="BJ91" t="e">
        <f>'Technical Skills Weighting'!B4453+"`FU!%Qf"</f>
        <v>#VALUE!</v>
      </c>
      <c r="BK91" t="e">
        <f>'Technical Skills Weighting'!B4454+"`FU!%Qg"</f>
        <v>#VALUE!</v>
      </c>
      <c r="BL91" t="e">
        <f>'Technical Skills Weighting'!B4455+"`FU!%Qh"</f>
        <v>#VALUE!</v>
      </c>
      <c r="BM91" t="e">
        <f>'Technical Skills Weighting'!B4456+"`FU!%Qi"</f>
        <v>#VALUE!</v>
      </c>
      <c r="BN91" t="e">
        <f>'Technical Skills Weighting'!B4457+"`FU!%Qj"</f>
        <v>#VALUE!</v>
      </c>
      <c r="BO91" t="e">
        <f>'Technical Skills Weighting'!B4458+"`FU!%Qk"</f>
        <v>#VALUE!</v>
      </c>
      <c r="BP91" t="e">
        <f>'Technical Skills Weighting'!B4459+"`FU!%Ql"</f>
        <v>#VALUE!</v>
      </c>
      <c r="BQ91" t="e">
        <f>'Technical Skills Weighting'!B4460+"`FU!%Qm"</f>
        <v>#VALUE!</v>
      </c>
      <c r="BR91" t="e">
        <f>'Technical Skills Weighting'!B4461+"`FU!%Qn"</f>
        <v>#VALUE!</v>
      </c>
      <c r="BS91" t="e">
        <f>'Technical Skills Weighting'!B4462+"`FU!%Qo"</f>
        <v>#VALUE!</v>
      </c>
      <c r="BT91" t="e">
        <f>'Technical Skills Weighting'!B4463+"`FU!%Qp"</f>
        <v>#VALUE!</v>
      </c>
      <c r="BU91" t="e">
        <f>'Technical Skills Weighting'!B4464+"`FU!%Qq"</f>
        <v>#VALUE!</v>
      </c>
      <c r="BV91" t="e">
        <f>'Technical Skills Weighting'!B4465+"`FU!%Qr"</f>
        <v>#VALUE!</v>
      </c>
      <c r="BW91" t="e">
        <f>'Technical Skills Weighting'!B4466+"`FU!%Qs"</f>
        <v>#VALUE!</v>
      </c>
      <c r="BX91" t="e">
        <f>'Technical Skills Weighting'!B4467+"`FU!%Qt"</f>
        <v>#VALUE!</v>
      </c>
      <c r="BY91" t="e">
        <f>'Technical Skills Weighting'!B4468+"`FU!%Qu"</f>
        <v>#VALUE!</v>
      </c>
      <c r="BZ91" t="e">
        <f>'Technical Skills Weighting'!B4469+"`FU!%Qv"</f>
        <v>#VALUE!</v>
      </c>
      <c r="CA91" t="e">
        <f>'Technical Skills Weighting'!B4470+"`FU!%Qw"</f>
        <v>#VALUE!</v>
      </c>
      <c r="CB91" t="e">
        <f>'Technical Skills Weighting'!B4471+"`FU!%Qx"</f>
        <v>#VALUE!</v>
      </c>
      <c r="CC91" t="e">
        <f>'Technical Skills Weighting'!B4472+"`FU!%Qy"</f>
        <v>#VALUE!</v>
      </c>
      <c r="CD91" t="e">
        <f>'Technical Skills Weighting'!B4473+"`FU!%Qz"</f>
        <v>#VALUE!</v>
      </c>
      <c r="CE91" t="e">
        <f>'Technical Skills Weighting'!B4474+"`FU!%Q{"</f>
        <v>#VALUE!</v>
      </c>
      <c r="CF91" t="e">
        <f>'Technical Skills Weighting'!B4475+"`FU!%Q|"</f>
        <v>#VALUE!</v>
      </c>
      <c r="CG91" t="e">
        <f>'Technical Skills Weighting'!B4476+"`FU!%Q}"</f>
        <v>#VALUE!</v>
      </c>
      <c r="CH91" t="e">
        <f>'Technical Skills Weighting'!B4477+"`FU!%Q~"</f>
        <v>#VALUE!</v>
      </c>
      <c r="CI91" t="e">
        <f>'Technical Skills Weighting'!B4478+"`FU!%R#"</f>
        <v>#VALUE!</v>
      </c>
      <c r="CJ91" t="e">
        <f>'Technical Skills Weighting'!B4479+"`FU!%R$"</f>
        <v>#VALUE!</v>
      </c>
      <c r="CK91" t="e">
        <f>'Technical Skills Weighting'!B4480+"`FU!%R%"</f>
        <v>#VALUE!</v>
      </c>
      <c r="CL91" t="e">
        <f>'Technical Skills Weighting'!B4481+"`FU!%R&amp;"</f>
        <v>#VALUE!</v>
      </c>
      <c r="CM91" t="e">
        <f>'Technical Skills Weighting'!B4482+"`FU!%R'"</f>
        <v>#VALUE!</v>
      </c>
      <c r="CN91" t="e">
        <f>'Technical Skills Weighting'!B4483+"`FU!%R("</f>
        <v>#VALUE!</v>
      </c>
      <c r="CO91" t="e">
        <f>'Technical Skills Weighting'!B4484+"`FU!%R)"</f>
        <v>#VALUE!</v>
      </c>
      <c r="CP91" t="e">
        <f>'Technical Skills Weighting'!B4485+"`FU!%R."</f>
        <v>#VALUE!</v>
      </c>
      <c r="CQ91" t="e">
        <f>'Technical Skills Weighting'!B4486+"`FU!%R/"</f>
        <v>#VALUE!</v>
      </c>
      <c r="CR91" t="e">
        <f>'Technical Skills Weighting'!B4487+"`FU!%R0"</f>
        <v>#VALUE!</v>
      </c>
      <c r="CS91" t="e">
        <f>'Technical Skills Weighting'!B4488+"`FU!%R1"</f>
        <v>#VALUE!</v>
      </c>
      <c r="CT91" t="e">
        <f>'Technical Skills Weighting'!B4489+"`FU!%R2"</f>
        <v>#VALUE!</v>
      </c>
      <c r="CU91" t="e">
        <f>'Technical Skills Weighting'!B4490+"`FU!%R3"</f>
        <v>#VALUE!</v>
      </c>
      <c r="CV91" t="e">
        <f>'Technical Skills Weighting'!B4491+"`FU!%R4"</f>
        <v>#VALUE!</v>
      </c>
      <c r="CW91" t="e">
        <f>'Technical Skills Weighting'!B4492+"`FU!%R5"</f>
        <v>#VALUE!</v>
      </c>
      <c r="CX91" t="e">
        <f>'Technical Skills Weighting'!B4493+"`FU!%R6"</f>
        <v>#VALUE!</v>
      </c>
      <c r="CY91" t="e">
        <f>'Technical Skills Weighting'!B4494+"`FU!%R7"</f>
        <v>#VALUE!</v>
      </c>
      <c r="CZ91" t="e">
        <f>'Technical Skills Weighting'!B4495+"`FU!%R8"</f>
        <v>#VALUE!</v>
      </c>
      <c r="DA91" t="e">
        <f>'Technical Skills Weighting'!B4496+"`FU!%R9"</f>
        <v>#VALUE!</v>
      </c>
      <c r="DB91" t="e">
        <f>'Technical Skills Weighting'!B4497+"`FU!%R:"</f>
        <v>#VALUE!</v>
      </c>
      <c r="DC91" t="e">
        <f>'Technical Skills Weighting'!B4498+"`FU!%R;"</f>
        <v>#VALUE!</v>
      </c>
      <c r="DD91" t="e">
        <f>'Technical Skills Weighting'!B4499+"`FU!%R&lt;"</f>
        <v>#VALUE!</v>
      </c>
      <c r="DE91" t="e">
        <f>'Technical Skills Weighting'!B4500+"`FU!%R="</f>
        <v>#VALUE!</v>
      </c>
      <c r="DF91" t="e">
        <f>'Technical Skills Weighting'!B4501+"`FU!%R&gt;"</f>
        <v>#VALUE!</v>
      </c>
      <c r="DG91" t="e">
        <f>'Technical Skills Weighting'!B4502+"`FU!%R?"</f>
        <v>#VALUE!</v>
      </c>
      <c r="DH91" t="e">
        <f>'Technical Skills Weighting'!B4503+"`FU!%R@"</f>
        <v>#VALUE!</v>
      </c>
      <c r="DI91" t="e">
        <f>'Technical Skills Weighting'!B4504+"`FU!%RA"</f>
        <v>#VALUE!</v>
      </c>
      <c r="DJ91" t="e">
        <f>'Technical Skills Weighting'!B4505+"`FU!%RB"</f>
        <v>#VALUE!</v>
      </c>
      <c r="DK91" t="e">
        <f>'Technical Skills Weighting'!B4506+"`FU!%RC"</f>
        <v>#VALUE!</v>
      </c>
      <c r="DL91" t="e">
        <f>'Technical Skills Weighting'!B4507+"`FU!%RD"</f>
        <v>#VALUE!</v>
      </c>
      <c r="DM91" t="e">
        <f>'Technical Skills Weighting'!B4508+"`FU!%RE"</f>
        <v>#VALUE!</v>
      </c>
      <c r="DN91" t="e">
        <f>'Technical Skills Weighting'!B4509+"`FU!%RF"</f>
        <v>#VALUE!</v>
      </c>
      <c r="DO91" t="e">
        <f>'Technical Skills Weighting'!B4510+"`FU!%RG"</f>
        <v>#VALUE!</v>
      </c>
      <c r="DP91" t="e">
        <f>'Technical Skills Weighting'!B4511+"`FU!%RH"</f>
        <v>#VALUE!</v>
      </c>
      <c r="DQ91" t="e">
        <f>'Technical Skills Weighting'!B4512+"`FU!%RI"</f>
        <v>#VALUE!</v>
      </c>
      <c r="DR91" t="e">
        <f>'Technical Skills Weighting'!B4513+"`FU!%RJ"</f>
        <v>#VALUE!</v>
      </c>
      <c r="DS91" t="e">
        <f>'Technical Skills Weighting'!B4514+"`FU!%RK"</f>
        <v>#VALUE!</v>
      </c>
      <c r="DT91" t="e">
        <f>'Technical Skills Weighting'!B4515+"`FU!%RL"</f>
        <v>#VALUE!</v>
      </c>
      <c r="DU91" t="e">
        <f>'Technical Skills Weighting'!B4516+"`FU!%RM"</f>
        <v>#VALUE!</v>
      </c>
      <c r="DV91" t="e">
        <f>'Technical Skills Weighting'!B4517+"`FU!%RN"</f>
        <v>#VALUE!</v>
      </c>
      <c r="DW91" t="e">
        <f>'Technical Skills Weighting'!B4518+"`FU!%RO"</f>
        <v>#VALUE!</v>
      </c>
      <c r="DX91" t="e">
        <f>'Technical Skills Weighting'!B4519+"`FU!%RP"</f>
        <v>#VALUE!</v>
      </c>
      <c r="DY91" t="e">
        <f>'Technical Skills Weighting'!B4520+"`FU!%RQ"</f>
        <v>#VALUE!</v>
      </c>
      <c r="DZ91" t="e">
        <f>'Technical Skills Weighting'!B4521+"`FU!%RR"</f>
        <v>#VALUE!</v>
      </c>
      <c r="EA91" t="e">
        <f>'Technical Skills Weighting'!B4522+"`FU!%RS"</f>
        <v>#VALUE!</v>
      </c>
      <c r="EB91" t="e">
        <f>'Technical Skills Weighting'!B4523+"`FU!%RT"</f>
        <v>#VALUE!</v>
      </c>
      <c r="EC91" t="e">
        <f>'Technical Skills Weighting'!B4524+"`FU!%RU"</f>
        <v>#VALUE!</v>
      </c>
      <c r="ED91" t="e">
        <f>'Technical Skills Weighting'!B4525+"`FU!%RV"</f>
        <v>#VALUE!</v>
      </c>
      <c r="EE91" t="e">
        <f>'Technical Skills Weighting'!B4526+"`FU!%RW"</f>
        <v>#VALUE!</v>
      </c>
      <c r="EF91" t="e">
        <f>'Technical Skills Weighting'!B4527+"`FU!%RX"</f>
        <v>#VALUE!</v>
      </c>
      <c r="EG91" t="e">
        <f>'Technical Skills Weighting'!B4528+"`FU!%RY"</f>
        <v>#VALUE!</v>
      </c>
      <c r="EH91" t="e">
        <f>'Technical Skills Weighting'!B4529+"`FU!%RZ"</f>
        <v>#VALUE!</v>
      </c>
      <c r="EI91" t="e">
        <f>'Technical Skills Weighting'!B4530+"`FU!%R["</f>
        <v>#VALUE!</v>
      </c>
      <c r="EJ91" t="e">
        <f>'Technical Skills Weighting'!B4531+"`FU!%R\"</f>
        <v>#VALUE!</v>
      </c>
      <c r="EK91" t="e">
        <f>'Technical Skills Weighting'!B4532+"`FU!%R]"</f>
        <v>#VALUE!</v>
      </c>
      <c r="EL91" t="e">
        <f>'Technical Skills Weighting'!B4533+"`FU!%R^"</f>
        <v>#VALUE!</v>
      </c>
      <c r="EM91" t="e">
        <f>'Technical Skills Weighting'!B4534+"`FU!%R_"</f>
        <v>#VALUE!</v>
      </c>
      <c r="EN91" t="e">
        <f>'Technical Skills Weighting'!B4535+"`FU!%R`"</f>
        <v>#VALUE!</v>
      </c>
      <c r="EO91" t="e">
        <f>'Technical Skills Weighting'!B4536+"`FU!%Ra"</f>
        <v>#VALUE!</v>
      </c>
      <c r="EP91" t="e">
        <f>'Technical Skills Weighting'!B4537+"`FU!%Rb"</f>
        <v>#VALUE!</v>
      </c>
      <c r="EQ91" t="e">
        <f>'Technical Skills Weighting'!B4538+"`FU!%Rc"</f>
        <v>#VALUE!</v>
      </c>
      <c r="ER91" t="e">
        <f>'Technical Skills Weighting'!B4539+"`FU!%Rd"</f>
        <v>#VALUE!</v>
      </c>
      <c r="ES91" t="e">
        <f>'Technical Skills Weighting'!B4540+"`FU!%Re"</f>
        <v>#VALUE!</v>
      </c>
      <c r="ET91" t="e">
        <f>'Technical Skills Weighting'!B4541+"`FU!%Rf"</f>
        <v>#VALUE!</v>
      </c>
      <c r="EU91" t="e">
        <f>'Technical Skills Weighting'!B4542+"`FU!%Rg"</f>
        <v>#VALUE!</v>
      </c>
      <c r="EV91" t="e">
        <f>'Technical Skills Weighting'!B4543+"`FU!%Rh"</f>
        <v>#VALUE!</v>
      </c>
      <c r="EW91" t="e">
        <f>'Technical Skills Weighting'!B4544+"`FU!%Ri"</f>
        <v>#VALUE!</v>
      </c>
      <c r="EX91" t="e">
        <f>'Technical Skills Weighting'!B4545+"`FU!%Rj"</f>
        <v>#VALUE!</v>
      </c>
      <c r="EY91" t="e">
        <f>'Technical Skills Weighting'!B4546+"`FU!%Rk"</f>
        <v>#VALUE!</v>
      </c>
      <c r="EZ91" t="e">
        <f>'Technical Skills Weighting'!B4547+"`FU!%Rl"</f>
        <v>#VALUE!</v>
      </c>
      <c r="FA91" t="e">
        <f>'Technical Skills Weighting'!B4548+"`FU!%Rm"</f>
        <v>#VALUE!</v>
      </c>
      <c r="FB91" t="e">
        <f>'Technical Skills Weighting'!B4549+"`FU!%Rn"</f>
        <v>#VALUE!</v>
      </c>
      <c r="FC91" t="e">
        <f>'Technical Skills Weighting'!B4550+"`FU!%Ro"</f>
        <v>#VALUE!</v>
      </c>
      <c r="FD91" t="e">
        <f>'Technical Skills Weighting'!B4551+"`FU!%Rp"</f>
        <v>#VALUE!</v>
      </c>
      <c r="FE91" t="e">
        <f>'Technical Skills Weighting'!B4552+"`FU!%Rq"</f>
        <v>#VALUE!</v>
      </c>
      <c r="FF91" t="e">
        <f>'Technical Skills Weighting'!B4553+"`FU!%Rr"</f>
        <v>#VALUE!</v>
      </c>
      <c r="FG91" t="e">
        <f>'Technical Skills Weighting'!B4554+"`FU!%Rs"</f>
        <v>#VALUE!</v>
      </c>
      <c r="FH91" t="e">
        <f>'Technical Skills Weighting'!B4555+"`FU!%Rt"</f>
        <v>#VALUE!</v>
      </c>
      <c r="FI91" t="e">
        <f>'Technical Skills Weighting'!B4556+"`FU!%Ru"</f>
        <v>#VALUE!</v>
      </c>
      <c r="FJ91" t="e">
        <f>'Technical Skills Weighting'!B4557+"`FU!%Rv"</f>
        <v>#VALUE!</v>
      </c>
      <c r="FK91" t="e">
        <f>'Technical Skills Weighting'!B4558+"`FU!%Rw"</f>
        <v>#VALUE!</v>
      </c>
      <c r="FL91" t="e">
        <f>'Technical Skills Weighting'!B4559+"`FU!%Rx"</f>
        <v>#VALUE!</v>
      </c>
      <c r="FM91" t="e">
        <f>'Technical Skills Weighting'!B4560+"`FU!%Ry"</f>
        <v>#VALUE!</v>
      </c>
      <c r="FN91" t="e">
        <f>'Technical Skills Weighting'!B4561+"`FU!%Rz"</f>
        <v>#VALUE!</v>
      </c>
      <c r="FO91" t="e">
        <f>'Technical Skills Weighting'!B4562+"`FU!%R{"</f>
        <v>#VALUE!</v>
      </c>
      <c r="FP91" t="e">
        <f>'Technical Skills Weighting'!B4563+"`FU!%R|"</f>
        <v>#VALUE!</v>
      </c>
      <c r="FQ91" t="e">
        <f>'Technical Skills Weighting'!B4564+"`FU!%R}"</f>
        <v>#VALUE!</v>
      </c>
      <c r="FR91" t="e">
        <f>'Technical Skills Weighting'!B4565+"`FU!%R~"</f>
        <v>#VALUE!</v>
      </c>
      <c r="FS91" t="e">
        <f>'Technical Skills Weighting'!B4566+"`FU!%S#"</f>
        <v>#VALUE!</v>
      </c>
      <c r="FT91" t="e">
        <f>'Technical Skills Weighting'!B4567+"`FU!%S$"</f>
        <v>#VALUE!</v>
      </c>
      <c r="FU91" t="e">
        <f>'Technical Skills Weighting'!B4568+"`FU!%S%"</f>
        <v>#VALUE!</v>
      </c>
      <c r="FV91" t="e">
        <f>'Technical Skills Weighting'!B4569+"`FU!%S&amp;"</f>
        <v>#VALUE!</v>
      </c>
      <c r="FW91" t="e">
        <f>'Technical Skills Weighting'!B4570+"`FU!%S'"</f>
        <v>#VALUE!</v>
      </c>
      <c r="FX91" t="e">
        <f>'Technical Skills Weighting'!B4571+"`FU!%S("</f>
        <v>#VALUE!</v>
      </c>
      <c r="FY91" t="e">
        <f>'Technical Skills Weighting'!B4572+"`FU!%S)"</f>
        <v>#VALUE!</v>
      </c>
      <c r="FZ91" t="e">
        <f>'Technical Skills Weighting'!B4573+"`FU!%S."</f>
        <v>#VALUE!</v>
      </c>
      <c r="GA91" t="e">
        <f>'Technical Skills Weighting'!B4574+"`FU!%S/"</f>
        <v>#VALUE!</v>
      </c>
      <c r="GB91" t="e">
        <f>'Technical Skills Weighting'!B4575+"`FU!%S0"</f>
        <v>#VALUE!</v>
      </c>
      <c r="GC91" t="e">
        <f>'Technical Skills Weighting'!B4576+"`FU!%S1"</f>
        <v>#VALUE!</v>
      </c>
      <c r="GD91" t="e">
        <f>'Technical Skills Weighting'!B4577+"`FU!%S2"</f>
        <v>#VALUE!</v>
      </c>
      <c r="GE91" t="e">
        <f>'Technical Skills Weighting'!B4578+"`FU!%S3"</f>
        <v>#VALUE!</v>
      </c>
      <c r="GF91" t="e">
        <f>'Technical Skills Weighting'!B4579+"`FU!%S4"</f>
        <v>#VALUE!</v>
      </c>
      <c r="GG91" t="e">
        <f>'Technical Skills Weighting'!B4580+"`FU!%S5"</f>
        <v>#VALUE!</v>
      </c>
      <c r="GH91" t="e">
        <f>'Technical Skills Weighting'!B4581+"`FU!%S6"</f>
        <v>#VALUE!</v>
      </c>
      <c r="GI91" t="e">
        <f>'Technical Skills Weighting'!B4582+"`FU!%S7"</f>
        <v>#VALUE!</v>
      </c>
      <c r="GJ91" t="e">
        <f>'Technical Skills Weighting'!B4583+"`FU!%S8"</f>
        <v>#VALUE!</v>
      </c>
      <c r="GK91" t="e">
        <f>'Technical Skills Weighting'!B4584+"`FU!%S9"</f>
        <v>#VALUE!</v>
      </c>
      <c r="GL91" t="e">
        <f>'Technical Skills Weighting'!B4585+"`FU!%S:"</f>
        <v>#VALUE!</v>
      </c>
      <c r="GM91" t="e">
        <f>'Technical Skills Weighting'!B4586+"`FU!%S;"</f>
        <v>#VALUE!</v>
      </c>
      <c r="GN91" t="e">
        <f>'Technical Skills Weighting'!B4587+"`FU!%S&lt;"</f>
        <v>#VALUE!</v>
      </c>
      <c r="GO91" t="e">
        <f>'Technical Skills Weighting'!B4588+"`FU!%S="</f>
        <v>#VALUE!</v>
      </c>
      <c r="GP91" t="e">
        <f>'Technical Skills Weighting'!B4589+"`FU!%S&gt;"</f>
        <v>#VALUE!</v>
      </c>
      <c r="GQ91" t="e">
        <f>'Technical Skills Weighting'!B4590+"`FU!%S?"</f>
        <v>#VALUE!</v>
      </c>
      <c r="GR91" t="e">
        <f>'Technical Skills Weighting'!B4591+"`FU!%S@"</f>
        <v>#VALUE!</v>
      </c>
      <c r="GS91" t="e">
        <f>'Technical Skills Weighting'!B4592+"`FU!%SA"</f>
        <v>#VALUE!</v>
      </c>
      <c r="GT91" t="e">
        <f>'Technical Skills Weighting'!B4593+"`FU!%SB"</f>
        <v>#VALUE!</v>
      </c>
      <c r="GU91" t="e">
        <f>'Technical Skills Weighting'!B4594+"`FU!%SC"</f>
        <v>#VALUE!</v>
      </c>
      <c r="GV91" t="e">
        <f>'Technical Skills Weighting'!B4595+"`FU!%SD"</f>
        <v>#VALUE!</v>
      </c>
      <c r="GW91" t="e">
        <f>'Technical Skills Weighting'!B4596+"`FU!%SE"</f>
        <v>#VALUE!</v>
      </c>
      <c r="GX91" t="e">
        <f>'Technical Skills Weighting'!B4597+"`FU!%SF"</f>
        <v>#VALUE!</v>
      </c>
      <c r="GY91" t="e">
        <f>'Technical Skills Weighting'!B4598+"`FU!%SG"</f>
        <v>#VALUE!</v>
      </c>
      <c r="GZ91" t="e">
        <f>'Technical Skills Weighting'!B4599+"`FU!%SH"</f>
        <v>#VALUE!</v>
      </c>
      <c r="HA91" t="e">
        <f>'Technical Skills Weighting'!B4600+"`FU!%SI"</f>
        <v>#VALUE!</v>
      </c>
      <c r="HB91" t="e">
        <f>'Technical Skills Weighting'!B4601+"`FU!%SJ"</f>
        <v>#VALUE!</v>
      </c>
      <c r="HC91" t="e">
        <f>'Technical Skills Weighting'!B4602+"`FU!%SK"</f>
        <v>#VALUE!</v>
      </c>
      <c r="HD91" t="e">
        <f>'Technical Skills Weighting'!B4603+"`FU!%SL"</f>
        <v>#VALUE!</v>
      </c>
      <c r="HE91" t="e">
        <f>'Technical Skills Weighting'!B4604+"`FU!%SM"</f>
        <v>#VALUE!</v>
      </c>
      <c r="HF91" t="e">
        <f>'Technical Skills Weighting'!B4605+"`FU!%SN"</f>
        <v>#VALUE!</v>
      </c>
      <c r="HG91" t="e">
        <f>'Technical Skills Weighting'!B4606+"`FU!%SO"</f>
        <v>#VALUE!</v>
      </c>
      <c r="HH91" t="e">
        <f>'Technical Skills Weighting'!B4607+"`FU!%SP"</f>
        <v>#VALUE!</v>
      </c>
      <c r="HI91" t="e">
        <f>'Technical Skills Weighting'!B4608+"`FU!%SQ"</f>
        <v>#VALUE!</v>
      </c>
      <c r="HJ91" t="e">
        <f>'Technical Skills Weighting'!B4609+"`FU!%SR"</f>
        <v>#VALUE!</v>
      </c>
      <c r="HK91" t="e">
        <f>'Technical Skills Weighting'!B4610+"`FU!%SS"</f>
        <v>#VALUE!</v>
      </c>
      <c r="HL91" t="e">
        <f>'Technical Skills Weighting'!B4611+"`FU!%ST"</f>
        <v>#VALUE!</v>
      </c>
      <c r="HM91" t="e">
        <f>'Technical Skills Weighting'!B4612+"`FU!%SU"</f>
        <v>#VALUE!</v>
      </c>
      <c r="HN91" t="e">
        <f>'Technical Skills Weighting'!B4613+"`FU!%SV"</f>
        <v>#VALUE!</v>
      </c>
      <c r="HO91" t="e">
        <f>'Technical Skills Weighting'!B4614+"`FU!%SW"</f>
        <v>#VALUE!</v>
      </c>
      <c r="HP91" t="e">
        <f>'Technical Skills Weighting'!B4615+"`FU!%SX"</f>
        <v>#VALUE!</v>
      </c>
      <c r="HQ91" t="e">
        <f>'Technical Skills Weighting'!B4616+"`FU!%SY"</f>
        <v>#VALUE!</v>
      </c>
      <c r="HR91" t="e">
        <f>'Technical Skills Weighting'!B4617+"`FU!%SZ"</f>
        <v>#VALUE!</v>
      </c>
      <c r="HS91" t="e">
        <f>'Technical Skills Weighting'!B4618+"`FU!%S["</f>
        <v>#VALUE!</v>
      </c>
      <c r="HT91" t="e">
        <f>'Technical Skills Weighting'!B4619+"`FU!%S\"</f>
        <v>#VALUE!</v>
      </c>
      <c r="HU91" t="e">
        <f>'Technical Skills Weighting'!B4620+"`FU!%S]"</f>
        <v>#VALUE!</v>
      </c>
      <c r="HV91" t="e">
        <f>'Technical Skills Weighting'!B4621+"`FU!%S^"</f>
        <v>#VALUE!</v>
      </c>
      <c r="HW91" t="e">
        <f>'Technical Skills Weighting'!B4622+"`FU!%S_"</f>
        <v>#VALUE!</v>
      </c>
      <c r="HX91" t="e">
        <f>'Technical Skills Weighting'!B4623+"`FU!%S`"</f>
        <v>#VALUE!</v>
      </c>
      <c r="HY91" t="e">
        <f>'Technical Skills Weighting'!B4624+"`FU!%Sa"</f>
        <v>#VALUE!</v>
      </c>
      <c r="HZ91" t="e">
        <f>'Technical Skills Weighting'!B4625+"`FU!%Sb"</f>
        <v>#VALUE!</v>
      </c>
      <c r="IA91" t="e">
        <f>'Technical Skills Weighting'!B4626+"`FU!%Sc"</f>
        <v>#VALUE!</v>
      </c>
      <c r="IB91" t="e">
        <f>'Technical Skills Weighting'!B4627+"`FU!%Sd"</f>
        <v>#VALUE!</v>
      </c>
      <c r="IC91" t="e">
        <f>'Technical Skills Weighting'!B4628+"`FU!%Se"</f>
        <v>#VALUE!</v>
      </c>
      <c r="ID91" t="e">
        <f>'Technical Skills Weighting'!B4629+"`FU!%Sf"</f>
        <v>#VALUE!</v>
      </c>
      <c r="IE91" t="e">
        <f>'Technical Skills Weighting'!B4630+"`FU!%Sg"</f>
        <v>#VALUE!</v>
      </c>
      <c r="IF91" t="e">
        <f>'Technical Skills Weighting'!B4631+"`FU!%Sh"</f>
        <v>#VALUE!</v>
      </c>
      <c r="IG91" t="e">
        <f>'Technical Skills Weighting'!B4632+"`FU!%Si"</f>
        <v>#VALUE!</v>
      </c>
      <c r="IH91" t="e">
        <f>'Technical Skills Weighting'!B4633+"`FU!%Sj"</f>
        <v>#VALUE!</v>
      </c>
      <c r="II91" t="e">
        <f>'Technical Skills Weighting'!B4634+"`FU!%Sk"</f>
        <v>#VALUE!</v>
      </c>
      <c r="IJ91" t="e">
        <f>'Technical Skills Weighting'!B4635+"`FU!%Sl"</f>
        <v>#VALUE!</v>
      </c>
      <c r="IK91" t="e">
        <f>'Technical Skills Weighting'!B4636+"`FU!%Sm"</f>
        <v>#VALUE!</v>
      </c>
      <c r="IL91" t="e">
        <f>'Technical Skills Weighting'!B4637+"`FU!%Sn"</f>
        <v>#VALUE!</v>
      </c>
      <c r="IM91" t="e">
        <f>'Technical Skills Weighting'!D2+"`FU!%So"</f>
        <v>#VALUE!</v>
      </c>
      <c r="IN91" t="e">
        <f>'Technical Skills Weighting'!D3+"`FU!%Sp"</f>
        <v>#VALUE!</v>
      </c>
      <c r="IO91" t="e">
        <f>'Technical Skills Weighting'!D4+"`FU!%Sq"</f>
        <v>#VALUE!</v>
      </c>
      <c r="IP91" t="e">
        <f>'Technical Skills Weighting'!D5+"`FU!%Sr"</f>
        <v>#VALUE!</v>
      </c>
      <c r="IQ91" t="e">
        <f>'Technical Skills Weighting'!D6+"`FU!%Ss"</f>
        <v>#VALUE!</v>
      </c>
      <c r="IR91" t="e">
        <f>'Technical Skills Weighting'!D7+"`FU!%St"</f>
        <v>#VALUE!</v>
      </c>
      <c r="IS91" t="e">
        <f>'Technical Skills Weighting'!D8+"`FU!%Su"</f>
        <v>#VALUE!</v>
      </c>
      <c r="IT91" t="e">
        <f>'Technical Skills Weighting'!D9+"`FU!%Sv"</f>
        <v>#VALUE!</v>
      </c>
      <c r="IU91" t="e">
        <f>'Technical Skills Weighting'!H11+"`FU!%Sw"</f>
        <v>#VALUE!</v>
      </c>
      <c r="IV91" t="e">
        <f>'Technical Skills Weighting'!E55+"`FU!%Sx"</f>
        <v>#VALUE!</v>
      </c>
    </row>
    <row r="92" spans="6:256" x14ac:dyDescent="0.25">
      <c r="F92" t="e">
        <f>'Technical Skills Weighting'!F55+"`FU!%Sy"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4637"/>
  <sheetViews>
    <sheetView tabSelected="1" zoomScale="80" zoomScaleNormal="80" workbookViewId="0">
      <selection activeCell="G17" sqref="G17"/>
    </sheetView>
  </sheetViews>
  <sheetFormatPr defaultRowHeight="15" x14ac:dyDescent="0.25"/>
  <cols>
    <col min="1" max="1" width="25.7109375" style="2" customWidth="1"/>
    <col min="2" max="2" width="70.5703125" style="11" customWidth="1"/>
    <col min="3" max="3" width="13.140625" style="1" customWidth="1"/>
    <col min="4" max="4" width="12.5703125" style="2" customWidth="1"/>
    <col min="5" max="5" width="14.85546875" style="1" customWidth="1"/>
    <col min="6" max="8" width="9.140625" style="2"/>
    <col min="9" max="9" width="10.140625" style="2" bestFit="1" customWidth="1"/>
    <col min="10" max="10" width="22.140625" style="2" bestFit="1" customWidth="1"/>
    <col min="11" max="11" width="20.28515625" style="2" bestFit="1" customWidth="1"/>
    <col min="12" max="191" width="9.140625" style="2"/>
    <col min="192" max="16384" width="9.140625" style="1"/>
  </cols>
  <sheetData>
    <row r="1" spans="1:191" s="2" customFormat="1" x14ac:dyDescent="0.25">
      <c r="B1" s="9"/>
    </row>
    <row r="2" spans="1:191" s="7" customFormat="1" x14ac:dyDescent="0.25">
      <c r="A2" s="16" t="s">
        <v>59</v>
      </c>
      <c r="B2" s="10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</row>
    <row r="3" spans="1:191" s="7" customFormat="1" x14ac:dyDescent="0.25">
      <c r="A3" s="5" t="s">
        <v>60</v>
      </c>
      <c r="B3" s="2" t="s">
        <v>48</v>
      </c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</row>
    <row r="4" spans="1:191" s="7" customFormat="1" x14ac:dyDescent="0.25">
      <c r="A4" s="5" t="s">
        <v>61</v>
      </c>
      <c r="B4" s="1" t="s">
        <v>49</v>
      </c>
      <c r="C4" s="2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</row>
    <row r="5" spans="1:191" s="7" customFormat="1" x14ac:dyDescent="0.25">
      <c r="A5" s="5" t="s">
        <v>62</v>
      </c>
      <c r="B5" s="1" t="s">
        <v>50</v>
      </c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191" s="7" customFormat="1" x14ac:dyDescent="0.25">
      <c r="A6" s="5" t="s">
        <v>63</v>
      </c>
      <c r="B6" s="1" t="s">
        <v>51</v>
      </c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191" s="7" customFormat="1" x14ac:dyDescent="0.25">
      <c r="A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191" s="7" customFormat="1" x14ac:dyDescent="0.25">
      <c r="A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</row>
    <row r="9" spans="1:191" s="7" customFormat="1" x14ac:dyDescent="0.25">
      <c r="A9" s="8"/>
      <c r="D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</row>
    <row r="10" spans="1:191" s="3" customFormat="1" ht="15" customHeight="1" x14ac:dyDescent="0.25">
      <c r="B10" s="9"/>
      <c r="C10" s="1"/>
      <c r="D10" s="4"/>
      <c r="E10" s="6"/>
    </row>
    <row r="11" spans="1:191" s="13" customFormat="1" ht="53.25" customHeight="1" x14ac:dyDescent="0.25">
      <c r="B11" s="22" t="s">
        <v>64</v>
      </c>
      <c r="C11" s="23" t="s">
        <v>65</v>
      </c>
      <c r="D11" s="12"/>
      <c r="E11" s="12"/>
      <c r="F11" s="12"/>
      <c r="G11" s="17"/>
      <c r="H11" s="3"/>
    </row>
    <row r="12" spans="1:191" s="15" customFormat="1" ht="30" customHeight="1" x14ac:dyDescent="0.25">
      <c r="B12" s="19" t="s">
        <v>10</v>
      </c>
      <c r="C12" s="20">
        <v>9</v>
      </c>
      <c r="D12" s="14"/>
      <c r="E12" s="14"/>
      <c r="F12" s="14"/>
      <c r="G12" s="14"/>
    </row>
    <row r="13" spans="1:191" s="15" customFormat="1" ht="30" customHeight="1" x14ac:dyDescent="0.25">
      <c r="B13" s="21" t="s">
        <v>35</v>
      </c>
      <c r="C13" s="20">
        <v>9</v>
      </c>
      <c r="D13" s="14"/>
      <c r="E13" s="14"/>
      <c r="F13" s="14"/>
      <c r="G13" s="14"/>
    </row>
    <row r="14" spans="1:191" s="15" customFormat="1" ht="30" customHeight="1" x14ac:dyDescent="0.25">
      <c r="B14" s="19" t="s">
        <v>57</v>
      </c>
      <c r="C14" s="20">
        <v>9</v>
      </c>
      <c r="D14" s="14"/>
      <c r="E14" s="14"/>
      <c r="F14" s="14"/>
      <c r="G14" s="14"/>
    </row>
    <row r="15" spans="1:191" s="15" customFormat="1" ht="30" customHeight="1" x14ac:dyDescent="0.25">
      <c r="B15" s="19" t="s">
        <v>24</v>
      </c>
      <c r="C15" s="20">
        <v>8</v>
      </c>
      <c r="D15" s="14"/>
      <c r="E15" s="14"/>
      <c r="F15" s="14"/>
      <c r="G15" s="14"/>
    </row>
    <row r="16" spans="1:191" s="15" customFormat="1" ht="30" customHeight="1" x14ac:dyDescent="0.25">
      <c r="B16" s="19" t="s">
        <v>0</v>
      </c>
      <c r="C16" s="20">
        <v>8</v>
      </c>
      <c r="D16" s="14"/>
      <c r="E16" s="14"/>
      <c r="F16" s="14"/>
      <c r="G16" s="14"/>
    </row>
    <row r="17" spans="2:7" s="15" customFormat="1" ht="30" customHeight="1" x14ac:dyDescent="0.25">
      <c r="B17" s="19" t="s">
        <v>1</v>
      </c>
      <c r="C17" s="20">
        <v>8</v>
      </c>
      <c r="D17" s="14"/>
      <c r="E17" s="14"/>
      <c r="F17" s="14"/>
      <c r="G17" s="14"/>
    </row>
    <row r="18" spans="2:7" s="15" customFormat="1" ht="30" customHeight="1" x14ac:dyDescent="0.25">
      <c r="B18" s="19" t="s">
        <v>3</v>
      </c>
      <c r="C18" s="20">
        <v>8</v>
      </c>
      <c r="D18" s="14"/>
      <c r="E18" s="14"/>
      <c r="F18" s="14"/>
      <c r="G18" s="14"/>
    </row>
    <row r="19" spans="2:7" s="15" customFormat="1" ht="30" customHeight="1" x14ac:dyDescent="0.25">
      <c r="B19" s="19" t="s">
        <v>9</v>
      </c>
      <c r="C19" s="20">
        <v>8</v>
      </c>
      <c r="D19" s="14"/>
      <c r="E19" s="14"/>
      <c r="F19" s="14"/>
      <c r="G19" s="14"/>
    </row>
    <row r="20" spans="2:7" s="15" customFormat="1" ht="30" customHeight="1" x14ac:dyDescent="0.25">
      <c r="B20" s="21" t="s">
        <v>58</v>
      </c>
      <c r="C20" s="20">
        <v>8</v>
      </c>
      <c r="D20" s="14"/>
      <c r="E20" s="14"/>
      <c r="F20" s="14"/>
      <c r="G20" s="14"/>
    </row>
    <row r="21" spans="2:7" s="15" customFormat="1" ht="30" customHeight="1" x14ac:dyDescent="0.25">
      <c r="B21" s="21" t="s">
        <v>39</v>
      </c>
      <c r="C21" s="20">
        <v>8</v>
      </c>
      <c r="D21" s="14"/>
      <c r="E21" s="14"/>
      <c r="F21" s="14"/>
      <c r="G21" s="14"/>
    </row>
    <row r="22" spans="2:7" s="15" customFormat="1" ht="30" customHeight="1" x14ac:dyDescent="0.25">
      <c r="B22" s="21" t="s">
        <v>43</v>
      </c>
      <c r="C22" s="20">
        <v>8</v>
      </c>
      <c r="D22" s="14"/>
      <c r="E22" s="14"/>
      <c r="F22" s="14"/>
      <c r="G22" s="14"/>
    </row>
    <row r="23" spans="2:7" s="15" customFormat="1" ht="30" customHeight="1" x14ac:dyDescent="0.25">
      <c r="B23" s="19" t="s">
        <v>52</v>
      </c>
      <c r="C23" s="20">
        <v>8</v>
      </c>
      <c r="D23" s="14"/>
      <c r="E23" s="14"/>
      <c r="F23" s="14"/>
      <c r="G23" s="14"/>
    </row>
    <row r="24" spans="2:7" s="15" customFormat="1" ht="30" customHeight="1" x14ac:dyDescent="0.25">
      <c r="B24" s="21" t="s">
        <v>36</v>
      </c>
      <c r="C24" s="20">
        <v>8</v>
      </c>
      <c r="D24" s="14"/>
      <c r="F24" s="14"/>
      <c r="G24" s="14"/>
    </row>
    <row r="25" spans="2:7" s="15" customFormat="1" ht="30" customHeight="1" x14ac:dyDescent="0.25">
      <c r="B25" s="21" t="s">
        <v>32</v>
      </c>
      <c r="C25" s="20">
        <v>7</v>
      </c>
      <c r="D25" s="14"/>
      <c r="F25" s="14"/>
      <c r="G25" s="14"/>
    </row>
    <row r="26" spans="2:7" s="15" customFormat="1" ht="30" customHeight="1" x14ac:dyDescent="0.25">
      <c r="B26" s="19" t="s">
        <v>23</v>
      </c>
      <c r="C26" s="20">
        <v>7</v>
      </c>
      <c r="D26" s="14"/>
      <c r="E26" s="14"/>
      <c r="F26" s="14"/>
      <c r="G26" s="14"/>
    </row>
    <row r="27" spans="2:7" s="15" customFormat="1" ht="30" customHeight="1" x14ac:dyDescent="0.25">
      <c r="B27" s="21" t="s">
        <v>31</v>
      </c>
      <c r="C27" s="20">
        <v>7</v>
      </c>
      <c r="D27" s="14"/>
      <c r="F27" s="14"/>
      <c r="G27" s="14"/>
    </row>
    <row r="28" spans="2:7" s="15" customFormat="1" ht="30" customHeight="1" x14ac:dyDescent="0.25">
      <c r="B28" s="19" t="s">
        <v>2</v>
      </c>
      <c r="C28" s="20">
        <v>7</v>
      </c>
      <c r="D28" s="14"/>
      <c r="E28" s="14"/>
      <c r="F28" s="14"/>
      <c r="G28" s="14"/>
    </row>
    <row r="29" spans="2:7" s="15" customFormat="1" ht="30" customHeight="1" x14ac:dyDescent="0.25">
      <c r="B29" s="19" t="s">
        <v>21</v>
      </c>
      <c r="C29" s="20">
        <v>7</v>
      </c>
      <c r="D29" s="14"/>
      <c r="E29" s="14"/>
      <c r="F29" s="14"/>
      <c r="G29" s="14"/>
    </row>
    <row r="30" spans="2:7" s="15" customFormat="1" ht="30" customHeight="1" x14ac:dyDescent="0.25">
      <c r="B30" s="19" t="s">
        <v>22</v>
      </c>
      <c r="C30" s="20">
        <v>7</v>
      </c>
      <c r="D30" s="14"/>
      <c r="E30" s="14"/>
      <c r="F30" s="14"/>
      <c r="G30" s="14"/>
    </row>
    <row r="31" spans="2:7" s="15" customFormat="1" ht="30" customHeight="1" x14ac:dyDescent="0.25">
      <c r="B31" s="21" t="s">
        <v>41</v>
      </c>
      <c r="C31" s="20">
        <v>7</v>
      </c>
      <c r="D31" s="14"/>
      <c r="E31" s="14"/>
      <c r="F31" s="14"/>
      <c r="G31" s="14"/>
    </row>
    <row r="32" spans="2:7" s="15" customFormat="1" ht="30" customHeight="1" x14ac:dyDescent="0.25">
      <c r="B32" s="19" t="s">
        <v>56</v>
      </c>
      <c r="C32" s="20">
        <v>7</v>
      </c>
      <c r="D32" s="14"/>
      <c r="E32" s="14"/>
      <c r="F32" s="14"/>
      <c r="G32" s="14"/>
    </row>
    <row r="33" spans="2:7" s="15" customFormat="1" ht="30" customHeight="1" x14ac:dyDescent="0.25">
      <c r="B33" s="19" t="s">
        <v>55</v>
      </c>
      <c r="C33" s="20">
        <v>7</v>
      </c>
      <c r="D33" s="14"/>
      <c r="E33" s="14"/>
      <c r="F33" s="14"/>
      <c r="G33" s="14"/>
    </row>
    <row r="34" spans="2:7" s="15" customFormat="1" ht="30" customHeight="1" x14ac:dyDescent="0.25">
      <c r="B34" s="21" t="s">
        <v>30</v>
      </c>
      <c r="C34" s="20">
        <v>7</v>
      </c>
      <c r="D34" s="14"/>
      <c r="E34" s="14"/>
      <c r="F34" s="14"/>
      <c r="G34" s="14"/>
    </row>
    <row r="35" spans="2:7" s="15" customFormat="1" ht="30" customHeight="1" x14ac:dyDescent="0.25">
      <c r="B35" s="19" t="s">
        <v>20</v>
      </c>
      <c r="C35" s="20">
        <v>6</v>
      </c>
      <c r="D35" s="14"/>
      <c r="E35" s="14"/>
      <c r="F35" s="14"/>
      <c r="G35" s="14"/>
    </row>
    <row r="36" spans="2:7" s="15" customFormat="1" ht="30" customHeight="1" x14ac:dyDescent="0.25">
      <c r="B36" s="19" t="s">
        <v>18</v>
      </c>
      <c r="C36" s="20">
        <v>6</v>
      </c>
      <c r="D36" s="14"/>
      <c r="E36" s="14"/>
      <c r="F36" s="14"/>
      <c r="G36" s="14"/>
    </row>
    <row r="37" spans="2:7" s="15" customFormat="1" ht="30" customHeight="1" x14ac:dyDescent="0.25">
      <c r="B37" s="19" t="s">
        <v>19</v>
      </c>
      <c r="C37" s="20">
        <v>6</v>
      </c>
      <c r="D37" s="14"/>
      <c r="E37" s="14"/>
      <c r="F37" s="14"/>
      <c r="G37" s="14"/>
    </row>
    <row r="38" spans="2:7" s="15" customFormat="1" ht="30" customHeight="1" x14ac:dyDescent="0.25">
      <c r="B38" s="21" t="s">
        <v>29</v>
      </c>
      <c r="C38" s="20">
        <v>6</v>
      </c>
      <c r="D38" s="14"/>
      <c r="E38" s="14"/>
      <c r="F38" s="14"/>
      <c r="G38" s="14"/>
    </row>
    <row r="39" spans="2:7" s="15" customFormat="1" ht="30" customHeight="1" x14ac:dyDescent="0.25">
      <c r="B39" s="21" t="s">
        <v>33</v>
      </c>
      <c r="C39" s="20">
        <v>6</v>
      </c>
      <c r="D39" s="14"/>
      <c r="E39" s="14"/>
      <c r="F39" s="14"/>
      <c r="G39" s="14"/>
    </row>
    <row r="40" spans="2:7" s="15" customFormat="1" ht="30" customHeight="1" x14ac:dyDescent="0.25">
      <c r="B40" s="21" t="s">
        <v>40</v>
      </c>
      <c r="C40" s="20">
        <v>6</v>
      </c>
      <c r="D40" s="14"/>
      <c r="E40" s="14"/>
      <c r="F40" s="14"/>
      <c r="G40" s="14"/>
    </row>
    <row r="41" spans="2:7" s="15" customFormat="1" ht="30" customHeight="1" x14ac:dyDescent="0.25">
      <c r="B41" s="19" t="s">
        <v>17</v>
      </c>
      <c r="C41" s="20">
        <v>6</v>
      </c>
      <c r="D41" s="14"/>
      <c r="E41" s="14"/>
      <c r="F41" s="14"/>
      <c r="G41" s="14"/>
    </row>
    <row r="42" spans="2:7" s="15" customFormat="1" ht="30" customHeight="1" x14ac:dyDescent="0.25">
      <c r="B42" s="21" t="s">
        <v>34</v>
      </c>
      <c r="C42" s="20">
        <v>6</v>
      </c>
      <c r="D42" s="14"/>
      <c r="F42" s="14"/>
      <c r="G42" s="14"/>
    </row>
    <row r="43" spans="2:7" s="15" customFormat="1" ht="30" customHeight="1" x14ac:dyDescent="0.25">
      <c r="B43" s="21" t="s">
        <v>37</v>
      </c>
      <c r="C43" s="20">
        <v>6</v>
      </c>
      <c r="D43" s="14"/>
      <c r="F43" s="14"/>
      <c r="G43" s="14"/>
    </row>
    <row r="44" spans="2:7" s="15" customFormat="1" ht="30" customHeight="1" x14ac:dyDescent="0.25">
      <c r="B44" s="21" t="s">
        <v>42</v>
      </c>
      <c r="C44" s="20">
        <v>5</v>
      </c>
      <c r="D44" s="14"/>
      <c r="E44" s="14"/>
      <c r="F44" s="14"/>
      <c r="G44" s="14"/>
    </row>
    <row r="45" spans="2:7" s="15" customFormat="1" ht="30" customHeight="1" x14ac:dyDescent="0.25">
      <c r="B45" s="21" t="s">
        <v>45</v>
      </c>
      <c r="C45" s="20">
        <v>5</v>
      </c>
      <c r="D45" s="14"/>
      <c r="E45" s="14"/>
      <c r="F45" s="14"/>
      <c r="G45" s="14"/>
    </row>
    <row r="46" spans="2:7" s="15" customFormat="1" ht="30" customHeight="1" x14ac:dyDescent="0.25">
      <c r="B46" s="21" t="s">
        <v>47</v>
      </c>
      <c r="C46" s="20">
        <v>5</v>
      </c>
      <c r="D46" s="14"/>
      <c r="E46" s="14"/>
      <c r="F46" s="14"/>
      <c r="G46" s="14"/>
    </row>
    <row r="47" spans="2:7" s="15" customFormat="1" ht="30" customHeight="1" x14ac:dyDescent="0.25">
      <c r="B47" s="19" t="s">
        <v>53</v>
      </c>
      <c r="C47" s="20">
        <v>5</v>
      </c>
      <c r="D47" s="14"/>
      <c r="E47" s="14"/>
      <c r="F47" s="14"/>
      <c r="G47" s="14"/>
    </row>
    <row r="48" spans="2:7" s="15" customFormat="1" ht="30" customHeight="1" x14ac:dyDescent="0.25">
      <c r="B48" s="19" t="s">
        <v>54</v>
      </c>
      <c r="C48" s="20">
        <v>3</v>
      </c>
      <c r="D48" s="14"/>
      <c r="E48" s="14"/>
      <c r="F48" s="14"/>
      <c r="G48" s="14"/>
    </row>
    <row r="49" spans="2:7" s="15" customFormat="1" ht="30" customHeight="1" x14ac:dyDescent="0.25">
      <c r="B49" s="19" t="s">
        <v>5</v>
      </c>
      <c r="C49" s="20">
        <v>3</v>
      </c>
      <c r="D49" s="14"/>
      <c r="E49" s="14"/>
      <c r="F49" s="14"/>
      <c r="G49" s="14"/>
    </row>
    <row r="50" spans="2:7" s="15" customFormat="1" ht="30" customHeight="1" x14ac:dyDescent="0.25">
      <c r="B50" s="21" t="s">
        <v>38</v>
      </c>
      <c r="C50" s="20">
        <v>3</v>
      </c>
      <c r="D50" s="14"/>
      <c r="E50" s="14"/>
      <c r="F50" s="14"/>
      <c r="G50" s="14"/>
    </row>
    <row r="51" spans="2:7" s="15" customFormat="1" ht="30" customHeight="1" x14ac:dyDescent="0.25">
      <c r="B51" s="21" t="s">
        <v>44</v>
      </c>
      <c r="C51" s="20">
        <v>3</v>
      </c>
      <c r="D51" s="14"/>
      <c r="E51" s="14"/>
      <c r="F51" s="14"/>
      <c r="G51" s="14"/>
    </row>
    <row r="52" spans="2:7" s="15" customFormat="1" ht="30" customHeight="1" x14ac:dyDescent="0.25">
      <c r="B52" s="21" t="s">
        <v>46</v>
      </c>
      <c r="C52" s="20">
        <v>2</v>
      </c>
      <c r="D52" s="14"/>
      <c r="E52" s="14"/>
      <c r="F52" s="14"/>
      <c r="G52" s="14"/>
    </row>
    <row r="53" spans="2:7" s="15" customFormat="1" ht="30" customHeight="1" x14ac:dyDescent="0.25">
      <c r="B53" s="19" t="s">
        <v>4</v>
      </c>
      <c r="C53" s="20">
        <v>1</v>
      </c>
      <c r="D53" s="14"/>
      <c r="E53" s="14"/>
      <c r="F53" s="14"/>
      <c r="G53" s="14"/>
    </row>
    <row r="54" spans="2:7" s="2" customFormat="1" x14ac:dyDescent="0.25">
      <c r="B54" s="9"/>
    </row>
    <row r="55" spans="2:7" s="2" customFormat="1" x14ac:dyDescent="0.25">
      <c r="B55" s="9"/>
      <c r="E55" s="18"/>
      <c r="F55" s="18"/>
    </row>
    <row r="56" spans="2:7" s="2" customFormat="1" x14ac:dyDescent="0.25">
      <c r="B56" s="9"/>
    </row>
    <row r="57" spans="2:7" s="2" customFormat="1" x14ac:dyDescent="0.25">
      <c r="B57" s="9"/>
    </row>
    <row r="58" spans="2:7" s="2" customFormat="1" x14ac:dyDescent="0.25">
      <c r="B58" s="9"/>
    </row>
    <row r="59" spans="2:7" s="2" customFormat="1" x14ac:dyDescent="0.25">
      <c r="B59" s="9"/>
    </row>
    <row r="60" spans="2:7" s="2" customFormat="1" x14ac:dyDescent="0.25">
      <c r="B60" s="9"/>
    </row>
    <row r="61" spans="2:7" s="2" customFormat="1" x14ac:dyDescent="0.25">
      <c r="B61" s="9"/>
    </row>
    <row r="62" spans="2:7" s="2" customFormat="1" x14ac:dyDescent="0.25">
      <c r="B62" s="9"/>
    </row>
    <row r="63" spans="2:7" s="2" customFormat="1" x14ac:dyDescent="0.25">
      <c r="B63" s="9"/>
    </row>
    <row r="64" spans="2:7" s="2" customFormat="1" x14ac:dyDescent="0.25">
      <c r="B64" s="9"/>
    </row>
    <row r="65" spans="2:2" s="2" customFormat="1" x14ac:dyDescent="0.25">
      <c r="B65" s="9"/>
    </row>
    <row r="66" spans="2:2" s="2" customFormat="1" x14ac:dyDescent="0.25">
      <c r="B66" s="9"/>
    </row>
    <row r="67" spans="2:2" s="2" customFormat="1" x14ac:dyDescent="0.25">
      <c r="B67" s="9"/>
    </row>
    <row r="68" spans="2:2" s="2" customFormat="1" x14ac:dyDescent="0.25">
      <c r="B68" s="9"/>
    </row>
    <row r="69" spans="2:2" s="2" customFormat="1" x14ac:dyDescent="0.25">
      <c r="B69" s="9"/>
    </row>
    <row r="70" spans="2:2" s="2" customFormat="1" x14ac:dyDescent="0.25">
      <c r="B70" s="9"/>
    </row>
    <row r="71" spans="2:2" s="2" customFormat="1" x14ac:dyDescent="0.25">
      <c r="B71" s="9"/>
    </row>
    <row r="72" spans="2:2" s="2" customFormat="1" x14ac:dyDescent="0.25">
      <c r="B72" s="9"/>
    </row>
    <row r="73" spans="2:2" s="2" customFormat="1" x14ac:dyDescent="0.25">
      <c r="B73" s="9"/>
    </row>
    <row r="74" spans="2:2" s="2" customFormat="1" x14ac:dyDescent="0.25">
      <c r="B74" s="9"/>
    </row>
    <row r="75" spans="2:2" s="2" customFormat="1" x14ac:dyDescent="0.25">
      <c r="B75" s="9"/>
    </row>
    <row r="76" spans="2:2" s="2" customFormat="1" x14ac:dyDescent="0.25">
      <c r="B76" s="9"/>
    </row>
    <row r="77" spans="2:2" s="2" customFormat="1" x14ac:dyDescent="0.25">
      <c r="B77" s="9"/>
    </row>
    <row r="78" spans="2:2" s="2" customFormat="1" x14ac:dyDescent="0.25">
      <c r="B78" s="9"/>
    </row>
    <row r="79" spans="2:2" s="2" customFormat="1" x14ac:dyDescent="0.25">
      <c r="B79" s="9"/>
    </row>
    <row r="80" spans="2:2" s="2" customFormat="1" x14ac:dyDescent="0.25">
      <c r="B80" s="9"/>
    </row>
    <row r="81" spans="2:2" s="2" customFormat="1" x14ac:dyDescent="0.25">
      <c r="B81" s="9"/>
    </row>
    <row r="82" spans="2:2" s="2" customFormat="1" x14ac:dyDescent="0.25">
      <c r="B82" s="9"/>
    </row>
    <row r="83" spans="2:2" s="2" customFormat="1" x14ac:dyDescent="0.25">
      <c r="B83" s="9"/>
    </row>
    <row r="84" spans="2:2" s="2" customFormat="1" x14ac:dyDescent="0.25">
      <c r="B84" s="9"/>
    </row>
    <row r="85" spans="2:2" s="2" customFormat="1" x14ac:dyDescent="0.25">
      <c r="B85" s="9"/>
    </row>
    <row r="86" spans="2:2" s="2" customFormat="1" x14ac:dyDescent="0.25">
      <c r="B86" s="9"/>
    </row>
    <row r="87" spans="2:2" s="2" customFormat="1" x14ac:dyDescent="0.25">
      <c r="B87" s="9"/>
    </row>
    <row r="88" spans="2:2" s="2" customFormat="1" x14ac:dyDescent="0.25">
      <c r="B88" s="9"/>
    </row>
    <row r="89" spans="2:2" s="2" customFormat="1" x14ac:dyDescent="0.25">
      <c r="B89" s="9"/>
    </row>
    <row r="90" spans="2:2" s="2" customFormat="1" x14ac:dyDescent="0.25">
      <c r="B90" s="9"/>
    </row>
    <row r="91" spans="2:2" s="2" customFormat="1" x14ac:dyDescent="0.25">
      <c r="B91" s="9"/>
    </row>
    <row r="92" spans="2:2" s="2" customFormat="1" x14ac:dyDescent="0.25">
      <c r="B92" s="9"/>
    </row>
    <row r="93" spans="2:2" s="2" customFormat="1" x14ac:dyDescent="0.25">
      <c r="B93" s="9"/>
    </row>
    <row r="94" spans="2:2" s="2" customFormat="1" x14ac:dyDescent="0.25">
      <c r="B94" s="9"/>
    </row>
    <row r="95" spans="2:2" s="2" customFormat="1" x14ac:dyDescent="0.25">
      <c r="B95" s="9"/>
    </row>
    <row r="96" spans="2:2" s="2" customFormat="1" x14ac:dyDescent="0.25">
      <c r="B96" s="9"/>
    </row>
    <row r="97" spans="2:2" s="2" customFormat="1" x14ac:dyDescent="0.25">
      <c r="B97" s="9"/>
    </row>
    <row r="98" spans="2:2" s="2" customFormat="1" x14ac:dyDescent="0.25">
      <c r="B98" s="9"/>
    </row>
    <row r="99" spans="2:2" s="2" customFormat="1" x14ac:dyDescent="0.25">
      <c r="B99" s="9"/>
    </row>
    <row r="100" spans="2:2" s="2" customFormat="1" x14ac:dyDescent="0.25">
      <c r="B100" s="9"/>
    </row>
    <row r="101" spans="2:2" s="2" customFormat="1" x14ac:dyDescent="0.25">
      <c r="B101" s="9"/>
    </row>
    <row r="102" spans="2:2" s="2" customFormat="1" x14ac:dyDescent="0.25">
      <c r="B102" s="9"/>
    </row>
    <row r="103" spans="2:2" s="2" customFormat="1" x14ac:dyDescent="0.25">
      <c r="B103" s="9"/>
    </row>
    <row r="104" spans="2:2" s="2" customFormat="1" x14ac:dyDescent="0.25">
      <c r="B104" s="9"/>
    </row>
    <row r="105" spans="2:2" s="2" customFormat="1" x14ac:dyDescent="0.25">
      <c r="B105" s="9"/>
    </row>
    <row r="106" spans="2:2" s="2" customFormat="1" x14ac:dyDescent="0.25">
      <c r="B106" s="9"/>
    </row>
    <row r="107" spans="2:2" s="2" customFormat="1" x14ac:dyDescent="0.25">
      <c r="B107" s="9"/>
    </row>
    <row r="108" spans="2:2" s="2" customFormat="1" x14ac:dyDescent="0.25">
      <c r="B108" s="9"/>
    </row>
    <row r="109" spans="2:2" s="2" customFormat="1" x14ac:dyDescent="0.25">
      <c r="B109" s="9"/>
    </row>
    <row r="110" spans="2:2" s="2" customFormat="1" x14ac:dyDescent="0.25">
      <c r="B110" s="9"/>
    </row>
    <row r="111" spans="2:2" s="2" customFormat="1" x14ac:dyDescent="0.25">
      <c r="B111" s="9"/>
    </row>
    <row r="112" spans="2:2" s="2" customFormat="1" x14ac:dyDescent="0.25">
      <c r="B112" s="9"/>
    </row>
    <row r="113" spans="2:2" s="2" customFormat="1" x14ac:dyDescent="0.25">
      <c r="B113" s="9"/>
    </row>
    <row r="114" spans="2:2" s="2" customFormat="1" x14ac:dyDescent="0.25">
      <c r="B114" s="9"/>
    </row>
    <row r="115" spans="2:2" s="2" customFormat="1" x14ac:dyDescent="0.25">
      <c r="B115" s="9"/>
    </row>
    <row r="116" spans="2:2" s="2" customFormat="1" x14ac:dyDescent="0.25">
      <c r="B116" s="9"/>
    </row>
    <row r="117" spans="2:2" s="2" customFormat="1" x14ac:dyDescent="0.25">
      <c r="B117" s="9"/>
    </row>
    <row r="118" spans="2:2" s="2" customFormat="1" x14ac:dyDescent="0.25">
      <c r="B118" s="9"/>
    </row>
    <row r="119" spans="2:2" s="2" customFormat="1" x14ac:dyDescent="0.25">
      <c r="B119" s="9"/>
    </row>
    <row r="120" spans="2:2" s="2" customFormat="1" x14ac:dyDescent="0.25">
      <c r="B120" s="9"/>
    </row>
    <row r="121" spans="2:2" s="2" customFormat="1" x14ac:dyDescent="0.25">
      <c r="B121" s="9"/>
    </row>
    <row r="122" spans="2:2" s="2" customFormat="1" x14ac:dyDescent="0.25">
      <c r="B122" s="9"/>
    </row>
    <row r="123" spans="2:2" s="2" customFormat="1" x14ac:dyDescent="0.25">
      <c r="B123" s="9"/>
    </row>
    <row r="124" spans="2:2" s="2" customFormat="1" x14ac:dyDescent="0.25">
      <c r="B124" s="9"/>
    </row>
    <row r="125" spans="2:2" s="2" customFormat="1" x14ac:dyDescent="0.25">
      <c r="B125" s="9"/>
    </row>
    <row r="126" spans="2:2" s="2" customFormat="1" x14ac:dyDescent="0.25">
      <c r="B126" s="9"/>
    </row>
    <row r="127" spans="2:2" s="2" customFormat="1" x14ac:dyDescent="0.25">
      <c r="B127" s="9"/>
    </row>
    <row r="128" spans="2:2" s="2" customFormat="1" x14ac:dyDescent="0.25">
      <c r="B128" s="9"/>
    </row>
    <row r="129" spans="2:2" s="2" customFormat="1" x14ac:dyDescent="0.25">
      <c r="B129" s="9"/>
    </row>
    <row r="130" spans="2:2" s="2" customFormat="1" x14ac:dyDescent="0.25">
      <c r="B130" s="9"/>
    </row>
    <row r="131" spans="2:2" s="2" customFormat="1" x14ac:dyDescent="0.25">
      <c r="B131" s="9"/>
    </row>
    <row r="132" spans="2:2" s="2" customFormat="1" x14ac:dyDescent="0.25">
      <c r="B132" s="9"/>
    </row>
    <row r="133" spans="2:2" s="2" customFormat="1" x14ac:dyDescent="0.25">
      <c r="B133" s="9"/>
    </row>
    <row r="134" spans="2:2" s="2" customFormat="1" x14ac:dyDescent="0.25">
      <c r="B134" s="9"/>
    </row>
    <row r="135" spans="2:2" s="2" customFormat="1" x14ac:dyDescent="0.25">
      <c r="B135" s="9"/>
    </row>
    <row r="136" spans="2:2" s="2" customFormat="1" x14ac:dyDescent="0.25">
      <c r="B136" s="9"/>
    </row>
    <row r="137" spans="2:2" s="2" customFormat="1" x14ac:dyDescent="0.25">
      <c r="B137" s="9"/>
    </row>
    <row r="138" spans="2:2" s="2" customFormat="1" x14ac:dyDescent="0.25">
      <c r="B138" s="9"/>
    </row>
    <row r="139" spans="2:2" s="2" customFormat="1" x14ac:dyDescent="0.25">
      <c r="B139" s="9"/>
    </row>
    <row r="140" spans="2:2" s="2" customFormat="1" x14ac:dyDescent="0.25">
      <c r="B140" s="9"/>
    </row>
    <row r="141" spans="2:2" s="2" customFormat="1" x14ac:dyDescent="0.25">
      <c r="B141" s="9"/>
    </row>
    <row r="142" spans="2:2" s="2" customFormat="1" x14ac:dyDescent="0.25">
      <c r="B142" s="9"/>
    </row>
    <row r="143" spans="2:2" s="2" customFormat="1" x14ac:dyDescent="0.25">
      <c r="B143" s="9"/>
    </row>
    <row r="144" spans="2:2" s="2" customFormat="1" x14ac:dyDescent="0.25">
      <c r="B144" s="9"/>
    </row>
    <row r="145" spans="2:2" s="2" customFormat="1" x14ac:dyDescent="0.25">
      <c r="B145" s="9"/>
    </row>
    <row r="146" spans="2:2" s="2" customFormat="1" x14ac:dyDescent="0.25">
      <c r="B146" s="9"/>
    </row>
    <row r="147" spans="2:2" s="2" customFormat="1" x14ac:dyDescent="0.25">
      <c r="B147" s="9"/>
    </row>
    <row r="148" spans="2:2" s="2" customFormat="1" x14ac:dyDescent="0.25">
      <c r="B148" s="9"/>
    </row>
    <row r="149" spans="2:2" s="2" customFormat="1" x14ac:dyDescent="0.25">
      <c r="B149" s="9"/>
    </row>
    <row r="150" spans="2:2" s="2" customFormat="1" x14ac:dyDescent="0.25">
      <c r="B150" s="9"/>
    </row>
    <row r="151" spans="2:2" s="2" customFormat="1" x14ac:dyDescent="0.25">
      <c r="B151" s="9"/>
    </row>
    <row r="152" spans="2:2" s="2" customFormat="1" x14ac:dyDescent="0.25">
      <c r="B152" s="9"/>
    </row>
    <row r="153" spans="2:2" s="2" customFormat="1" x14ac:dyDescent="0.25">
      <c r="B153" s="9"/>
    </row>
    <row r="154" spans="2:2" s="2" customFormat="1" x14ac:dyDescent="0.25">
      <c r="B154" s="9"/>
    </row>
    <row r="155" spans="2:2" s="2" customFormat="1" x14ac:dyDescent="0.25">
      <c r="B155" s="9"/>
    </row>
    <row r="156" spans="2:2" s="2" customFormat="1" x14ac:dyDescent="0.25">
      <c r="B156" s="9"/>
    </row>
    <row r="157" spans="2:2" s="2" customFormat="1" x14ac:dyDescent="0.25">
      <c r="B157" s="9"/>
    </row>
    <row r="158" spans="2:2" s="2" customFormat="1" x14ac:dyDescent="0.25">
      <c r="B158" s="9"/>
    </row>
    <row r="159" spans="2:2" s="2" customFormat="1" x14ac:dyDescent="0.25">
      <c r="B159" s="9"/>
    </row>
    <row r="160" spans="2:2" s="2" customFormat="1" x14ac:dyDescent="0.25">
      <c r="B160" s="9"/>
    </row>
    <row r="161" spans="2:2" s="2" customFormat="1" x14ac:dyDescent="0.25">
      <c r="B161" s="9"/>
    </row>
    <row r="162" spans="2:2" s="2" customFormat="1" x14ac:dyDescent="0.25">
      <c r="B162" s="9"/>
    </row>
    <row r="163" spans="2:2" s="2" customFormat="1" x14ac:dyDescent="0.25">
      <c r="B163" s="9"/>
    </row>
    <row r="164" spans="2:2" s="2" customFormat="1" x14ac:dyDescent="0.25">
      <c r="B164" s="9"/>
    </row>
    <row r="165" spans="2:2" s="2" customFormat="1" x14ac:dyDescent="0.25">
      <c r="B165" s="9"/>
    </row>
    <row r="166" spans="2:2" s="2" customFormat="1" x14ac:dyDescent="0.25">
      <c r="B166" s="9"/>
    </row>
    <row r="167" spans="2:2" s="2" customFormat="1" x14ac:dyDescent="0.25">
      <c r="B167" s="9"/>
    </row>
    <row r="168" spans="2:2" s="2" customFormat="1" x14ac:dyDescent="0.25">
      <c r="B168" s="9"/>
    </row>
    <row r="169" spans="2:2" s="2" customFormat="1" x14ac:dyDescent="0.25">
      <c r="B169" s="9"/>
    </row>
    <row r="170" spans="2:2" s="2" customFormat="1" x14ac:dyDescent="0.25">
      <c r="B170" s="9"/>
    </row>
    <row r="171" spans="2:2" s="2" customFormat="1" x14ac:dyDescent="0.25">
      <c r="B171" s="9"/>
    </row>
    <row r="172" spans="2:2" s="2" customFormat="1" x14ac:dyDescent="0.25">
      <c r="B172" s="9"/>
    </row>
    <row r="173" spans="2:2" s="2" customFormat="1" x14ac:dyDescent="0.25">
      <c r="B173" s="9"/>
    </row>
    <row r="174" spans="2:2" s="2" customFormat="1" x14ac:dyDescent="0.25">
      <c r="B174" s="9"/>
    </row>
    <row r="175" spans="2:2" s="2" customFormat="1" x14ac:dyDescent="0.25">
      <c r="B175" s="9"/>
    </row>
    <row r="176" spans="2:2" s="2" customFormat="1" x14ac:dyDescent="0.25">
      <c r="B176" s="9"/>
    </row>
    <row r="177" spans="2:2" s="2" customFormat="1" x14ac:dyDescent="0.25">
      <c r="B177" s="9"/>
    </row>
    <row r="178" spans="2:2" s="2" customFormat="1" x14ac:dyDescent="0.25">
      <c r="B178" s="9"/>
    </row>
    <row r="179" spans="2:2" s="2" customFormat="1" x14ac:dyDescent="0.25">
      <c r="B179" s="9"/>
    </row>
    <row r="180" spans="2:2" s="2" customFormat="1" x14ac:dyDescent="0.25">
      <c r="B180" s="9"/>
    </row>
    <row r="181" spans="2:2" s="2" customFormat="1" x14ac:dyDescent="0.25">
      <c r="B181" s="9"/>
    </row>
    <row r="182" spans="2:2" s="2" customFormat="1" x14ac:dyDescent="0.25">
      <c r="B182" s="9"/>
    </row>
    <row r="183" spans="2:2" s="2" customFormat="1" x14ac:dyDescent="0.25">
      <c r="B183" s="9"/>
    </row>
    <row r="184" spans="2:2" s="2" customFormat="1" x14ac:dyDescent="0.25">
      <c r="B184" s="9"/>
    </row>
    <row r="185" spans="2:2" s="2" customFormat="1" x14ac:dyDescent="0.25">
      <c r="B185" s="9"/>
    </row>
    <row r="186" spans="2:2" s="2" customFormat="1" x14ac:dyDescent="0.25">
      <c r="B186" s="9"/>
    </row>
    <row r="187" spans="2:2" s="2" customFormat="1" x14ac:dyDescent="0.25">
      <c r="B187" s="9"/>
    </row>
    <row r="188" spans="2:2" s="2" customFormat="1" x14ac:dyDescent="0.25">
      <c r="B188" s="9"/>
    </row>
    <row r="189" spans="2:2" s="2" customFormat="1" x14ac:dyDescent="0.25">
      <c r="B189" s="9"/>
    </row>
    <row r="190" spans="2:2" s="2" customFormat="1" x14ac:dyDescent="0.25">
      <c r="B190" s="9"/>
    </row>
    <row r="191" spans="2:2" s="2" customFormat="1" x14ac:dyDescent="0.25">
      <c r="B191" s="9"/>
    </row>
    <row r="192" spans="2:2" s="2" customFormat="1" x14ac:dyDescent="0.25">
      <c r="B192" s="9"/>
    </row>
    <row r="193" spans="2:2" s="2" customFormat="1" x14ac:dyDescent="0.25">
      <c r="B193" s="9"/>
    </row>
    <row r="194" spans="2:2" s="2" customFormat="1" x14ac:dyDescent="0.25">
      <c r="B194" s="9"/>
    </row>
    <row r="195" spans="2:2" s="2" customFormat="1" x14ac:dyDescent="0.25">
      <c r="B195" s="9"/>
    </row>
    <row r="196" spans="2:2" s="2" customFormat="1" x14ac:dyDescent="0.25">
      <c r="B196" s="9"/>
    </row>
    <row r="197" spans="2:2" s="2" customFormat="1" x14ac:dyDescent="0.25">
      <c r="B197" s="9"/>
    </row>
    <row r="198" spans="2:2" s="2" customFormat="1" x14ac:dyDescent="0.25">
      <c r="B198" s="9"/>
    </row>
    <row r="199" spans="2:2" s="2" customFormat="1" x14ac:dyDescent="0.25">
      <c r="B199" s="9"/>
    </row>
    <row r="200" spans="2:2" s="2" customFormat="1" x14ac:dyDescent="0.25">
      <c r="B200" s="9"/>
    </row>
    <row r="201" spans="2:2" s="2" customFormat="1" x14ac:dyDescent="0.25">
      <c r="B201" s="9"/>
    </row>
    <row r="202" spans="2:2" s="2" customFormat="1" x14ac:dyDescent="0.25">
      <c r="B202" s="9"/>
    </row>
    <row r="203" spans="2:2" s="2" customFormat="1" x14ac:dyDescent="0.25">
      <c r="B203" s="9"/>
    </row>
    <row r="204" spans="2:2" s="2" customFormat="1" x14ac:dyDescent="0.25">
      <c r="B204" s="9"/>
    </row>
    <row r="205" spans="2:2" s="2" customFormat="1" x14ac:dyDescent="0.25">
      <c r="B205" s="9"/>
    </row>
    <row r="206" spans="2:2" s="2" customFormat="1" x14ac:dyDescent="0.25">
      <c r="B206" s="9"/>
    </row>
    <row r="207" spans="2:2" s="2" customFormat="1" x14ac:dyDescent="0.25">
      <c r="B207" s="9"/>
    </row>
    <row r="208" spans="2:2" s="2" customFormat="1" x14ac:dyDescent="0.25">
      <c r="B208" s="9"/>
    </row>
    <row r="209" spans="2:2" s="2" customFormat="1" x14ac:dyDescent="0.25">
      <c r="B209" s="9"/>
    </row>
    <row r="210" spans="2:2" s="2" customFormat="1" x14ac:dyDescent="0.25">
      <c r="B210" s="9"/>
    </row>
    <row r="211" spans="2:2" s="2" customFormat="1" x14ac:dyDescent="0.25">
      <c r="B211" s="9"/>
    </row>
    <row r="212" spans="2:2" s="2" customFormat="1" x14ac:dyDescent="0.25">
      <c r="B212" s="9"/>
    </row>
    <row r="213" spans="2:2" s="2" customFormat="1" x14ac:dyDescent="0.25">
      <c r="B213" s="9"/>
    </row>
    <row r="214" spans="2:2" s="2" customFormat="1" x14ac:dyDescent="0.25">
      <c r="B214" s="9"/>
    </row>
    <row r="215" spans="2:2" s="2" customFormat="1" x14ac:dyDescent="0.25">
      <c r="B215" s="9"/>
    </row>
    <row r="216" spans="2:2" s="2" customFormat="1" x14ac:dyDescent="0.25">
      <c r="B216" s="9"/>
    </row>
    <row r="217" spans="2:2" s="2" customFormat="1" x14ac:dyDescent="0.25">
      <c r="B217" s="9"/>
    </row>
    <row r="218" spans="2:2" s="2" customFormat="1" x14ac:dyDescent="0.25">
      <c r="B218" s="9"/>
    </row>
    <row r="219" spans="2:2" s="2" customFormat="1" x14ac:dyDescent="0.25">
      <c r="B219" s="9"/>
    </row>
    <row r="220" spans="2:2" s="2" customFormat="1" x14ac:dyDescent="0.25">
      <c r="B220" s="9"/>
    </row>
    <row r="221" spans="2:2" s="2" customFormat="1" x14ac:dyDescent="0.25">
      <c r="B221" s="9"/>
    </row>
    <row r="222" spans="2:2" s="2" customFormat="1" x14ac:dyDescent="0.25">
      <c r="B222" s="9"/>
    </row>
    <row r="223" spans="2:2" s="2" customFormat="1" x14ac:dyDescent="0.25">
      <c r="B223" s="9"/>
    </row>
    <row r="224" spans="2:2" s="2" customFormat="1" x14ac:dyDescent="0.25">
      <c r="B224" s="9"/>
    </row>
    <row r="225" spans="2:2" s="2" customFormat="1" x14ac:dyDescent="0.25">
      <c r="B225" s="9"/>
    </row>
    <row r="226" spans="2:2" s="2" customFormat="1" x14ac:dyDescent="0.25">
      <c r="B226" s="9"/>
    </row>
    <row r="227" spans="2:2" s="2" customFormat="1" x14ac:dyDescent="0.25">
      <c r="B227" s="9"/>
    </row>
    <row r="228" spans="2:2" s="2" customFormat="1" x14ac:dyDescent="0.25">
      <c r="B228" s="9"/>
    </row>
    <row r="229" spans="2:2" s="2" customFormat="1" x14ac:dyDescent="0.25">
      <c r="B229" s="9"/>
    </row>
    <row r="230" spans="2:2" s="2" customFormat="1" x14ac:dyDescent="0.25">
      <c r="B230" s="9"/>
    </row>
    <row r="231" spans="2:2" s="2" customFormat="1" x14ac:dyDescent="0.25">
      <c r="B231" s="9"/>
    </row>
    <row r="232" spans="2:2" s="2" customFormat="1" x14ac:dyDescent="0.25">
      <c r="B232" s="9"/>
    </row>
    <row r="233" spans="2:2" s="2" customFormat="1" x14ac:dyDescent="0.25">
      <c r="B233" s="9"/>
    </row>
    <row r="234" spans="2:2" s="2" customFormat="1" x14ac:dyDescent="0.25">
      <c r="B234" s="9"/>
    </row>
    <row r="235" spans="2:2" s="2" customFormat="1" x14ac:dyDescent="0.25">
      <c r="B235" s="9"/>
    </row>
    <row r="236" spans="2:2" s="2" customFormat="1" x14ac:dyDescent="0.25">
      <c r="B236" s="9"/>
    </row>
    <row r="237" spans="2:2" s="2" customFormat="1" x14ac:dyDescent="0.25">
      <c r="B237" s="9"/>
    </row>
    <row r="238" spans="2:2" s="2" customFormat="1" x14ac:dyDescent="0.25">
      <c r="B238" s="9"/>
    </row>
    <row r="239" spans="2:2" s="2" customFormat="1" x14ac:dyDescent="0.25">
      <c r="B239" s="9"/>
    </row>
    <row r="240" spans="2:2" s="2" customFormat="1" x14ac:dyDescent="0.25">
      <c r="B240" s="9"/>
    </row>
    <row r="241" spans="2:2" s="2" customFormat="1" x14ac:dyDescent="0.25">
      <c r="B241" s="9"/>
    </row>
    <row r="242" spans="2:2" s="2" customFormat="1" x14ac:dyDescent="0.25">
      <c r="B242" s="9"/>
    </row>
    <row r="243" spans="2:2" s="2" customFormat="1" x14ac:dyDescent="0.25">
      <c r="B243" s="9"/>
    </row>
    <row r="244" spans="2:2" s="2" customFormat="1" x14ac:dyDescent="0.25">
      <c r="B244" s="9"/>
    </row>
    <row r="245" spans="2:2" s="2" customFormat="1" x14ac:dyDescent="0.25">
      <c r="B245" s="9"/>
    </row>
    <row r="246" spans="2:2" s="2" customFormat="1" x14ac:dyDescent="0.25">
      <c r="B246" s="9"/>
    </row>
    <row r="247" spans="2:2" s="2" customFormat="1" x14ac:dyDescent="0.25">
      <c r="B247" s="9"/>
    </row>
    <row r="248" spans="2:2" s="2" customFormat="1" x14ac:dyDescent="0.25">
      <c r="B248" s="9"/>
    </row>
    <row r="249" spans="2:2" s="2" customFormat="1" x14ac:dyDescent="0.25">
      <c r="B249" s="9"/>
    </row>
    <row r="250" spans="2:2" s="2" customFormat="1" x14ac:dyDescent="0.25">
      <c r="B250" s="9"/>
    </row>
    <row r="251" spans="2:2" s="2" customFormat="1" x14ac:dyDescent="0.25">
      <c r="B251" s="9"/>
    </row>
    <row r="252" spans="2:2" s="2" customFormat="1" x14ac:dyDescent="0.25">
      <c r="B252" s="9"/>
    </row>
    <row r="253" spans="2:2" s="2" customFormat="1" x14ac:dyDescent="0.25">
      <c r="B253" s="9"/>
    </row>
    <row r="254" spans="2:2" s="2" customFormat="1" x14ac:dyDescent="0.25">
      <c r="B254" s="9"/>
    </row>
    <row r="255" spans="2:2" s="2" customFormat="1" x14ac:dyDescent="0.25">
      <c r="B255" s="9"/>
    </row>
    <row r="256" spans="2:2" s="2" customFormat="1" x14ac:dyDescent="0.25">
      <c r="B256" s="9"/>
    </row>
    <row r="257" spans="2:2" s="2" customFormat="1" x14ac:dyDescent="0.25">
      <c r="B257" s="9"/>
    </row>
    <row r="258" spans="2:2" s="2" customFormat="1" x14ac:dyDescent="0.25">
      <c r="B258" s="9"/>
    </row>
    <row r="259" spans="2:2" s="2" customFormat="1" x14ac:dyDescent="0.25">
      <c r="B259" s="9"/>
    </row>
    <row r="260" spans="2:2" s="2" customFormat="1" x14ac:dyDescent="0.25">
      <c r="B260" s="9"/>
    </row>
    <row r="261" spans="2:2" s="2" customFormat="1" x14ac:dyDescent="0.25">
      <c r="B261" s="9"/>
    </row>
    <row r="262" spans="2:2" s="2" customFormat="1" x14ac:dyDescent="0.25">
      <c r="B262" s="9"/>
    </row>
    <row r="263" spans="2:2" s="2" customFormat="1" x14ac:dyDescent="0.25">
      <c r="B263" s="9"/>
    </row>
    <row r="264" spans="2:2" s="2" customFormat="1" x14ac:dyDescent="0.25">
      <c r="B264" s="9"/>
    </row>
    <row r="265" spans="2:2" s="2" customFormat="1" x14ac:dyDescent="0.25">
      <c r="B265" s="9"/>
    </row>
    <row r="266" spans="2:2" s="2" customFormat="1" x14ac:dyDescent="0.25">
      <c r="B266" s="9"/>
    </row>
    <row r="267" spans="2:2" s="2" customFormat="1" x14ac:dyDescent="0.25">
      <c r="B267" s="9"/>
    </row>
    <row r="268" spans="2:2" s="2" customFormat="1" x14ac:dyDescent="0.25">
      <c r="B268" s="9"/>
    </row>
    <row r="269" spans="2:2" s="2" customFormat="1" x14ac:dyDescent="0.25">
      <c r="B269" s="9"/>
    </row>
    <row r="270" spans="2:2" s="2" customFormat="1" x14ac:dyDescent="0.25">
      <c r="B270" s="9"/>
    </row>
    <row r="271" spans="2:2" s="2" customFormat="1" x14ac:dyDescent="0.25">
      <c r="B271" s="9"/>
    </row>
    <row r="272" spans="2:2" s="2" customFormat="1" x14ac:dyDescent="0.25">
      <c r="B272" s="9"/>
    </row>
    <row r="273" spans="2:2" s="2" customFormat="1" x14ac:dyDescent="0.25">
      <c r="B273" s="9"/>
    </row>
    <row r="274" spans="2:2" s="2" customFormat="1" x14ac:dyDescent="0.25">
      <c r="B274" s="9"/>
    </row>
    <row r="275" spans="2:2" s="2" customFormat="1" x14ac:dyDescent="0.25">
      <c r="B275" s="9"/>
    </row>
    <row r="276" spans="2:2" s="2" customFormat="1" x14ac:dyDescent="0.25">
      <c r="B276" s="9"/>
    </row>
    <row r="277" spans="2:2" s="2" customFormat="1" x14ac:dyDescent="0.25">
      <c r="B277" s="9"/>
    </row>
    <row r="278" spans="2:2" s="2" customFormat="1" x14ac:dyDescent="0.25">
      <c r="B278" s="9"/>
    </row>
    <row r="279" spans="2:2" s="2" customFormat="1" x14ac:dyDescent="0.25">
      <c r="B279" s="9"/>
    </row>
    <row r="280" spans="2:2" s="2" customFormat="1" x14ac:dyDescent="0.25">
      <c r="B280" s="9"/>
    </row>
    <row r="281" spans="2:2" s="2" customFormat="1" x14ac:dyDescent="0.25">
      <c r="B281" s="9"/>
    </row>
    <row r="282" spans="2:2" s="2" customFormat="1" x14ac:dyDescent="0.25">
      <c r="B282" s="9"/>
    </row>
    <row r="283" spans="2:2" s="2" customFormat="1" x14ac:dyDescent="0.25">
      <c r="B283" s="9"/>
    </row>
    <row r="284" spans="2:2" s="2" customFormat="1" x14ac:dyDescent="0.25">
      <c r="B284" s="9"/>
    </row>
    <row r="285" spans="2:2" s="2" customFormat="1" x14ac:dyDescent="0.25">
      <c r="B285" s="9"/>
    </row>
    <row r="286" spans="2:2" s="2" customFormat="1" x14ac:dyDescent="0.25">
      <c r="B286" s="9"/>
    </row>
    <row r="287" spans="2:2" s="2" customFormat="1" x14ac:dyDescent="0.25">
      <c r="B287" s="9"/>
    </row>
    <row r="288" spans="2:2" s="2" customFormat="1" x14ac:dyDescent="0.25">
      <c r="B288" s="9"/>
    </row>
    <row r="289" spans="2:2" s="2" customFormat="1" x14ac:dyDescent="0.25">
      <c r="B289" s="9"/>
    </row>
    <row r="290" spans="2:2" s="2" customFormat="1" x14ac:dyDescent="0.25">
      <c r="B290" s="9"/>
    </row>
    <row r="291" spans="2:2" s="2" customFormat="1" x14ac:dyDescent="0.25">
      <c r="B291" s="9"/>
    </row>
    <row r="292" spans="2:2" s="2" customFormat="1" x14ac:dyDescent="0.25">
      <c r="B292" s="9"/>
    </row>
    <row r="293" spans="2:2" s="2" customFormat="1" x14ac:dyDescent="0.25">
      <c r="B293" s="9"/>
    </row>
    <row r="294" spans="2:2" s="2" customFormat="1" x14ac:dyDescent="0.25">
      <c r="B294" s="9"/>
    </row>
    <row r="295" spans="2:2" s="2" customFormat="1" x14ac:dyDescent="0.25">
      <c r="B295" s="9"/>
    </row>
    <row r="296" spans="2:2" s="2" customFormat="1" x14ac:dyDescent="0.25">
      <c r="B296" s="9"/>
    </row>
    <row r="297" spans="2:2" s="2" customFormat="1" x14ac:dyDescent="0.25">
      <c r="B297" s="9"/>
    </row>
    <row r="298" spans="2:2" s="2" customFormat="1" x14ac:dyDescent="0.25">
      <c r="B298" s="9"/>
    </row>
    <row r="299" spans="2:2" s="2" customFormat="1" x14ac:dyDescent="0.25">
      <c r="B299" s="9"/>
    </row>
    <row r="300" spans="2:2" s="2" customFormat="1" x14ac:dyDescent="0.25">
      <c r="B300" s="9"/>
    </row>
    <row r="301" spans="2:2" s="2" customFormat="1" x14ac:dyDescent="0.25">
      <c r="B301" s="9"/>
    </row>
    <row r="302" spans="2:2" s="2" customFormat="1" x14ac:dyDescent="0.25">
      <c r="B302" s="9"/>
    </row>
    <row r="303" spans="2:2" s="2" customFormat="1" x14ac:dyDescent="0.25">
      <c r="B303" s="9"/>
    </row>
    <row r="304" spans="2:2" s="2" customFormat="1" x14ac:dyDescent="0.25">
      <c r="B304" s="9"/>
    </row>
    <row r="305" spans="2:2" s="2" customFormat="1" x14ac:dyDescent="0.25">
      <c r="B305" s="9"/>
    </row>
    <row r="306" spans="2:2" s="2" customFormat="1" x14ac:dyDescent="0.25">
      <c r="B306" s="9"/>
    </row>
    <row r="307" spans="2:2" s="2" customFormat="1" x14ac:dyDescent="0.25">
      <c r="B307" s="9"/>
    </row>
    <row r="308" spans="2:2" s="2" customFormat="1" x14ac:dyDescent="0.25">
      <c r="B308" s="9"/>
    </row>
    <row r="309" spans="2:2" s="2" customFormat="1" x14ac:dyDescent="0.25">
      <c r="B309" s="9"/>
    </row>
    <row r="310" spans="2:2" s="2" customFormat="1" x14ac:dyDescent="0.25">
      <c r="B310" s="9"/>
    </row>
    <row r="311" spans="2:2" s="2" customFormat="1" x14ac:dyDescent="0.25">
      <c r="B311" s="9"/>
    </row>
    <row r="312" spans="2:2" s="2" customFormat="1" x14ac:dyDescent="0.25">
      <c r="B312" s="9"/>
    </row>
    <row r="313" spans="2:2" s="2" customFormat="1" x14ac:dyDescent="0.25">
      <c r="B313" s="9"/>
    </row>
    <row r="314" spans="2:2" s="2" customFormat="1" x14ac:dyDescent="0.25">
      <c r="B314" s="9"/>
    </row>
    <row r="315" spans="2:2" s="2" customFormat="1" x14ac:dyDescent="0.25">
      <c r="B315" s="9"/>
    </row>
    <row r="316" spans="2:2" s="2" customFormat="1" x14ac:dyDescent="0.25">
      <c r="B316" s="9"/>
    </row>
    <row r="317" spans="2:2" s="2" customFormat="1" x14ac:dyDescent="0.25">
      <c r="B317" s="9"/>
    </row>
    <row r="318" spans="2:2" s="2" customFormat="1" x14ac:dyDescent="0.25">
      <c r="B318" s="9"/>
    </row>
    <row r="319" spans="2:2" s="2" customFormat="1" x14ac:dyDescent="0.25">
      <c r="B319" s="9"/>
    </row>
    <row r="320" spans="2:2" s="2" customFormat="1" x14ac:dyDescent="0.25">
      <c r="B320" s="9"/>
    </row>
    <row r="321" spans="2:2" s="2" customFormat="1" x14ac:dyDescent="0.25">
      <c r="B321" s="9"/>
    </row>
    <row r="322" spans="2:2" s="2" customFormat="1" x14ac:dyDescent="0.25">
      <c r="B322" s="9"/>
    </row>
    <row r="323" spans="2:2" s="2" customFormat="1" x14ac:dyDescent="0.25">
      <c r="B323" s="9"/>
    </row>
    <row r="324" spans="2:2" s="2" customFormat="1" x14ac:dyDescent="0.25">
      <c r="B324" s="9"/>
    </row>
    <row r="325" spans="2:2" s="2" customFormat="1" x14ac:dyDescent="0.25">
      <c r="B325" s="9"/>
    </row>
    <row r="326" spans="2:2" s="2" customFormat="1" x14ac:dyDescent="0.25">
      <c r="B326" s="9"/>
    </row>
    <row r="327" spans="2:2" s="2" customFormat="1" x14ac:dyDescent="0.25">
      <c r="B327" s="9"/>
    </row>
    <row r="328" spans="2:2" s="2" customFormat="1" x14ac:dyDescent="0.25">
      <c r="B328" s="9"/>
    </row>
    <row r="329" spans="2:2" s="2" customFormat="1" x14ac:dyDescent="0.25">
      <c r="B329" s="9"/>
    </row>
    <row r="330" spans="2:2" s="2" customFormat="1" x14ac:dyDescent="0.25">
      <c r="B330" s="9"/>
    </row>
    <row r="331" spans="2:2" s="2" customFormat="1" x14ac:dyDescent="0.25">
      <c r="B331" s="9"/>
    </row>
    <row r="332" spans="2:2" s="2" customFormat="1" x14ac:dyDescent="0.25">
      <c r="B332" s="9"/>
    </row>
    <row r="333" spans="2:2" s="2" customFormat="1" x14ac:dyDescent="0.25">
      <c r="B333" s="9"/>
    </row>
    <row r="334" spans="2:2" s="2" customFormat="1" x14ac:dyDescent="0.25">
      <c r="B334" s="9"/>
    </row>
    <row r="335" spans="2:2" s="2" customFormat="1" x14ac:dyDescent="0.25">
      <c r="B335" s="9"/>
    </row>
    <row r="336" spans="2:2" s="2" customFormat="1" x14ac:dyDescent="0.25">
      <c r="B336" s="9"/>
    </row>
    <row r="337" spans="2:2" s="2" customFormat="1" x14ac:dyDescent="0.25">
      <c r="B337" s="9"/>
    </row>
    <row r="338" spans="2:2" s="2" customFormat="1" x14ac:dyDescent="0.25">
      <c r="B338" s="9"/>
    </row>
    <row r="339" spans="2:2" s="2" customFormat="1" x14ac:dyDescent="0.25">
      <c r="B339" s="9"/>
    </row>
    <row r="340" spans="2:2" s="2" customFormat="1" x14ac:dyDescent="0.25">
      <c r="B340" s="9"/>
    </row>
    <row r="341" spans="2:2" s="2" customFormat="1" x14ac:dyDescent="0.25">
      <c r="B341" s="9"/>
    </row>
    <row r="342" spans="2:2" s="2" customFormat="1" x14ac:dyDescent="0.25">
      <c r="B342" s="9"/>
    </row>
    <row r="343" spans="2:2" s="2" customFormat="1" x14ac:dyDescent="0.25">
      <c r="B343" s="9"/>
    </row>
    <row r="344" spans="2:2" s="2" customFormat="1" x14ac:dyDescent="0.25">
      <c r="B344" s="9"/>
    </row>
    <row r="345" spans="2:2" s="2" customFormat="1" x14ac:dyDescent="0.25">
      <c r="B345" s="9"/>
    </row>
    <row r="346" spans="2:2" s="2" customFormat="1" x14ac:dyDescent="0.25">
      <c r="B346" s="9"/>
    </row>
    <row r="347" spans="2:2" s="2" customFormat="1" x14ac:dyDescent="0.25">
      <c r="B347" s="9"/>
    </row>
    <row r="348" spans="2:2" s="2" customFormat="1" x14ac:dyDescent="0.25">
      <c r="B348" s="9"/>
    </row>
    <row r="349" spans="2:2" s="2" customFormat="1" x14ac:dyDescent="0.25">
      <c r="B349" s="9"/>
    </row>
    <row r="350" spans="2:2" s="2" customFormat="1" x14ac:dyDescent="0.25">
      <c r="B350" s="9"/>
    </row>
    <row r="351" spans="2:2" s="2" customFormat="1" x14ac:dyDescent="0.25">
      <c r="B351" s="9"/>
    </row>
    <row r="352" spans="2:2" s="2" customFormat="1" x14ac:dyDescent="0.25">
      <c r="B352" s="9"/>
    </row>
    <row r="353" spans="2:2" s="2" customFormat="1" x14ac:dyDescent="0.25">
      <c r="B353" s="9"/>
    </row>
    <row r="354" spans="2:2" s="2" customFormat="1" x14ac:dyDescent="0.25">
      <c r="B354" s="9"/>
    </row>
    <row r="355" spans="2:2" s="2" customFormat="1" x14ac:dyDescent="0.25">
      <c r="B355" s="9"/>
    </row>
    <row r="356" spans="2:2" s="2" customFormat="1" x14ac:dyDescent="0.25">
      <c r="B356" s="9"/>
    </row>
    <row r="357" spans="2:2" s="2" customFormat="1" x14ac:dyDescent="0.25">
      <c r="B357" s="9"/>
    </row>
    <row r="358" spans="2:2" s="2" customFormat="1" x14ac:dyDescent="0.25">
      <c r="B358" s="9"/>
    </row>
    <row r="359" spans="2:2" s="2" customFormat="1" x14ac:dyDescent="0.25">
      <c r="B359" s="9"/>
    </row>
    <row r="360" spans="2:2" s="2" customFormat="1" x14ac:dyDescent="0.25">
      <c r="B360" s="9"/>
    </row>
    <row r="361" spans="2:2" s="2" customFormat="1" x14ac:dyDescent="0.25">
      <c r="B361" s="9"/>
    </row>
    <row r="362" spans="2:2" s="2" customFormat="1" x14ac:dyDescent="0.25">
      <c r="B362" s="9"/>
    </row>
    <row r="363" spans="2:2" s="2" customFormat="1" x14ac:dyDescent="0.25">
      <c r="B363" s="9"/>
    </row>
    <row r="364" spans="2:2" s="2" customFormat="1" x14ac:dyDescent="0.25">
      <c r="B364" s="9"/>
    </row>
    <row r="365" spans="2:2" s="2" customFormat="1" x14ac:dyDescent="0.25">
      <c r="B365" s="9"/>
    </row>
    <row r="366" spans="2:2" s="2" customFormat="1" x14ac:dyDescent="0.25">
      <c r="B366" s="9"/>
    </row>
    <row r="367" spans="2:2" s="2" customFormat="1" x14ac:dyDescent="0.25">
      <c r="B367" s="9"/>
    </row>
    <row r="368" spans="2:2" s="2" customFormat="1" x14ac:dyDescent="0.25">
      <c r="B368" s="9"/>
    </row>
    <row r="369" spans="2:2" s="2" customFormat="1" x14ac:dyDescent="0.25">
      <c r="B369" s="9"/>
    </row>
    <row r="370" spans="2:2" s="2" customFormat="1" x14ac:dyDescent="0.25">
      <c r="B370" s="9"/>
    </row>
    <row r="371" spans="2:2" s="2" customFormat="1" x14ac:dyDescent="0.25">
      <c r="B371" s="9"/>
    </row>
    <row r="372" spans="2:2" s="2" customFormat="1" x14ac:dyDescent="0.25">
      <c r="B372" s="9"/>
    </row>
    <row r="373" spans="2:2" s="2" customFormat="1" x14ac:dyDescent="0.25">
      <c r="B373" s="9"/>
    </row>
    <row r="374" spans="2:2" s="2" customFormat="1" x14ac:dyDescent="0.25">
      <c r="B374" s="9"/>
    </row>
    <row r="375" spans="2:2" s="2" customFormat="1" x14ac:dyDescent="0.25">
      <c r="B375" s="9"/>
    </row>
    <row r="376" spans="2:2" s="2" customFormat="1" x14ac:dyDescent="0.25">
      <c r="B376" s="9"/>
    </row>
    <row r="377" spans="2:2" s="2" customFormat="1" x14ac:dyDescent="0.25">
      <c r="B377" s="9"/>
    </row>
    <row r="378" spans="2:2" s="2" customFormat="1" x14ac:dyDescent="0.25">
      <c r="B378" s="9"/>
    </row>
    <row r="379" spans="2:2" s="2" customFormat="1" x14ac:dyDescent="0.25">
      <c r="B379" s="9"/>
    </row>
    <row r="380" spans="2:2" s="2" customFormat="1" x14ac:dyDescent="0.25">
      <c r="B380" s="9"/>
    </row>
    <row r="381" spans="2:2" s="2" customFormat="1" x14ac:dyDescent="0.25">
      <c r="B381" s="9"/>
    </row>
    <row r="382" spans="2:2" s="2" customFormat="1" x14ac:dyDescent="0.25">
      <c r="B382" s="9"/>
    </row>
    <row r="383" spans="2:2" s="2" customFormat="1" x14ac:dyDescent="0.25">
      <c r="B383" s="9"/>
    </row>
    <row r="384" spans="2:2" s="2" customFormat="1" x14ac:dyDescent="0.25">
      <c r="B384" s="9"/>
    </row>
    <row r="385" spans="2:2" s="2" customFormat="1" x14ac:dyDescent="0.25">
      <c r="B385" s="9"/>
    </row>
    <row r="386" spans="2:2" s="2" customFormat="1" x14ac:dyDescent="0.25">
      <c r="B386" s="9"/>
    </row>
    <row r="387" spans="2:2" s="2" customFormat="1" x14ac:dyDescent="0.25">
      <c r="B387" s="9"/>
    </row>
    <row r="388" spans="2:2" s="2" customFormat="1" x14ac:dyDescent="0.25">
      <c r="B388" s="9"/>
    </row>
    <row r="389" spans="2:2" s="2" customFormat="1" x14ac:dyDescent="0.25">
      <c r="B389" s="9"/>
    </row>
    <row r="390" spans="2:2" s="2" customFormat="1" x14ac:dyDescent="0.25">
      <c r="B390" s="9"/>
    </row>
    <row r="391" spans="2:2" s="2" customFormat="1" x14ac:dyDescent="0.25">
      <c r="B391" s="9"/>
    </row>
    <row r="392" spans="2:2" s="2" customFormat="1" x14ac:dyDescent="0.25">
      <c r="B392" s="9"/>
    </row>
    <row r="393" spans="2:2" s="2" customFormat="1" x14ac:dyDescent="0.25">
      <c r="B393" s="9"/>
    </row>
    <row r="394" spans="2:2" s="2" customFormat="1" x14ac:dyDescent="0.25">
      <c r="B394" s="9"/>
    </row>
    <row r="395" spans="2:2" s="2" customFormat="1" x14ac:dyDescent="0.25">
      <c r="B395" s="9"/>
    </row>
    <row r="396" spans="2:2" s="2" customFormat="1" x14ac:dyDescent="0.25">
      <c r="B396" s="9"/>
    </row>
    <row r="397" spans="2:2" s="2" customFormat="1" x14ac:dyDescent="0.25">
      <c r="B397" s="9"/>
    </row>
    <row r="398" spans="2:2" s="2" customFormat="1" x14ac:dyDescent="0.25">
      <c r="B398" s="9"/>
    </row>
    <row r="399" spans="2:2" s="2" customFormat="1" x14ac:dyDescent="0.25">
      <c r="B399" s="9"/>
    </row>
    <row r="400" spans="2:2" s="2" customFormat="1" x14ac:dyDescent="0.25">
      <c r="B400" s="9"/>
    </row>
    <row r="401" spans="2:2" s="2" customFormat="1" x14ac:dyDescent="0.25">
      <c r="B401" s="9"/>
    </row>
    <row r="402" spans="2:2" s="2" customFormat="1" x14ac:dyDescent="0.25">
      <c r="B402" s="9"/>
    </row>
    <row r="403" spans="2:2" s="2" customFormat="1" x14ac:dyDescent="0.25">
      <c r="B403" s="9"/>
    </row>
    <row r="404" spans="2:2" s="2" customFormat="1" x14ac:dyDescent="0.25">
      <c r="B404" s="9"/>
    </row>
    <row r="405" spans="2:2" s="2" customFormat="1" x14ac:dyDescent="0.25">
      <c r="B405" s="9"/>
    </row>
    <row r="406" spans="2:2" s="2" customFormat="1" x14ac:dyDescent="0.25">
      <c r="B406" s="9"/>
    </row>
    <row r="407" spans="2:2" s="2" customFormat="1" x14ac:dyDescent="0.25">
      <c r="B407" s="9"/>
    </row>
    <row r="408" spans="2:2" s="2" customFormat="1" x14ac:dyDescent="0.25">
      <c r="B408" s="9"/>
    </row>
    <row r="409" spans="2:2" s="2" customFormat="1" x14ac:dyDescent="0.25">
      <c r="B409" s="9"/>
    </row>
    <row r="410" spans="2:2" s="2" customFormat="1" x14ac:dyDescent="0.25">
      <c r="B410" s="9"/>
    </row>
    <row r="411" spans="2:2" s="2" customFormat="1" x14ac:dyDescent="0.25">
      <c r="B411" s="9"/>
    </row>
    <row r="412" spans="2:2" s="2" customFormat="1" x14ac:dyDescent="0.25">
      <c r="B412" s="9"/>
    </row>
    <row r="413" spans="2:2" s="2" customFormat="1" x14ac:dyDescent="0.25">
      <c r="B413" s="9"/>
    </row>
    <row r="414" spans="2:2" s="2" customFormat="1" x14ac:dyDescent="0.25">
      <c r="B414" s="9"/>
    </row>
    <row r="415" spans="2:2" s="2" customFormat="1" x14ac:dyDescent="0.25">
      <c r="B415" s="9"/>
    </row>
    <row r="416" spans="2:2" s="2" customFormat="1" x14ac:dyDescent="0.25">
      <c r="B416" s="9"/>
    </row>
    <row r="417" spans="2:2" s="2" customFormat="1" x14ac:dyDescent="0.25">
      <c r="B417" s="9"/>
    </row>
    <row r="418" spans="2:2" s="2" customFormat="1" x14ac:dyDescent="0.25">
      <c r="B418" s="9"/>
    </row>
    <row r="419" spans="2:2" s="2" customFormat="1" x14ac:dyDescent="0.25">
      <c r="B419" s="9"/>
    </row>
    <row r="420" spans="2:2" s="2" customFormat="1" x14ac:dyDescent="0.25">
      <c r="B420" s="9"/>
    </row>
    <row r="421" spans="2:2" s="2" customFormat="1" x14ac:dyDescent="0.25">
      <c r="B421" s="9"/>
    </row>
    <row r="422" spans="2:2" s="2" customFormat="1" x14ac:dyDescent="0.25">
      <c r="B422" s="9"/>
    </row>
    <row r="423" spans="2:2" s="2" customFormat="1" x14ac:dyDescent="0.25">
      <c r="B423" s="9"/>
    </row>
    <row r="424" spans="2:2" s="2" customFormat="1" x14ac:dyDescent="0.25">
      <c r="B424" s="9"/>
    </row>
    <row r="425" spans="2:2" s="2" customFormat="1" x14ac:dyDescent="0.25">
      <c r="B425" s="9"/>
    </row>
    <row r="426" spans="2:2" s="2" customFormat="1" x14ac:dyDescent="0.25">
      <c r="B426" s="9"/>
    </row>
    <row r="427" spans="2:2" s="2" customFormat="1" x14ac:dyDescent="0.25">
      <c r="B427" s="9"/>
    </row>
    <row r="428" spans="2:2" s="2" customFormat="1" x14ac:dyDescent="0.25">
      <c r="B428" s="9"/>
    </row>
    <row r="429" spans="2:2" s="2" customFormat="1" x14ac:dyDescent="0.25">
      <c r="B429" s="9"/>
    </row>
    <row r="430" spans="2:2" s="2" customFormat="1" x14ac:dyDescent="0.25">
      <c r="B430" s="9"/>
    </row>
    <row r="431" spans="2:2" s="2" customFormat="1" x14ac:dyDescent="0.25">
      <c r="B431" s="9"/>
    </row>
    <row r="432" spans="2:2" s="2" customFormat="1" x14ac:dyDescent="0.25">
      <c r="B432" s="9"/>
    </row>
    <row r="433" spans="2:2" s="2" customFormat="1" x14ac:dyDescent="0.25">
      <c r="B433" s="9"/>
    </row>
    <row r="434" spans="2:2" s="2" customFormat="1" x14ac:dyDescent="0.25">
      <c r="B434" s="9"/>
    </row>
    <row r="435" spans="2:2" s="2" customFormat="1" x14ac:dyDescent="0.25">
      <c r="B435" s="9"/>
    </row>
    <row r="436" spans="2:2" s="2" customFormat="1" x14ac:dyDescent="0.25">
      <c r="B436" s="9"/>
    </row>
    <row r="437" spans="2:2" s="2" customFormat="1" x14ac:dyDescent="0.25">
      <c r="B437" s="9"/>
    </row>
    <row r="438" spans="2:2" s="2" customFormat="1" x14ac:dyDescent="0.25">
      <c r="B438" s="9"/>
    </row>
    <row r="439" spans="2:2" s="2" customFormat="1" x14ac:dyDescent="0.25">
      <c r="B439" s="9"/>
    </row>
    <row r="440" spans="2:2" s="2" customFormat="1" x14ac:dyDescent="0.25">
      <c r="B440" s="9"/>
    </row>
    <row r="441" spans="2:2" s="2" customFormat="1" x14ac:dyDescent="0.25">
      <c r="B441" s="9"/>
    </row>
    <row r="442" spans="2:2" s="2" customFormat="1" x14ac:dyDescent="0.25">
      <c r="B442" s="9"/>
    </row>
    <row r="443" spans="2:2" s="2" customFormat="1" x14ac:dyDescent="0.25">
      <c r="B443" s="9"/>
    </row>
    <row r="444" spans="2:2" s="2" customFormat="1" x14ac:dyDescent="0.25">
      <c r="B444" s="9"/>
    </row>
    <row r="445" spans="2:2" s="2" customFormat="1" x14ac:dyDescent="0.25">
      <c r="B445" s="9"/>
    </row>
    <row r="446" spans="2:2" s="2" customFormat="1" x14ac:dyDescent="0.25">
      <c r="B446" s="9"/>
    </row>
    <row r="447" spans="2:2" s="2" customFormat="1" x14ac:dyDescent="0.25">
      <c r="B447" s="9"/>
    </row>
    <row r="448" spans="2:2" s="2" customFormat="1" x14ac:dyDescent="0.25">
      <c r="B448" s="9"/>
    </row>
    <row r="449" spans="2:2" s="2" customFormat="1" x14ac:dyDescent="0.25">
      <c r="B449" s="9"/>
    </row>
    <row r="450" spans="2:2" s="2" customFormat="1" x14ac:dyDescent="0.25">
      <c r="B450" s="9"/>
    </row>
    <row r="451" spans="2:2" s="2" customFormat="1" x14ac:dyDescent="0.25">
      <c r="B451" s="9"/>
    </row>
    <row r="452" spans="2:2" s="2" customFormat="1" x14ac:dyDescent="0.25">
      <c r="B452" s="9"/>
    </row>
    <row r="453" spans="2:2" s="2" customFormat="1" x14ac:dyDescent="0.25">
      <c r="B453" s="9"/>
    </row>
    <row r="454" spans="2:2" s="2" customFormat="1" x14ac:dyDescent="0.25">
      <c r="B454" s="9"/>
    </row>
    <row r="455" spans="2:2" s="2" customFormat="1" x14ac:dyDescent="0.25">
      <c r="B455" s="9"/>
    </row>
    <row r="456" spans="2:2" s="2" customFormat="1" x14ac:dyDescent="0.25">
      <c r="B456" s="9"/>
    </row>
    <row r="457" spans="2:2" s="2" customFormat="1" x14ac:dyDescent="0.25">
      <c r="B457" s="9"/>
    </row>
    <row r="458" spans="2:2" s="2" customFormat="1" x14ac:dyDescent="0.25">
      <c r="B458" s="9"/>
    </row>
    <row r="459" spans="2:2" s="2" customFormat="1" x14ac:dyDescent="0.25">
      <c r="B459" s="9"/>
    </row>
    <row r="460" spans="2:2" s="2" customFormat="1" x14ac:dyDescent="0.25">
      <c r="B460" s="9"/>
    </row>
    <row r="461" spans="2:2" s="2" customFormat="1" x14ac:dyDescent="0.25">
      <c r="B461" s="9"/>
    </row>
    <row r="462" spans="2:2" s="2" customFormat="1" x14ac:dyDescent="0.25">
      <c r="B462" s="9"/>
    </row>
    <row r="463" spans="2:2" s="2" customFormat="1" x14ac:dyDescent="0.25">
      <c r="B463" s="9"/>
    </row>
    <row r="464" spans="2:2" s="2" customFormat="1" x14ac:dyDescent="0.25">
      <c r="B464" s="9"/>
    </row>
    <row r="465" spans="2:2" s="2" customFormat="1" x14ac:dyDescent="0.25">
      <c r="B465" s="9"/>
    </row>
    <row r="466" spans="2:2" s="2" customFormat="1" x14ac:dyDescent="0.25">
      <c r="B466" s="9"/>
    </row>
    <row r="467" spans="2:2" s="2" customFormat="1" x14ac:dyDescent="0.25">
      <c r="B467" s="9"/>
    </row>
    <row r="468" spans="2:2" s="2" customFormat="1" x14ac:dyDescent="0.25">
      <c r="B468" s="9"/>
    </row>
    <row r="469" spans="2:2" s="2" customFormat="1" x14ac:dyDescent="0.25">
      <c r="B469" s="9"/>
    </row>
    <row r="470" spans="2:2" s="2" customFormat="1" x14ac:dyDescent="0.25">
      <c r="B470" s="9"/>
    </row>
    <row r="471" spans="2:2" s="2" customFormat="1" x14ac:dyDescent="0.25">
      <c r="B471" s="9"/>
    </row>
    <row r="472" spans="2:2" s="2" customFormat="1" x14ac:dyDescent="0.25">
      <c r="B472" s="9"/>
    </row>
    <row r="473" spans="2:2" s="2" customFormat="1" x14ac:dyDescent="0.25">
      <c r="B473" s="9"/>
    </row>
    <row r="474" spans="2:2" s="2" customFormat="1" x14ac:dyDescent="0.25">
      <c r="B474" s="9"/>
    </row>
    <row r="475" spans="2:2" s="2" customFormat="1" x14ac:dyDescent="0.25">
      <c r="B475" s="9"/>
    </row>
    <row r="476" spans="2:2" s="2" customFormat="1" x14ac:dyDescent="0.25">
      <c r="B476" s="9"/>
    </row>
    <row r="477" spans="2:2" s="2" customFormat="1" x14ac:dyDescent="0.25">
      <c r="B477" s="9"/>
    </row>
    <row r="478" spans="2:2" s="2" customFormat="1" x14ac:dyDescent="0.25">
      <c r="B478" s="9"/>
    </row>
    <row r="479" spans="2:2" s="2" customFormat="1" x14ac:dyDescent="0.25">
      <c r="B479" s="9"/>
    </row>
    <row r="480" spans="2:2" s="2" customFormat="1" x14ac:dyDescent="0.25">
      <c r="B480" s="9"/>
    </row>
    <row r="481" spans="2:2" s="2" customFormat="1" x14ac:dyDescent="0.25">
      <c r="B481" s="9"/>
    </row>
    <row r="482" spans="2:2" s="2" customFormat="1" x14ac:dyDescent="0.25">
      <c r="B482" s="9"/>
    </row>
    <row r="483" spans="2:2" s="2" customFormat="1" x14ac:dyDescent="0.25">
      <c r="B483" s="9"/>
    </row>
    <row r="484" spans="2:2" s="2" customFormat="1" x14ac:dyDescent="0.25">
      <c r="B484" s="9"/>
    </row>
    <row r="485" spans="2:2" s="2" customFormat="1" x14ac:dyDescent="0.25">
      <c r="B485" s="9"/>
    </row>
    <row r="486" spans="2:2" s="2" customFormat="1" x14ac:dyDescent="0.25">
      <c r="B486" s="9"/>
    </row>
    <row r="487" spans="2:2" s="2" customFormat="1" x14ac:dyDescent="0.25">
      <c r="B487" s="9"/>
    </row>
    <row r="488" spans="2:2" s="2" customFormat="1" x14ac:dyDescent="0.25">
      <c r="B488" s="9"/>
    </row>
    <row r="489" spans="2:2" s="2" customFormat="1" x14ac:dyDescent="0.25">
      <c r="B489" s="9"/>
    </row>
    <row r="490" spans="2:2" s="2" customFormat="1" x14ac:dyDescent="0.25">
      <c r="B490" s="9"/>
    </row>
    <row r="491" spans="2:2" s="2" customFormat="1" x14ac:dyDescent="0.25">
      <c r="B491" s="9"/>
    </row>
    <row r="492" spans="2:2" s="2" customFormat="1" x14ac:dyDescent="0.25">
      <c r="B492" s="9"/>
    </row>
    <row r="493" spans="2:2" s="2" customFormat="1" x14ac:dyDescent="0.25">
      <c r="B493" s="9"/>
    </row>
    <row r="494" spans="2:2" s="2" customFormat="1" x14ac:dyDescent="0.25">
      <c r="B494" s="9"/>
    </row>
    <row r="495" spans="2:2" s="2" customFormat="1" x14ac:dyDescent="0.25">
      <c r="B495" s="9"/>
    </row>
    <row r="496" spans="2:2" s="2" customFormat="1" x14ac:dyDescent="0.25">
      <c r="B496" s="9"/>
    </row>
    <row r="497" spans="2:2" s="2" customFormat="1" x14ac:dyDescent="0.25">
      <c r="B497" s="9"/>
    </row>
    <row r="498" spans="2:2" s="2" customFormat="1" x14ac:dyDescent="0.25">
      <c r="B498" s="9"/>
    </row>
    <row r="499" spans="2:2" s="2" customFormat="1" x14ac:dyDescent="0.25">
      <c r="B499" s="9"/>
    </row>
    <row r="500" spans="2:2" s="2" customFormat="1" x14ac:dyDescent="0.25">
      <c r="B500" s="9"/>
    </row>
    <row r="501" spans="2:2" s="2" customFormat="1" x14ac:dyDescent="0.25">
      <c r="B501" s="9"/>
    </row>
    <row r="502" spans="2:2" s="2" customFormat="1" x14ac:dyDescent="0.25">
      <c r="B502" s="9"/>
    </row>
    <row r="503" spans="2:2" s="2" customFormat="1" x14ac:dyDescent="0.25">
      <c r="B503" s="9"/>
    </row>
    <row r="504" spans="2:2" s="2" customFormat="1" x14ac:dyDescent="0.25">
      <c r="B504" s="9"/>
    </row>
    <row r="505" spans="2:2" s="2" customFormat="1" x14ac:dyDescent="0.25">
      <c r="B505" s="9"/>
    </row>
    <row r="506" spans="2:2" s="2" customFormat="1" x14ac:dyDescent="0.25">
      <c r="B506" s="9"/>
    </row>
    <row r="507" spans="2:2" s="2" customFormat="1" x14ac:dyDescent="0.25">
      <c r="B507" s="9"/>
    </row>
    <row r="508" spans="2:2" s="2" customFormat="1" x14ac:dyDescent="0.25">
      <c r="B508" s="9"/>
    </row>
    <row r="509" spans="2:2" s="2" customFormat="1" x14ac:dyDescent="0.25">
      <c r="B509" s="9"/>
    </row>
    <row r="510" spans="2:2" s="2" customFormat="1" x14ac:dyDescent="0.25">
      <c r="B510" s="9"/>
    </row>
    <row r="511" spans="2:2" s="2" customFormat="1" x14ac:dyDescent="0.25">
      <c r="B511" s="9"/>
    </row>
    <row r="512" spans="2:2" s="2" customFormat="1" x14ac:dyDescent="0.25">
      <c r="B512" s="9"/>
    </row>
    <row r="513" spans="2:2" s="2" customFormat="1" x14ac:dyDescent="0.25">
      <c r="B513" s="9"/>
    </row>
    <row r="514" spans="2:2" s="2" customFormat="1" x14ac:dyDescent="0.25">
      <c r="B514" s="9"/>
    </row>
    <row r="515" spans="2:2" s="2" customFormat="1" x14ac:dyDescent="0.25">
      <c r="B515" s="9"/>
    </row>
    <row r="516" spans="2:2" s="2" customFormat="1" x14ac:dyDescent="0.25">
      <c r="B516" s="9"/>
    </row>
    <row r="517" spans="2:2" s="2" customFormat="1" x14ac:dyDescent="0.25">
      <c r="B517" s="9"/>
    </row>
    <row r="518" spans="2:2" s="2" customFormat="1" x14ac:dyDescent="0.25">
      <c r="B518" s="9"/>
    </row>
    <row r="519" spans="2:2" s="2" customFormat="1" x14ac:dyDescent="0.25">
      <c r="B519" s="9"/>
    </row>
    <row r="520" spans="2:2" s="2" customFormat="1" x14ac:dyDescent="0.25">
      <c r="B520" s="9"/>
    </row>
    <row r="521" spans="2:2" s="2" customFormat="1" x14ac:dyDescent="0.25">
      <c r="B521" s="9"/>
    </row>
    <row r="522" spans="2:2" s="2" customFormat="1" x14ac:dyDescent="0.25">
      <c r="B522" s="9"/>
    </row>
    <row r="523" spans="2:2" s="2" customFormat="1" x14ac:dyDescent="0.25">
      <c r="B523" s="9"/>
    </row>
    <row r="524" spans="2:2" s="2" customFormat="1" x14ac:dyDescent="0.25">
      <c r="B524" s="9"/>
    </row>
    <row r="525" spans="2:2" s="2" customFormat="1" x14ac:dyDescent="0.25">
      <c r="B525" s="9"/>
    </row>
    <row r="526" spans="2:2" s="2" customFormat="1" x14ac:dyDescent="0.25">
      <c r="B526" s="9"/>
    </row>
    <row r="527" spans="2:2" s="2" customFormat="1" x14ac:dyDescent="0.25">
      <c r="B527" s="9"/>
    </row>
    <row r="528" spans="2:2" s="2" customFormat="1" x14ac:dyDescent="0.25">
      <c r="B528" s="9"/>
    </row>
    <row r="529" spans="2:2" s="2" customFormat="1" x14ac:dyDescent="0.25">
      <c r="B529" s="9"/>
    </row>
    <row r="530" spans="2:2" s="2" customFormat="1" x14ac:dyDescent="0.25">
      <c r="B530" s="9"/>
    </row>
    <row r="531" spans="2:2" s="2" customFormat="1" x14ac:dyDescent="0.25">
      <c r="B531" s="9"/>
    </row>
    <row r="532" spans="2:2" s="2" customFormat="1" x14ac:dyDescent="0.25">
      <c r="B532" s="9"/>
    </row>
    <row r="533" spans="2:2" s="2" customFormat="1" x14ac:dyDescent="0.25">
      <c r="B533" s="9"/>
    </row>
    <row r="534" spans="2:2" s="2" customFormat="1" x14ac:dyDescent="0.25">
      <c r="B534" s="9"/>
    </row>
    <row r="535" spans="2:2" s="2" customFormat="1" x14ac:dyDescent="0.25">
      <c r="B535" s="9"/>
    </row>
    <row r="536" spans="2:2" s="2" customFormat="1" x14ac:dyDescent="0.25">
      <c r="B536" s="9"/>
    </row>
    <row r="537" spans="2:2" s="2" customFormat="1" x14ac:dyDescent="0.25">
      <c r="B537" s="9"/>
    </row>
    <row r="538" spans="2:2" s="2" customFormat="1" x14ac:dyDescent="0.25">
      <c r="B538" s="9"/>
    </row>
    <row r="539" spans="2:2" s="2" customFormat="1" x14ac:dyDescent="0.25">
      <c r="B539" s="9"/>
    </row>
    <row r="540" spans="2:2" s="2" customFormat="1" x14ac:dyDescent="0.25">
      <c r="B540" s="9"/>
    </row>
    <row r="541" spans="2:2" s="2" customFormat="1" x14ac:dyDescent="0.25">
      <c r="B541" s="9"/>
    </row>
    <row r="542" spans="2:2" s="2" customFormat="1" x14ac:dyDescent="0.25">
      <c r="B542" s="9"/>
    </row>
    <row r="543" spans="2:2" s="2" customFormat="1" x14ac:dyDescent="0.25">
      <c r="B543" s="9"/>
    </row>
    <row r="544" spans="2:2" s="2" customFormat="1" x14ac:dyDescent="0.25">
      <c r="B544" s="9"/>
    </row>
    <row r="545" spans="2:2" s="2" customFormat="1" x14ac:dyDescent="0.25">
      <c r="B545" s="9"/>
    </row>
    <row r="546" spans="2:2" s="2" customFormat="1" x14ac:dyDescent="0.25">
      <c r="B546" s="9"/>
    </row>
    <row r="547" spans="2:2" s="2" customFormat="1" x14ac:dyDescent="0.25">
      <c r="B547" s="9"/>
    </row>
    <row r="548" spans="2:2" s="2" customFormat="1" x14ac:dyDescent="0.25">
      <c r="B548" s="9"/>
    </row>
    <row r="549" spans="2:2" s="2" customFormat="1" x14ac:dyDescent="0.25">
      <c r="B549" s="9"/>
    </row>
    <row r="550" spans="2:2" s="2" customFormat="1" x14ac:dyDescent="0.25">
      <c r="B550" s="9"/>
    </row>
    <row r="551" spans="2:2" s="2" customFormat="1" x14ac:dyDescent="0.25">
      <c r="B551" s="9"/>
    </row>
    <row r="552" spans="2:2" s="2" customFormat="1" x14ac:dyDescent="0.25">
      <c r="B552" s="9"/>
    </row>
    <row r="553" spans="2:2" s="2" customFormat="1" x14ac:dyDescent="0.25">
      <c r="B553" s="9"/>
    </row>
    <row r="554" spans="2:2" s="2" customFormat="1" x14ac:dyDescent="0.25">
      <c r="B554" s="9"/>
    </row>
    <row r="555" spans="2:2" s="2" customFormat="1" x14ac:dyDescent="0.25">
      <c r="B555" s="9"/>
    </row>
    <row r="556" spans="2:2" s="2" customFormat="1" x14ac:dyDescent="0.25">
      <c r="B556" s="9"/>
    </row>
    <row r="557" spans="2:2" s="2" customFormat="1" x14ac:dyDescent="0.25">
      <c r="B557" s="9"/>
    </row>
    <row r="558" spans="2:2" s="2" customFormat="1" x14ac:dyDescent="0.25">
      <c r="B558" s="9"/>
    </row>
    <row r="559" spans="2:2" s="2" customFormat="1" x14ac:dyDescent="0.25">
      <c r="B559" s="9"/>
    </row>
    <row r="560" spans="2:2" s="2" customFormat="1" x14ac:dyDescent="0.25">
      <c r="B560" s="9"/>
    </row>
    <row r="561" spans="2:2" s="2" customFormat="1" x14ac:dyDescent="0.25">
      <c r="B561" s="9"/>
    </row>
    <row r="562" spans="2:2" s="2" customFormat="1" x14ac:dyDescent="0.25">
      <c r="B562" s="9"/>
    </row>
    <row r="563" spans="2:2" s="2" customFormat="1" x14ac:dyDescent="0.25">
      <c r="B563" s="9"/>
    </row>
    <row r="564" spans="2:2" s="2" customFormat="1" x14ac:dyDescent="0.25">
      <c r="B564" s="9"/>
    </row>
    <row r="565" spans="2:2" s="2" customFormat="1" x14ac:dyDescent="0.25">
      <c r="B565" s="9"/>
    </row>
    <row r="566" spans="2:2" s="2" customFormat="1" x14ac:dyDescent="0.25">
      <c r="B566" s="9"/>
    </row>
    <row r="567" spans="2:2" s="2" customFormat="1" x14ac:dyDescent="0.25">
      <c r="B567" s="9"/>
    </row>
    <row r="568" spans="2:2" s="2" customFormat="1" x14ac:dyDescent="0.25">
      <c r="B568" s="9"/>
    </row>
    <row r="569" spans="2:2" s="2" customFormat="1" x14ac:dyDescent="0.25">
      <c r="B569" s="9"/>
    </row>
    <row r="570" spans="2:2" s="2" customFormat="1" x14ac:dyDescent="0.25">
      <c r="B570" s="9"/>
    </row>
    <row r="571" spans="2:2" s="2" customFormat="1" x14ac:dyDescent="0.25">
      <c r="B571" s="9"/>
    </row>
    <row r="572" spans="2:2" s="2" customFormat="1" x14ac:dyDescent="0.25">
      <c r="B572" s="9"/>
    </row>
    <row r="573" spans="2:2" s="2" customFormat="1" x14ac:dyDescent="0.25">
      <c r="B573" s="9"/>
    </row>
    <row r="574" spans="2:2" s="2" customFormat="1" x14ac:dyDescent="0.25">
      <c r="B574" s="9"/>
    </row>
    <row r="575" spans="2:2" s="2" customFormat="1" x14ac:dyDescent="0.25">
      <c r="B575" s="9"/>
    </row>
    <row r="576" spans="2:2" s="2" customFormat="1" x14ac:dyDescent="0.25">
      <c r="B576" s="9"/>
    </row>
    <row r="577" spans="2:2" s="2" customFormat="1" x14ac:dyDescent="0.25">
      <c r="B577" s="9"/>
    </row>
    <row r="578" spans="2:2" s="2" customFormat="1" x14ac:dyDescent="0.25">
      <c r="B578" s="9"/>
    </row>
    <row r="579" spans="2:2" s="2" customFormat="1" x14ac:dyDescent="0.25">
      <c r="B579" s="9"/>
    </row>
    <row r="580" spans="2:2" s="2" customFormat="1" x14ac:dyDescent="0.25">
      <c r="B580" s="9"/>
    </row>
    <row r="581" spans="2:2" s="2" customFormat="1" x14ac:dyDescent="0.25">
      <c r="B581" s="9"/>
    </row>
    <row r="582" spans="2:2" s="2" customFormat="1" x14ac:dyDescent="0.25">
      <c r="B582" s="9"/>
    </row>
    <row r="583" spans="2:2" s="2" customFormat="1" x14ac:dyDescent="0.25">
      <c r="B583" s="9"/>
    </row>
    <row r="584" spans="2:2" s="2" customFormat="1" x14ac:dyDescent="0.25">
      <c r="B584" s="9"/>
    </row>
    <row r="585" spans="2:2" s="2" customFormat="1" x14ac:dyDescent="0.25">
      <c r="B585" s="9"/>
    </row>
    <row r="586" spans="2:2" s="2" customFormat="1" x14ac:dyDescent="0.25">
      <c r="B586" s="9"/>
    </row>
    <row r="587" spans="2:2" s="2" customFormat="1" x14ac:dyDescent="0.25">
      <c r="B587" s="9"/>
    </row>
    <row r="588" spans="2:2" s="2" customFormat="1" x14ac:dyDescent="0.25">
      <c r="B588" s="9"/>
    </row>
    <row r="589" spans="2:2" s="2" customFormat="1" x14ac:dyDescent="0.25">
      <c r="B589" s="9"/>
    </row>
    <row r="590" spans="2:2" s="2" customFormat="1" x14ac:dyDescent="0.25">
      <c r="B590" s="9"/>
    </row>
    <row r="591" spans="2:2" s="2" customFormat="1" x14ac:dyDescent="0.25">
      <c r="B591" s="9"/>
    </row>
    <row r="592" spans="2:2" s="2" customFormat="1" x14ac:dyDescent="0.25">
      <c r="B592" s="9"/>
    </row>
    <row r="593" spans="2:2" s="2" customFormat="1" x14ac:dyDescent="0.25">
      <c r="B593" s="9"/>
    </row>
    <row r="594" spans="2:2" s="2" customFormat="1" x14ac:dyDescent="0.25">
      <c r="B594" s="9"/>
    </row>
    <row r="595" spans="2:2" s="2" customFormat="1" x14ac:dyDescent="0.25">
      <c r="B595" s="9"/>
    </row>
    <row r="596" spans="2:2" s="2" customFormat="1" x14ac:dyDescent="0.25">
      <c r="B596" s="9"/>
    </row>
    <row r="597" spans="2:2" s="2" customFormat="1" x14ac:dyDescent="0.25">
      <c r="B597" s="9"/>
    </row>
    <row r="598" spans="2:2" s="2" customFormat="1" x14ac:dyDescent="0.25">
      <c r="B598" s="9"/>
    </row>
    <row r="599" spans="2:2" s="2" customFormat="1" x14ac:dyDescent="0.25">
      <c r="B599" s="9"/>
    </row>
    <row r="600" spans="2:2" s="2" customFormat="1" x14ac:dyDescent="0.25">
      <c r="B600" s="9"/>
    </row>
    <row r="601" spans="2:2" s="2" customFormat="1" x14ac:dyDescent="0.25">
      <c r="B601" s="9"/>
    </row>
    <row r="602" spans="2:2" s="2" customFormat="1" x14ac:dyDescent="0.25">
      <c r="B602" s="9"/>
    </row>
    <row r="603" spans="2:2" s="2" customFormat="1" x14ac:dyDescent="0.25">
      <c r="B603" s="9"/>
    </row>
    <row r="604" spans="2:2" s="2" customFormat="1" x14ac:dyDescent="0.25">
      <c r="B604" s="9"/>
    </row>
    <row r="605" spans="2:2" s="2" customFormat="1" x14ac:dyDescent="0.25">
      <c r="B605" s="9"/>
    </row>
    <row r="606" spans="2:2" s="2" customFormat="1" x14ac:dyDescent="0.25">
      <c r="B606" s="9"/>
    </row>
    <row r="607" spans="2:2" s="2" customFormat="1" x14ac:dyDescent="0.25">
      <c r="B607" s="9"/>
    </row>
    <row r="608" spans="2:2" s="2" customFormat="1" x14ac:dyDescent="0.25">
      <c r="B608" s="9"/>
    </row>
    <row r="609" spans="2:2" s="2" customFormat="1" x14ac:dyDescent="0.25">
      <c r="B609" s="9"/>
    </row>
    <row r="610" spans="2:2" s="2" customFormat="1" x14ac:dyDescent="0.25">
      <c r="B610" s="9"/>
    </row>
    <row r="611" spans="2:2" s="2" customFormat="1" x14ac:dyDescent="0.25">
      <c r="B611" s="9"/>
    </row>
    <row r="612" spans="2:2" s="2" customFormat="1" x14ac:dyDescent="0.25">
      <c r="B612" s="9"/>
    </row>
    <row r="613" spans="2:2" s="2" customFormat="1" x14ac:dyDescent="0.25">
      <c r="B613" s="9"/>
    </row>
    <row r="614" spans="2:2" s="2" customFormat="1" x14ac:dyDescent="0.25">
      <c r="B614" s="9"/>
    </row>
    <row r="615" spans="2:2" s="2" customFormat="1" x14ac:dyDescent="0.25">
      <c r="B615" s="9"/>
    </row>
    <row r="616" spans="2:2" s="2" customFormat="1" x14ac:dyDescent="0.25">
      <c r="B616" s="9"/>
    </row>
    <row r="617" spans="2:2" s="2" customFormat="1" x14ac:dyDescent="0.25">
      <c r="B617" s="9"/>
    </row>
    <row r="618" spans="2:2" s="2" customFormat="1" x14ac:dyDescent="0.25">
      <c r="B618" s="9"/>
    </row>
    <row r="619" spans="2:2" s="2" customFormat="1" x14ac:dyDescent="0.25">
      <c r="B619" s="9"/>
    </row>
    <row r="620" spans="2:2" s="2" customFormat="1" x14ac:dyDescent="0.25">
      <c r="B620" s="9"/>
    </row>
    <row r="621" spans="2:2" s="2" customFormat="1" x14ac:dyDescent="0.25">
      <c r="B621" s="9"/>
    </row>
    <row r="622" spans="2:2" s="2" customFormat="1" x14ac:dyDescent="0.25">
      <c r="B622" s="9"/>
    </row>
    <row r="623" spans="2:2" s="2" customFormat="1" x14ac:dyDescent="0.25">
      <c r="B623" s="9"/>
    </row>
    <row r="624" spans="2:2" s="2" customFormat="1" x14ac:dyDescent="0.25">
      <c r="B624" s="9"/>
    </row>
    <row r="625" spans="2:2" s="2" customFormat="1" x14ac:dyDescent="0.25">
      <c r="B625" s="9"/>
    </row>
    <row r="626" spans="2:2" s="2" customFormat="1" x14ac:dyDescent="0.25">
      <c r="B626" s="9"/>
    </row>
    <row r="627" spans="2:2" s="2" customFormat="1" x14ac:dyDescent="0.25">
      <c r="B627" s="9"/>
    </row>
    <row r="628" spans="2:2" s="2" customFormat="1" x14ac:dyDescent="0.25">
      <c r="B628" s="9"/>
    </row>
    <row r="629" spans="2:2" s="2" customFormat="1" x14ac:dyDescent="0.25">
      <c r="B629" s="9"/>
    </row>
    <row r="630" spans="2:2" s="2" customFormat="1" x14ac:dyDescent="0.25">
      <c r="B630" s="9"/>
    </row>
    <row r="631" spans="2:2" s="2" customFormat="1" x14ac:dyDescent="0.25">
      <c r="B631" s="9"/>
    </row>
    <row r="632" spans="2:2" s="2" customFormat="1" x14ac:dyDescent="0.25">
      <c r="B632" s="9"/>
    </row>
    <row r="633" spans="2:2" s="2" customFormat="1" x14ac:dyDescent="0.25">
      <c r="B633" s="9"/>
    </row>
    <row r="634" spans="2:2" s="2" customFormat="1" x14ac:dyDescent="0.25">
      <c r="B634" s="9"/>
    </row>
    <row r="635" spans="2:2" s="2" customFormat="1" x14ac:dyDescent="0.25">
      <c r="B635" s="9"/>
    </row>
    <row r="636" spans="2:2" s="2" customFormat="1" x14ac:dyDescent="0.25">
      <c r="B636" s="9"/>
    </row>
    <row r="637" spans="2:2" s="2" customFormat="1" x14ac:dyDescent="0.25">
      <c r="B637" s="9"/>
    </row>
    <row r="638" spans="2:2" s="2" customFormat="1" x14ac:dyDescent="0.25">
      <c r="B638" s="9"/>
    </row>
    <row r="639" spans="2:2" s="2" customFormat="1" x14ac:dyDescent="0.25">
      <c r="B639" s="9"/>
    </row>
    <row r="640" spans="2:2" s="2" customFormat="1" x14ac:dyDescent="0.25">
      <c r="B640" s="9"/>
    </row>
    <row r="641" spans="2:2" s="2" customFormat="1" x14ac:dyDescent="0.25">
      <c r="B641" s="9"/>
    </row>
    <row r="642" spans="2:2" s="2" customFormat="1" x14ac:dyDescent="0.25">
      <c r="B642" s="9"/>
    </row>
    <row r="643" spans="2:2" s="2" customFormat="1" x14ac:dyDescent="0.25">
      <c r="B643" s="9"/>
    </row>
    <row r="644" spans="2:2" s="2" customFormat="1" x14ac:dyDescent="0.25">
      <c r="B644" s="9"/>
    </row>
    <row r="645" spans="2:2" s="2" customFormat="1" x14ac:dyDescent="0.25">
      <c r="B645" s="9"/>
    </row>
    <row r="646" spans="2:2" s="2" customFormat="1" x14ac:dyDescent="0.25">
      <c r="B646" s="9"/>
    </row>
    <row r="647" spans="2:2" s="2" customFormat="1" x14ac:dyDescent="0.25">
      <c r="B647" s="9"/>
    </row>
    <row r="648" spans="2:2" s="2" customFormat="1" x14ac:dyDescent="0.25">
      <c r="B648" s="9"/>
    </row>
    <row r="649" spans="2:2" s="2" customFormat="1" x14ac:dyDescent="0.25">
      <c r="B649" s="9"/>
    </row>
    <row r="650" spans="2:2" s="2" customFormat="1" x14ac:dyDescent="0.25">
      <c r="B650" s="9"/>
    </row>
    <row r="651" spans="2:2" s="2" customFormat="1" x14ac:dyDescent="0.25">
      <c r="B651" s="9"/>
    </row>
    <row r="652" spans="2:2" s="2" customFormat="1" x14ac:dyDescent="0.25">
      <c r="B652" s="9"/>
    </row>
    <row r="653" spans="2:2" s="2" customFormat="1" x14ac:dyDescent="0.25">
      <c r="B653" s="9"/>
    </row>
    <row r="654" spans="2:2" s="2" customFormat="1" x14ac:dyDescent="0.25">
      <c r="B654" s="9"/>
    </row>
    <row r="655" spans="2:2" s="2" customFormat="1" x14ac:dyDescent="0.25">
      <c r="B655" s="9"/>
    </row>
    <row r="656" spans="2:2" s="2" customFormat="1" x14ac:dyDescent="0.25">
      <c r="B656" s="9"/>
    </row>
    <row r="657" spans="2:2" s="2" customFormat="1" x14ac:dyDescent="0.25">
      <c r="B657" s="9"/>
    </row>
    <row r="658" spans="2:2" s="2" customFormat="1" x14ac:dyDescent="0.25">
      <c r="B658" s="9"/>
    </row>
    <row r="659" spans="2:2" s="2" customFormat="1" x14ac:dyDescent="0.25">
      <c r="B659" s="9"/>
    </row>
    <row r="660" spans="2:2" s="2" customFormat="1" x14ac:dyDescent="0.25">
      <c r="B660" s="9"/>
    </row>
    <row r="661" spans="2:2" s="2" customFormat="1" x14ac:dyDescent="0.25">
      <c r="B661" s="9"/>
    </row>
    <row r="662" spans="2:2" s="2" customFormat="1" x14ac:dyDescent="0.25">
      <c r="B662" s="9"/>
    </row>
    <row r="663" spans="2:2" s="2" customFormat="1" x14ac:dyDescent="0.25">
      <c r="B663" s="9"/>
    </row>
    <row r="664" spans="2:2" s="2" customFormat="1" x14ac:dyDescent="0.25">
      <c r="B664" s="9"/>
    </row>
    <row r="665" spans="2:2" s="2" customFormat="1" x14ac:dyDescent="0.25">
      <c r="B665" s="9"/>
    </row>
    <row r="666" spans="2:2" s="2" customFormat="1" x14ac:dyDescent="0.25">
      <c r="B666" s="9"/>
    </row>
    <row r="667" spans="2:2" s="2" customFormat="1" x14ac:dyDescent="0.25">
      <c r="B667" s="9"/>
    </row>
    <row r="668" spans="2:2" s="2" customFormat="1" x14ac:dyDescent="0.25">
      <c r="B668" s="9"/>
    </row>
    <row r="669" spans="2:2" s="2" customFormat="1" x14ac:dyDescent="0.25">
      <c r="B669" s="9"/>
    </row>
    <row r="670" spans="2:2" s="2" customFormat="1" x14ac:dyDescent="0.25">
      <c r="B670" s="9"/>
    </row>
    <row r="671" spans="2:2" s="2" customFormat="1" x14ac:dyDescent="0.25">
      <c r="B671" s="9"/>
    </row>
    <row r="672" spans="2:2" s="2" customFormat="1" x14ac:dyDescent="0.25">
      <c r="B672" s="9"/>
    </row>
    <row r="673" spans="2:2" s="2" customFormat="1" x14ac:dyDescent="0.25">
      <c r="B673" s="9"/>
    </row>
    <row r="674" spans="2:2" s="2" customFormat="1" x14ac:dyDescent="0.25">
      <c r="B674" s="9"/>
    </row>
    <row r="675" spans="2:2" s="2" customFormat="1" x14ac:dyDescent="0.25">
      <c r="B675" s="9"/>
    </row>
    <row r="676" spans="2:2" s="2" customFormat="1" x14ac:dyDescent="0.25">
      <c r="B676" s="9"/>
    </row>
    <row r="677" spans="2:2" s="2" customFormat="1" x14ac:dyDescent="0.25">
      <c r="B677" s="9"/>
    </row>
    <row r="678" spans="2:2" s="2" customFormat="1" x14ac:dyDescent="0.25">
      <c r="B678" s="9"/>
    </row>
    <row r="679" spans="2:2" s="2" customFormat="1" x14ac:dyDescent="0.25">
      <c r="B679" s="9"/>
    </row>
    <row r="680" spans="2:2" s="2" customFormat="1" x14ac:dyDescent="0.25">
      <c r="B680" s="9"/>
    </row>
    <row r="681" spans="2:2" s="2" customFormat="1" x14ac:dyDescent="0.25">
      <c r="B681" s="9"/>
    </row>
    <row r="682" spans="2:2" s="2" customFormat="1" x14ac:dyDescent="0.25">
      <c r="B682" s="9"/>
    </row>
    <row r="683" spans="2:2" s="2" customFormat="1" x14ac:dyDescent="0.25">
      <c r="B683" s="9"/>
    </row>
    <row r="684" spans="2:2" s="2" customFormat="1" x14ac:dyDescent="0.25">
      <c r="B684" s="9"/>
    </row>
    <row r="685" spans="2:2" s="2" customFormat="1" x14ac:dyDescent="0.25">
      <c r="B685" s="9"/>
    </row>
    <row r="686" spans="2:2" s="2" customFormat="1" x14ac:dyDescent="0.25">
      <c r="B686" s="9"/>
    </row>
    <row r="687" spans="2:2" s="2" customFormat="1" x14ac:dyDescent="0.25">
      <c r="B687" s="9"/>
    </row>
    <row r="688" spans="2:2" s="2" customFormat="1" x14ac:dyDescent="0.25">
      <c r="B688" s="9"/>
    </row>
    <row r="689" spans="2:2" s="2" customFormat="1" x14ac:dyDescent="0.25">
      <c r="B689" s="9"/>
    </row>
    <row r="690" spans="2:2" s="2" customFormat="1" x14ac:dyDescent="0.25">
      <c r="B690" s="9"/>
    </row>
    <row r="691" spans="2:2" s="2" customFormat="1" x14ac:dyDescent="0.25">
      <c r="B691" s="9"/>
    </row>
    <row r="692" spans="2:2" s="2" customFormat="1" x14ac:dyDescent="0.25">
      <c r="B692" s="9"/>
    </row>
    <row r="693" spans="2:2" s="2" customFormat="1" x14ac:dyDescent="0.25">
      <c r="B693" s="9"/>
    </row>
    <row r="694" spans="2:2" s="2" customFormat="1" x14ac:dyDescent="0.25">
      <c r="B694" s="9"/>
    </row>
    <row r="695" spans="2:2" s="2" customFormat="1" x14ac:dyDescent="0.25">
      <c r="B695" s="9"/>
    </row>
    <row r="696" spans="2:2" s="2" customFormat="1" x14ac:dyDescent="0.25">
      <c r="B696" s="9"/>
    </row>
    <row r="697" spans="2:2" s="2" customFormat="1" x14ac:dyDescent="0.25">
      <c r="B697" s="9"/>
    </row>
    <row r="698" spans="2:2" s="2" customFormat="1" x14ac:dyDescent="0.25">
      <c r="B698" s="9"/>
    </row>
    <row r="699" spans="2:2" s="2" customFormat="1" x14ac:dyDescent="0.25">
      <c r="B699" s="9"/>
    </row>
    <row r="700" spans="2:2" s="2" customFormat="1" x14ac:dyDescent="0.25">
      <c r="B700" s="9"/>
    </row>
    <row r="701" spans="2:2" s="2" customFormat="1" x14ac:dyDescent="0.25">
      <c r="B701" s="9"/>
    </row>
    <row r="702" spans="2:2" s="2" customFormat="1" x14ac:dyDescent="0.25">
      <c r="B702" s="9"/>
    </row>
    <row r="703" spans="2:2" s="2" customFormat="1" x14ac:dyDescent="0.25">
      <c r="B703" s="9"/>
    </row>
    <row r="704" spans="2:2" s="2" customFormat="1" x14ac:dyDescent="0.25">
      <c r="B704" s="9"/>
    </row>
    <row r="705" spans="2:2" s="2" customFormat="1" x14ac:dyDescent="0.25">
      <c r="B705" s="9"/>
    </row>
    <row r="706" spans="2:2" s="2" customFormat="1" x14ac:dyDescent="0.25">
      <c r="B706" s="9"/>
    </row>
    <row r="707" spans="2:2" s="2" customFormat="1" x14ac:dyDescent="0.25">
      <c r="B707" s="9"/>
    </row>
    <row r="708" spans="2:2" s="2" customFormat="1" x14ac:dyDescent="0.25">
      <c r="B708" s="9"/>
    </row>
    <row r="709" spans="2:2" s="2" customFormat="1" x14ac:dyDescent="0.25">
      <c r="B709" s="9"/>
    </row>
    <row r="710" spans="2:2" s="2" customFormat="1" x14ac:dyDescent="0.25">
      <c r="B710" s="9"/>
    </row>
    <row r="711" spans="2:2" s="2" customFormat="1" x14ac:dyDescent="0.25">
      <c r="B711" s="9"/>
    </row>
    <row r="712" spans="2:2" s="2" customFormat="1" x14ac:dyDescent="0.25">
      <c r="B712" s="9"/>
    </row>
    <row r="713" spans="2:2" s="2" customFormat="1" x14ac:dyDescent="0.25">
      <c r="B713" s="9"/>
    </row>
    <row r="714" spans="2:2" s="2" customFormat="1" x14ac:dyDescent="0.25">
      <c r="B714" s="9"/>
    </row>
    <row r="715" spans="2:2" s="2" customFormat="1" x14ac:dyDescent="0.25">
      <c r="B715" s="9"/>
    </row>
    <row r="716" spans="2:2" s="2" customFormat="1" x14ac:dyDescent="0.25">
      <c r="B716" s="9"/>
    </row>
    <row r="717" spans="2:2" s="2" customFormat="1" x14ac:dyDescent="0.25">
      <c r="B717" s="9"/>
    </row>
    <row r="718" spans="2:2" s="2" customFormat="1" x14ac:dyDescent="0.25">
      <c r="B718" s="9"/>
    </row>
    <row r="719" spans="2:2" s="2" customFormat="1" x14ac:dyDescent="0.25">
      <c r="B719" s="9"/>
    </row>
    <row r="720" spans="2:2" s="2" customFormat="1" x14ac:dyDescent="0.25">
      <c r="B720" s="9"/>
    </row>
    <row r="721" spans="2:2" s="2" customFormat="1" x14ac:dyDescent="0.25">
      <c r="B721" s="9"/>
    </row>
    <row r="722" spans="2:2" s="2" customFormat="1" x14ac:dyDescent="0.25">
      <c r="B722" s="9"/>
    </row>
    <row r="723" spans="2:2" s="2" customFormat="1" x14ac:dyDescent="0.25">
      <c r="B723" s="9"/>
    </row>
    <row r="724" spans="2:2" s="2" customFormat="1" x14ac:dyDescent="0.25">
      <c r="B724" s="9"/>
    </row>
    <row r="725" spans="2:2" s="2" customFormat="1" x14ac:dyDescent="0.25">
      <c r="B725" s="9"/>
    </row>
    <row r="726" spans="2:2" s="2" customFormat="1" x14ac:dyDescent="0.25">
      <c r="B726" s="9"/>
    </row>
    <row r="727" spans="2:2" s="2" customFormat="1" x14ac:dyDescent="0.25">
      <c r="B727" s="9"/>
    </row>
    <row r="728" spans="2:2" s="2" customFormat="1" x14ac:dyDescent="0.25">
      <c r="B728" s="9"/>
    </row>
    <row r="729" spans="2:2" s="2" customFormat="1" x14ac:dyDescent="0.25">
      <c r="B729" s="9"/>
    </row>
    <row r="730" spans="2:2" s="2" customFormat="1" x14ac:dyDescent="0.25">
      <c r="B730" s="9"/>
    </row>
    <row r="731" spans="2:2" s="2" customFormat="1" x14ac:dyDescent="0.25">
      <c r="B731" s="9"/>
    </row>
    <row r="732" spans="2:2" s="2" customFormat="1" x14ac:dyDescent="0.25">
      <c r="B732" s="9"/>
    </row>
    <row r="733" spans="2:2" s="2" customFormat="1" x14ac:dyDescent="0.25">
      <c r="B733" s="9"/>
    </row>
    <row r="734" spans="2:2" s="2" customFormat="1" x14ac:dyDescent="0.25">
      <c r="B734" s="9"/>
    </row>
    <row r="735" spans="2:2" s="2" customFormat="1" x14ac:dyDescent="0.25">
      <c r="B735" s="9"/>
    </row>
    <row r="736" spans="2:2" s="2" customFormat="1" x14ac:dyDescent="0.25">
      <c r="B736" s="9"/>
    </row>
    <row r="737" spans="2:2" s="2" customFormat="1" x14ac:dyDescent="0.25">
      <c r="B737" s="9"/>
    </row>
    <row r="738" spans="2:2" s="2" customFormat="1" x14ac:dyDescent="0.25">
      <c r="B738" s="9"/>
    </row>
    <row r="739" spans="2:2" s="2" customFormat="1" x14ac:dyDescent="0.25">
      <c r="B739" s="9"/>
    </row>
    <row r="740" spans="2:2" s="2" customFormat="1" x14ac:dyDescent="0.25">
      <c r="B740" s="9"/>
    </row>
    <row r="741" spans="2:2" s="2" customFormat="1" x14ac:dyDescent="0.25">
      <c r="B741" s="9"/>
    </row>
    <row r="742" spans="2:2" s="2" customFormat="1" x14ac:dyDescent="0.25">
      <c r="B742" s="9"/>
    </row>
    <row r="743" spans="2:2" s="2" customFormat="1" x14ac:dyDescent="0.25">
      <c r="B743" s="9"/>
    </row>
    <row r="744" spans="2:2" s="2" customFormat="1" x14ac:dyDescent="0.25">
      <c r="B744" s="9"/>
    </row>
    <row r="745" spans="2:2" s="2" customFormat="1" x14ac:dyDescent="0.25">
      <c r="B745" s="9"/>
    </row>
    <row r="746" spans="2:2" s="2" customFormat="1" x14ac:dyDescent="0.25">
      <c r="B746" s="9"/>
    </row>
    <row r="747" spans="2:2" s="2" customFormat="1" x14ac:dyDescent="0.25">
      <c r="B747" s="9"/>
    </row>
    <row r="748" spans="2:2" s="2" customFormat="1" x14ac:dyDescent="0.25">
      <c r="B748" s="9"/>
    </row>
    <row r="749" spans="2:2" s="2" customFormat="1" x14ac:dyDescent="0.25">
      <c r="B749" s="9"/>
    </row>
    <row r="750" spans="2:2" s="2" customFormat="1" x14ac:dyDescent="0.25">
      <c r="B750" s="9"/>
    </row>
    <row r="751" spans="2:2" s="2" customFormat="1" x14ac:dyDescent="0.25">
      <c r="B751" s="9"/>
    </row>
    <row r="752" spans="2:2" s="2" customFormat="1" x14ac:dyDescent="0.25">
      <c r="B752" s="9"/>
    </row>
    <row r="753" spans="2:2" s="2" customFormat="1" x14ac:dyDescent="0.25">
      <c r="B753" s="9"/>
    </row>
    <row r="754" spans="2:2" s="2" customFormat="1" x14ac:dyDescent="0.25">
      <c r="B754" s="9"/>
    </row>
    <row r="755" spans="2:2" s="2" customFormat="1" x14ac:dyDescent="0.25">
      <c r="B755" s="9"/>
    </row>
    <row r="756" spans="2:2" s="2" customFormat="1" x14ac:dyDescent="0.25">
      <c r="B756" s="9"/>
    </row>
    <row r="757" spans="2:2" s="2" customFormat="1" x14ac:dyDescent="0.25">
      <c r="B757" s="9"/>
    </row>
    <row r="758" spans="2:2" s="2" customFormat="1" x14ac:dyDescent="0.25">
      <c r="B758" s="9"/>
    </row>
    <row r="759" spans="2:2" s="2" customFormat="1" x14ac:dyDescent="0.25">
      <c r="B759" s="9"/>
    </row>
    <row r="760" spans="2:2" s="2" customFormat="1" x14ac:dyDescent="0.25">
      <c r="B760" s="9"/>
    </row>
    <row r="761" spans="2:2" s="2" customFormat="1" x14ac:dyDescent="0.25">
      <c r="B761" s="9"/>
    </row>
    <row r="762" spans="2:2" s="2" customFormat="1" x14ac:dyDescent="0.25">
      <c r="B762" s="9"/>
    </row>
    <row r="763" spans="2:2" s="2" customFormat="1" x14ac:dyDescent="0.25">
      <c r="B763" s="9"/>
    </row>
    <row r="764" spans="2:2" s="2" customFormat="1" x14ac:dyDescent="0.25">
      <c r="B764" s="9"/>
    </row>
    <row r="765" spans="2:2" s="2" customFormat="1" x14ac:dyDescent="0.25">
      <c r="B765" s="9"/>
    </row>
    <row r="766" spans="2:2" s="2" customFormat="1" x14ac:dyDescent="0.25">
      <c r="B766" s="9"/>
    </row>
    <row r="767" spans="2:2" s="2" customFormat="1" x14ac:dyDescent="0.25">
      <c r="B767" s="9"/>
    </row>
    <row r="768" spans="2:2" s="2" customFormat="1" x14ac:dyDescent="0.25">
      <c r="B768" s="9"/>
    </row>
    <row r="769" spans="2:2" s="2" customFormat="1" x14ac:dyDescent="0.25">
      <c r="B769" s="9"/>
    </row>
    <row r="770" spans="2:2" s="2" customFormat="1" x14ac:dyDescent="0.25">
      <c r="B770" s="9"/>
    </row>
    <row r="771" spans="2:2" s="2" customFormat="1" x14ac:dyDescent="0.25">
      <c r="B771" s="9"/>
    </row>
    <row r="772" spans="2:2" s="2" customFormat="1" x14ac:dyDescent="0.25">
      <c r="B772" s="9"/>
    </row>
    <row r="773" spans="2:2" s="2" customFormat="1" x14ac:dyDescent="0.25">
      <c r="B773" s="9"/>
    </row>
    <row r="774" spans="2:2" s="2" customFormat="1" x14ac:dyDescent="0.25">
      <c r="B774" s="9"/>
    </row>
    <row r="775" spans="2:2" s="2" customFormat="1" x14ac:dyDescent="0.25">
      <c r="B775" s="9"/>
    </row>
    <row r="776" spans="2:2" s="2" customFormat="1" x14ac:dyDescent="0.25">
      <c r="B776" s="9"/>
    </row>
    <row r="777" spans="2:2" s="2" customFormat="1" x14ac:dyDescent="0.25">
      <c r="B777" s="9"/>
    </row>
    <row r="778" spans="2:2" s="2" customFormat="1" x14ac:dyDescent="0.25">
      <c r="B778" s="9"/>
    </row>
    <row r="779" spans="2:2" s="2" customFormat="1" x14ac:dyDescent="0.25">
      <c r="B779" s="9"/>
    </row>
    <row r="780" spans="2:2" s="2" customFormat="1" x14ac:dyDescent="0.25">
      <c r="B780" s="9"/>
    </row>
    <row r="781" spans="2:2" s="2" customFormat="1" x14ac:dyDescent="0.25">
      <c r="B781" s="9"/>
    </row>
    <row r="782" spans="2:2" s="2" customFormat="1" x14ac:dyDescent="0.25">
      <c r="B782" s="9"/>
    </row>
    <row r="783" spans="2:2" s="2" customFormat="1" x14ac:dyDescent="0.25">
      <c r="B783" s="9"/>
    </row>
    <row r="784" spans="2:2" s="2" customFormat="1" x14ac:dyDescent="0.25">
      <c r="B784" s="9"/>
    </row>
    <row r="785" spans="2:2" s="2" customFormat="1" x14ac:dyDescent="0.25">
      <c r="B785" s="9"/>
    </row>
    <row r="786" spans="2:2" s="2" customFormat="1" x14ac:dyDescent="0.25">
      <c r="B786" s="9"/>
    </row>
    <row r="787" spans="2:2" s="2" customFormat="1" x14ac:dyDescent="0.25">
      <c r="B787" s="9"/>
    </row>
    <row r="788" spans="2:2" s="2" customFormat="1" x14ac:dyDescent="0.25">
      <c r="B788" s="9"/>
    </row>
    <row r="789" spans="2:2" s="2" customFormat="1" x14ac:dyDescent="0.25">
      <c r="B789" s="9"/>
    </row>
    <row r="790" spans="2:2" s="2" customFormat="1" x14ac:dyDescent="0.25">
      <c r="B790" s="9"/>
    </row>
    <row r="791" spans="2:2" s="2" customFormat="1" x14ac:dyDescent="0.25">
      <c r="B791" s="9"/>
    </row>
    <row r="792" spans="2:2" s="2" customFormat="1" x14ac:dyDescent="0.25">
      <c r="B792" s="9"/>
    </row>
    <row r="793" spans="2:2" s="2" customFormat="1" x14ac:dyDescent="0.25">
      <c r="B793" s="9"/>
    </row>
    <row r="794" spans="2:2" s="2" customFormat="1" x14ac:dyDescent="0.25">
      <c r="B794" s="9"/>
    </row>
    <row r="795" spans="2:2" s="2" customFormat="1" x14ac:dyDescent="0.25">
      <c r="B795" s="9"/>
    </row>
    <row r="796" spans="2:2" s="2" customFormat="1" x14ac:dyDescent="0.25">
      <c r="B796" s="9"/>
    </row>
    <row r="797" spans="2:2" s="2" customFormat="1" x14ac:dyDescent="0.25">
      <c r="B797" s="9"/>
    </row>
    <row r="798" spans="2:2" s="2" customFormat="1" x14ac:dyDescent="0.25">
      <c r="B798" s="9"/>
    </row>
    <row r="799" spans="2:2" s="2" customFormat="1" x14ac:dyDescent="0.25">
      <c r="B799" s="9"/>
    </row>
    <row r="800" spans="2:2" s="2" customFormat="1" x14ac:dyDescent="0.25">
      <c r="B800" s="9"/>
    </row>
    <row r="801" spans="2:2" s="2" customFormat="1" x14ac:dyDescent="0.25">
      <c r="B801" s="9"/>
    </row>
    <row r="802" spans="2:2" s="2" customFormat="1" x14ac:dyDescent="0.25">
      <c r="B802" s="9"/>
    </row>
    <row r="803" spans="2:2" s="2" customFormat="1" x14ac:dyDescent="0.25">
      <c r="B803" s="9"/>
    </row>
    <row r="804" spans="2:2" s="2" customFormat="1" x14ac:dyDescent="0.25">
      <c r="B804" s="9"/>
    </row>
    <row r="805" spans="2:2" s="2" customFormat="1" x14ac:dyDescent="0.25">
      <c r="B805" s="9"/>
    </row>
    <row r="806" spans="2:2" s="2" customFormat="1" x14ac:dyDescent="0.25">
      <c r="B806" s="9"/>
    </row>
    <row r="807" spans="2:2" s="2" customFormat="1" x14ac:dyDescent="0.25">
      <c r="B807" s="9"/>
    </row>
    <row r="808" spans="2:2" s="2" customFormat="1" x14ac:dyDescent="0.25">
      <c r="B808" s="9"/>
    </row>
    <row r="809" spans="2:2" s="2" customFormat="1" x14ac:dyDescent="0.25">
      <c r="B809" s="9"/>
    </row>
    <row r="810" spans="2:2" s="2" customFormat="1" x14ac:dyDescent="0.25">
      <c r="B810" s="9"/>
    </row>
    <row r="811" spans="2:2" s="2" customFormat="1" x14ac:dyDescent="0.25">
      <c r="B811" s="9"/>
    </row>
    <row r="812" spans="2:2" s="2" customFormat="1" x14ac:dyDescent="0.25">
      <c r="B812" s="9"/>
    </row>
    <row r="813" spans="2:2" s="2" customFormat="1" x14ac:dyDescent="0.25">
      <c r="B813" s="9"/>
    </row>
    <row r="814" spans="2:2" s="2" customFormat="1" x14ac:dyDescent="0.25">
      <c r="B814" s="9"/>
    </row>
    <row r="815" spans="2:2" s="2" customFormat="1" x14ac:dyDescent="0.25">
      <c r="B815" s="9"/>
    </row>
    <row r="816" spans="2:2" s="2" customFormat="1" x14ac:dyDescent="0.25">
      <c r="B816" s="9"/>
    </row>
    <row r="817" spans="2:2" s="2" customFormat="1" x14ac:dyDescent="0.25">
      <c r="B817" s="9"/>
    </row>
    <row r="818" spans="2:2" s="2" customFormat="1" x14ac:dyDescent="0.25">
      <c r="B818" s="9"/>
    </row>
    <row r="819" spans="2:2" s="2" customFormat="1" x14ac:dyDescent="0.25">
      <c r="B819" s="9"/>
    </row>
    <row r="820" spans="2:2" s="2" customFormat="1" x14ac:dyDescent="0.25">
      <c r="B820" s="9"/>
    </row>
    <row r="821" spans="2:2" s="2" customFormat="1" x14ac:dyDescent="0.25">
      <c r="B821" s="9"/>
    </row>
    <row r="822" spans="2:2" s="2" customFormat="1" x14ac:dyDescent="0.25">
      <c r="B822" s="9"/>
    </row>
    <row r="823" spans="2:2" s="2" customFormat="1" x14ac:dyDescent="0.25">
      <c r="B823" s="9"/>
    </row>
    <row r="824" spans="2:2" s="2" customFormat="1" x14ac:dyDescent="0.25">
      <c r="B824" s="9"/>
    </row>
    <row r="825" spans="2:2" s="2" customFormat="1" x14ac:dyDescent="0.25">
      <c r="B825" s="9"/>
    </row>
    <row r="826" spans="2:2" s="2" customFormat="1" x14ac:dyDescent="0.25">
      <c r="B826" s="9"/>
    </row>
    <row r="827" spans="2:2" s="2" customFormat="1" x14ac:dyDescent="0.25">
      <c r="B827" s="9"/>
    </row>
    <row r="828" spans="2:2" s="2" customFormat="1" x14ac:dyDescent="0.25">
      <c r="B828" s="9"/>
    </row>
    <row r="829" spans="2:2" s="2" customFormat="1" x14ac:dyDescent="0.25">
      <c r="B829" s="9"/>
    </row>
    <row r="830" spans="2:2" s="2" customFormat="1" x14ac:dyDescent="0.25">
      <c r="B830" s="9"/>
    </row>
    <row r="831" spans="2:2" s="2" customFormat="1" x14ac:dyDescent="0.25">
      <c r="B831" s="9"/>
    </row>
    <row r="832" spans="2:2" s="2" customFormat="1" x14ac:dyDescent="0.25">
      <c r="B832" s="9"/>
    </row>
    <row r="833" spans="2:2" s="2" customFormat="1" x14ac:dyDescent="0.25">
      <c r="B833" s="9"/>
    </row>
    <row r="834" spans="2:2" s="2" customFormat="1" x14ac:dyDescent="0.25">
      <c r="B834" s="9"/>
    </row>
    <row r="835" spans="2:2" s="2" customFormat="1" x14ac:dyDescent="0.25">
      <c r="B835" s="9"/>
    </row>
    <row r="836" spans="2:2" s="2" customFormat="1" x14ac:dyDescent="0.25">
      <c r="B836" s="9"/>
    </row>
    <row r="837" spans="2:2" s="2" customFormat="1" x14ac:dyDescent="0.25">
      <c r="B837" s="9"/>
    </row>
    <row r="838" spans="2:2" s="2" customFormat="1" x14ac:dyDescent="0.25">
      <c r="B838" s="9"/>
    </row>
    <row r="839" spans="2:2" s="2" customFormat="1" x14ac:dyDescent="0.25">
      <c r="B839" s="9"/>
    </row>
    <row r="840" spans="2:2" s="2" customFormat="1" x14ac:dyDescent="0.25">
      <c r="B840" s="9"/>
    </row>
    <row r="841" spans="2:2" s="2" customFormat="1" x14ac:dyDescent="0.25">
      <c r="B841" s="9"/>
    </row>
    <row r="842" spans="2:2" s="2" customFormat="1" x14ac:dyDescent="0.25">
      <c r="B842" s="9"/>
    </row>
    <row r="843" spans="2:2" s="2" customFormat="1" x14ac:dyDescent="0.25">
      <c r="B843" s="9"/>
    </row>
    <row r="844" spans="2:2" s="2" customFormat="1" x14ac:dyDescent="0.25">
      <c r="B844" s="9"/>
    </row>
    <row r="845" spans="2:2" s="2" customFormat="1" x14ac:dyDescent="0.25">
      <c r="B845" s="9"/>
    </row>
    <row r="846" spans="2:2" s="2" customFormat="1" x14ac:dyDescent="0.25">
      <c r="B846" s="9"/>
    </row>
    <row r="847" spans="2:2" s="2" customFormat="1" x14ac:dyDescent="0.25">
      <c r="B847" s="9"/>
    </row>
    <row r="848" spans="2:2" s="2" customFormat="1" x14ac:dyDescent="0.25">
      <c r="B848" s="9"/>
    </row>
    <row r="849" spans="2:2" s="2" customFormat="1" x14ac:dyDescent="0.25">
      <c r="B849" s="9"/>
    </row>
    <row r="850" spans="2:2" s="2" customFormat="1" x14ac:dyDescent="0.25">
      <c r="B850" s="9"/>
    </row>
    <row r="851" spans="2:2" s="2" customFormat="1" x14ac:dyDescent="0.25">
      <c r="B851" s="9"/>
    </row>
    <row r="852" spans="2:2" s="2" customFormat="1" x14ac:dyDescent="0.25">
      <c r="B852" s="9"/>
    </row>
    <row r="853" spans="2:2" s="2" customFormat="1" x14ac:dyDescent="0.25">
      <c r="B853" s="9"/>
    </row>
    <row r="854" spans="2:2" s="2" customFormat="1" x14ac:dyDescent="0.25">
      <c r="B854" s="9"/>
    </row>
    <row r="855" spans="2:2" s="2" customFormat="1" x14ac:dyDescent="0.25">
      <c r="B855" s="9"/>
    </row>
    <row r="856" spans="2:2" s="2" customFormat="1" x14ac:dyDescent="0.25">
      <c r="B856" s="9"/>
    </row>
    <row r="857" spans="2:2" s="2" customFormat="1" x14ac:dyDescent="0.25">
      <c r="B857" s="9"/>
    </row>
    <row r="858" spans="2:2" s="2" customFormat="1" x14ac:dyDescent="0.25">
      <c r="B858" s="9"/>
    </row>
    <row r="859" spans="2:2" s="2" customFormat="1" x14ac:dyDescent="0.25">
      <c r="B859" s="9"/>
    </row>
    <row r="860" spans="2:2" s="2" customFormat="1" x14ac:dyDescent="0.25">
      <c r="B860" s="9"/>
    </row>
    <row r="861" spans="2:2" s="2" customFormat="1" x14ac:dyDescent="0.25">
      <c r="B861" s="9"/>
    </row>
    <row r="862" spans="2:2" s="2" customFormat="1" x14ac:dyDescent="0.25">
      <c r="B862" s="9"/>
    </row>
    <row r="863" spans="2:2" s="2" customFormat="1" x14ac:dyDescent="0.25">
      <c r="B863" s="9"/>
    </row>
    <row r="864" spans="2:2" s="2" customFormat="1" x14ac:dyDescent="0.25">
      <c r="B864" s="9"/>
    </row>
    <row r="865" spans="2:2" s="2" customFormat="1" x14ac:dyDescent="0.25">
      <c r="B865" s="9"/>
    </row>
    <row r="866" spans="2:2" s="2" customFormat="1" x14ac:dyDescent="0.25">
      <c r="B866" s="9"/>
    </row>
    <row r="867" spans="2:2" s="2" customFormat="1" x14ac:dyDescent="0.25">
      <c r="B867" s="9"/>
    </row>
    <row r="868" spans="2:2" s="2" customFormat="1" x14ac:dyDescent="0.25">
      <c r="B868" s="9"/>
    </row>
    <row r="869" spans="2:2" s="2" customFormat="1" x14ac:dyDescent="0.25">
      <c r="B869" s="9"/>
    </row>
    <row r="870" spans="2:2" s="2" customFormat="1" x14ac:dyDescent="0.25">
      <c r="B870" s="9"/>
    </row>
    <row r="871" spans="2:2" s="2" customFormat="1" x14ac:dyDescent="0.25">
      <c r="B871" s="9"/>
    </row>
    <row r="872" spans="2:2" s="2" customFormat="1" x14ac:dyDescent="0.25">
      <c r="B872" s="9"/>
    </row>
    <row r="873" spans="2:2" s="2" customFormat="1" x14ac:dyDescent="0.25">
      <c r="B873" s="9"/>
    </row>
    <row r="874" spans="2:2" s="2" customFormat="1" x14ac:dyDescent="0.25">
      <c r="B874" s="9"/>
    </row>
    <row r="875" spans="2:2" s="2" customFormat="1" x14ac:dyDescent="0.25">
      <c r="B875" s="9"/>
    </row>
    <row r="876" spans="2:2" s="2" customFormat="1" x14ac:dyDescent="0.25">
      <c r="B876" s="9"/>
    </row>
    <row r="877" spans="2:2" s="2" customFormat="1" x14ac:dyDescent="0.25">
      <c r="B877" s="9"/>
    </row>
    <row r="878" spans="2:2" s="2" customFormat="1" x14ac:dyDescent="0.25">
      <c r="B878" s="9"/>
    </row>
    <row r="879" spans="2:2" s="2" customFormat="1" x14ac:dyDescent="0.25">
      <c r="B879" s="9"/>
    </row>
    <row r="880" spans="2:2" s="2" customFormat="1" x14ac:dyDescent="0.25">
      <c r="B880" s="9"/>
    </row>
    <row r="881" spans="2:2" s="2" customFormat="1" x14ac:dyDescent="0.25">
      <c r="B881" s="9"/>
    </row>
    <row r="882" spans="2:2" s="2" customFormat="1" x14ac:dyDescent="0.25">
      <c r="B882" s="9"/>
    </row>
    <row r="883" spans="2:2" s="2" customFormat="1" x14ac:dyDescent="0.25">
      <c r="B883" s="9"/>
    </row>
    <row r="884" spans="2:2" s="2" customFormat="1" x14ac:dyDescent="0.25">
      <c r="B884" s="9"/>
    </row>
    <row r="885" spans="2:2" s="2" customFormat="1" x14ac:dyDescent="0.25">
      <c r="B885" s="9"/>
    </row>
    <row r="886" spans="2:2" s="2" customFormat="1" x14ac:dyDescent="0.25">
      <c r="B886" s="9"/>
    </row>
    <row r="887" spans="2:2" s="2" customFormat="1" x14ac:dyDescent="0.25">
      <c r="B887" s="9"/>
    </row>
    <row r="888" spans="2:2" s="2" customFormat="1" x14ac:dyDescent="0.25">
      <c r="B888" s="9"/>
    </row>
    <row r="889" spans="2:2" s="2" customFormat="1" x14ac:dyDescent="0.25">
      <c r="B889" s="9"/>
    </row>
    <row r="890" spans="2:2" s="2" customFormat="1" x14ac:dyDescent="0.25">
      <c r="B890" s="9"/>
    </row>
    <row r="891" spans="2:2" s="2" customFormat="1" x14ac:dyDescent="0.25">
      <c r="B891" s="9"/>
    </row>
    <row r="892" spans="2:2" s="2" customFormat="1" x14ac:dyDescent="0.25">
      <c r="B892" s="9"/>
    </row>
    <row r="893" spans="2:2" s="2" customFormat="1" x14ac:dyDescent="0.25">
      <c r="B893" s="9"/>
    </row>
    <row r="894" spans="2:2" s="2" customFormat="1" x14ac:dyDescent="0.25">
      <c r="B894" s="9"/>
    </row>
    <row r="895" spans="2:2" s="2" customFormat="1" x14ac:dyDescent="0.25">
      <c r="B895" s="9"/>
    </row>
    <row r="896" spans="2:2" s="2" customFormat="1" x14ac:dyDescent="0.25">
      <c r="B896" s="9"/>
    </row>
    <row r="897" spans="2:2" s="2" customFormat="1" x14ac:dyDescent="0.25">
      <c r="B897" s="9"/>
    </row>
    <row r="898" spans="2:2" s="2" customFormat="1" x14ac:dyDescent="0.25">
      <c r="B898" s="9"/>
    </row>
    <row r="899" spans="2:2" s="2" customFormat="1" x14ac:dyDescent="0.25">
      <c r="B899" s="9"/>
    </row>
    <row r="900" spans="2:2" s="2" customFormat="1" x14ac:dyDescent="0.25">
      <c r="B900" s="9"/>
    </row>
    <row r="901" spans="2:2" s="2" customFormat="1" x14ac:dyDescent="0.25">
      <c r="B901" s="9"/>
    </row>
    <row r="902" spans="2:2" s="2" customFormat="1" x14ac:dyDescent="0.25">
      <c r="B902" s="9"/>
    </row>
    <row r="903" spans="2:2" s="2" customFormat="1" x14ac:dyDescent="0.25">
      <c r="B903" s="9"/>
    </row>
    <row r="904" spans="2:2" s="2" customFormat="1" x14ac:dyDescent="0.25">
      <c r="B904" s="9"/>
    </row>
    <row r="905" spans="2:2" s="2" customFormat="1" x14ac:dyDescent="0.25">
      <c r="B905" s="9"/>
    </row>
    <row r="906" spans="2:2" s="2" customFormat="1" x14ac:dyDescent="0.25">
      <c r="B906" s="9"/>
    </row>
    <row r="907" spans="2:2" s="2" customFormat="1" x14ac:dyDescent="0.25">
      <c r="B907" s="9"/>
    </row>
    <row r="908" spans="2:2" s="2" customFormat="1" x14ac:dyDescent="0.25">
      <c r="B908" s="9"/>
    </row>
    <row r="909" spans="2:2" s="2" customFormat="1" x14ac:dyDescent="0.25">
      <c r="B909" s="9"/>
    </row>
    <row r="910" spans="2:2" s="2" customFormat="1" x14ac:dyDescent="0.25">
      <c r="B910" s="9"/>
    </row>
    <row r="911" spans="2:2" s="2" customFormat="1" x14ac:dyDescent="0.25">
      <c r="B911" s="9"/>
    </row>
    <row r="912" spans="2:2" s="2" customFormat="1" x14ac:dyDescent="0.25">
      <c r="B912" s="9"/>
    </row>
    <row r="913" spans="2:2" s="2" customFormat="1" x14ac:dyDescent="0.25">
      <c r="B913" s="9"/>
    </row>
    <row r="914" spans="2:2" s="2" customFormat="1" x14ac:dyDescent="0.25">
      <c r="B914" s="9"/>
    </row>
    <row r="915" spans="2:2" s="2" customFormat="1" x14ac:dyDescent="0.25">
      <c r="B915" s="9"/>
    </row>
    <row r="916" spans="2:2" s="2" customFormat="1" x14ac:dyDescent="0.25">
      <c r="B916" s="9"/>
    </row>
    <row r="917" spans="2:2" s="2" customFormat="1" x14ac:dyDescent="0.25">
      <c r="B917" s="9"/>
    </row>
    <row r="918" spans="2:2" s="2" customFormat="1" x14ac:dyDescent="0.25">
      <c r="B918" s="9"/>
    </row>
    <row r="919" spans="2:2" s="2" customFormat="1" x14ac:dyDescent="0.25">
      <c r="B919" s="9"/>
    </row>
    <row r="920" spans="2:2" s="2" customFormat="1" x14ac:dyDescent="0.25">
      <c r="B920" s="9"/>
    </row>
    <row r="921" spans="2:2" s="2" customFormat="1" x14ac:dyDescent="0.25">
      <c r="B921" s="9"/>
    </row>
    <row r="922" spans="2:2" s="2" customFormat="1" x14ac:dyDescent="0.25">
      <c r="B922" s="9"/>
    </row>
    <row r="923" spans="2:2" s="2" customFormat="1" x14ac:dyDescent="0.25">
      <c r="B923" s="9"/>
    </row>
    <row r="924" spans="2:2" s="2" customFormat="1" x14ac:dyDescent="0.25">
      <c r="B924" s="9"/>
    </row>
    <row r="925" spans="2:2" s="2" customFormat="1" x14ac:dyDescent="0.25">
      <c r="B925" s="9"/>
    </row>
    <row r="926" spans="2:2" s="2" customFormat="1" x14ac:dyDescent="0.25">
      <c r="B926" s="9"/>
    </row>
    <row r="927" spans="2:2" s="2" customFormat="1" x14ac:dyDescent="0.25">
      <c r="B927" s="9"/>
    </row>
    <row r="928" spans="2:2" s="2" customFormat="1" x14ac:dyDescent="0.25">
      <c r="B928" s="9"/>
    </row>
    <row r="929" spans="2:2" s="2" customFormat="1" x14ac:dyDescent="0.25">
      <c r="B929" s="9"/>
    </row>
    <row r="930" spans="2:2" s="2" customFormat="1" x14ac:dyDescent="0.25">
      <c r="B930" s="9"/>
    </row>
    <row r="931" spans="2:2" s="2" customFormat="1" x14ac:dyDescent="0.25">
      <c r="B931" s="9"/>
    </row>
    <row r="932" spans="2:2" s="2" customFormat="1" x14ac:dyDescent="0.25">
      <c r="B932" s="9"/>
    </row>
    <row r="933" spans="2:2" s="2" customFormat="1" x14ac:dyDescent="0.25">
      <c r="B933" s="9"/>
    </row>
    <row r="934" spans="2:2" s="2" customFormat="1" x14ac:dyDescent="0.25">
      <c r="B934" s="9"/>
    </row>
    <row r="935" spans="2:2" s="2" customFormat="1" x14ac:dyDescent="0.25">
      <c r="B935" s="9"/>
    </row>
    <row r="936" spans="2:2" s="2" customFormat="1" x14ac:dyDescent="0.25">
      <c r="B936" s="9"/>
    </row>
    <row r="937" spans="2:2" s="2" customFormat="1" x14ac:dyDescent="0.25">
      <c r="B937" s="9"/>
    </row>
    <row r="938" spans="2:2" s="2" customFormat="1" x14ac:dyDescent="0.25">
      <c r="B938" s="9"/>
    </row>
    <row r="939" spans="2:2" s="2" customFormat="1" x14ac:dyDescent="0.25">
      <c r="B939" s="9"/>
    </row>
    <row r="940" spans="2:2" s="2" customFormat="1" x14ac:dyDescent="0.25">
      <c r="B940" s="9"/>
    </row>
    <row r="941" spans="2:2" s="2" customFormat="1" x14ac:dyDescent="0.25">
      <c r="B941" s="9"/>
    </row>
    <row r="942" spans="2:2" s="2" customFormat="1" x14ac:dyDescent="0.25">
      <c r="B942" s="9"/>
    </row>
    <row r="943" spans="2:2" s="2" customFormat="1" x14ac:dyDescent="0.25">
      <c r="B943" s="9"/>
    </row>
    <row r="944" spans="2:2" s="2" customFormat="1" x14ac:dyDescent="0.25">
      <c r="B944" s="9"/>
    </row>
    <row r="945" spans="2:2" s="2" customFormat="1" x14ac:dyDescent="0.25">
      <c r="B945" s="9"/>
    </row>
    <row r="946" spans="2:2" s="2" customFormat="1" x14ac:dyDescent="0.25">
      <c r="B946" s="9"/>
    </row>
    <row r="947" spans="2:2" s="2" customFormat="1" x14ac:dyDescent="0.25">
      <c r="B947" s="9"/>
    </row>
    <row r="948" spans="2:2" s="2" customFormat="1" x14ac:dyDescent="0.25">
      <c r="B948" s="9"/>
    </row>
    <row r="949" spans="2:2" s="2" customFormat="1" x14ac:dyDescent="0.25">
      <c r="B949" s="9"/>
    </row>
    <row r="950" spans="2:2" s="2" customFormat="1" x14ac:dyDescent="0.25">
      <c r="B950" s="9"/>
    </row>
    <row r="951" spans="2:2" s="2" customFormat="1" x14ac:dyDescent="0.25">
      <c r="B951" s="9"/>
    </row>
    <row r="952" spans="2:2" s="2" customFormat="1" x14ac:dyDescent="0.25">
      <c r="B952" s="9"/>
    </row>
    <row r="953" spans="2:2" s="2" customFormat="1" x14ac:dyDescent="0.25">
      <c r="B953" s="9"/>
    </row>
    <row r="954" spans="2:2" s="2" customFormat="1" x14ac:dyDescent="0.25">
      <c r="B954" s="9"/>
    </row>
    <row r="955" spans="2:2" s="2" customFormat="1" x14ac:dyDescent="0.25">
      <c r="B955" s="9"/>
    </row>
    <row r="956" spans="2:2" s="2" customFormat="1" x14ac:dyDescent="0.25">
      <c r="B956" s="9"/>
    </row>
    <row r="957" spans="2:2" s="2" customFormat="1" x14ac:dyDescent="0.25">
      <c r="B957" s="9"/>
    </row>
    <row r="958" spans="2:2" s="2" customFormat="1" x14ac:dyDescent="0.25">
      <c r="B958" s="9"/>
    </row>
    <row r="959" spans="2:2" s="2" customFormat="1" x14ac:dyDescent="0.25">
      <c r="B959" s="9"/>
    </row>
    <row r="960" spans="2:2" s="2" customFormat="1" x14ac:dyDescent="0.25">
      <c r="B960" s="9"/>
    </row>
    <row r="961" spans="2:2" s="2" customFormat="1" x14ac:dyDescent="0.25">
      <c r="B961" s="9"/>
    </row>
    <row r="962" spans="2:2" s="2" customFormat="1" x14ac:dyDescent="0.25">
      <c r="B962" s="9"/>
    </row>
    <row r="963" spans="2:2" s="2" customFormat="1" x14ac:dyDescent="0.25">
      <c r="B963" s="9"/>
    </row>
    <row r="964" spans="2:2" s="2" customFormat="1" x14ac:dyDescent="0.25">
      <c r="B964" s="9"/>
    </row>
    <row r="965" spans="2:2" s="2" customFormat="1" x14ac:dyDescent="0.25">
      <c r="B965" s="9"/>
    </row>
    <row r="966" spans="2:2" s="2" customFormat="1" x14ac:dyDescent="0.25">
      <c r="B966" s="9"/>
    </row>
    <row r="967" spans="2:2" s="2" customFormat="1" x14ac:dyDescent="0.25">
      <c r="B967" s="9"/>
    </row>
    <row r="968" spans="2:2" s="2" customFormat="1" x14ac:dyDescent="0.25">
      <c r="B968" s="9"/>
    </row>
    <row r="969" spans="2:2" s="2" customFormat="1" x14ac:dyDescent="0.25">
      <c r="B969" s="9"/>
    </row>
    <row r="970" spans="2:2" s="2" customFormat="1" x14ac:dyDescent="0.25">
      <c r="B970" s="9"/>
    </row>
    <row r="971" spans="2:2" s="2" customFormat="1" x14ac:dyDescent="0.25">
      <c r="B971" s="9"/>
    </row>
    <row r="972" spans="2:2" s="2" customFormat="1" x14ac:dyDescent="0.25">
      <c r="B972" s="9"/>
    </row>
    <row r="973" spans="2:2" s="2" customFormat="1" x14ac:dyDescent="0.25">
      <c r="B973" s="9"/>
    </row>
    <row r="974" spans="2:2" s="2" customFormat="1" x14ac:dyDescent="0.25">
      <c r="B974" s="9"/>
    </row>
    <row r="975" spans="2:2" s="2" customFormat="1" x14ac:dyDescent="0.25">
      <c r="B975" s="9"/>
    </row>
    <row r="976" spans="2:2" s="2" customFormat="1" x14ac:dyDescent="0.25">
      <c r="B976" s="9"/>
    </row>
    <row r="977" spans="2:2" s="2" customFormat="1" x14ac:dyDescent="0.25">
      <c r="B977" s="9"/>
    </row>
    <row r="978" spans="2:2" s="2" customFormat="1" x14ac:dyDescent="0.25">
      <c r="B978" s="9"/>
    </row>
    <row r="979" spans="2:2" s="2" customFormat="1" x14ac:dyDescent="0.25">
      <c r="B979" s="9"/>
    </row>
    <row r="980" spans="2:2" s="2" customFormat="1" x14ac:dyDescent="0.25">
      <c r="B980" s="9"/>
    </row>
    <row r="981" spans="2:2" s="2" customFormat="1" x14ac:dyDescent="0.25">
      <c r="B981" s="9"/>
    </row>
    <row r="982" spans="2:2" s="2" customFormat="1" x14ac:dyDescent="0.25">
      <c r="B982" s="9"/>
    </row>
    <row r="983" spans="2:2" s="2" customFormat="1" x14ac:dyDescent="0.25">
      <c r="B983" s="9"/>
    </row>
    <row r="984" spans="2:2" s="2" customFormat="1" x14ac:dyDescent="0.25">
      <c r="B984" s="9"/>
    </row>
    <row r="985" spans="2:2" s="2" customFormat="1" x14ac:dyDescent="0.25">
      <c r="B985" s="9"/>
    </row>
    <row r="986" spans="2:2" s="2" customFormat="1" x14ac:dyDescent="0.25">
      <c r="B986" s="9"/>
    </row>
    <row r="987" spans="2:2" s="2" customFormat="1" x14ac:dyDescent="0.25">
      <c r="B987" s="9"/>
    </row>
    <row r="988" spans="2:2" s="2" customFormat="1" x14ac:dyDescent="0.25">
      <c r="B988" s="9"/>
    </row>
    <row r="989" spans="2:2" s="2" customFormat="1" x14ac:dyDescent="0.25">
      <c r="B989" s="9"/>
    </row>
    <row r="990" spans="2:2" s="2" customFormat="1" x14ac:dyDescent="0.25">
      <c r="B990" s="9"/>
    </row>
    <row r="991" spans="2:2" s="2" customFormat="1" x14ac:dyDescent="0.25">
      <c r="B991" s="9"/>
    </row>
    <row r="992" spans="2:2" s="2" customFormat="1" x14ac:dyDescent="0.25">
      <c r="B992" s="9"/>
    </row>
    <row r="993" spans="2:2" s="2" customFormat="1" x14ac:dyDescent="0.25">
      <c r="B993" s="9"/>
    </row>
    <row r="994" spans="2:2" s="2" customFormat="1" x14ac:dyDescent="0.25">
      <c r="B994" s="9"/>
    </row>
    <row r="995" spans="2:2" s="2" customFormat="1" x14ac:dyDescent="0.25">
      <c r="B995" s="9"/>
    </row>
    <row r="996" spans="2:2" s="2" customFormat="1" x14ac:dyDescent="0.25">
      <c r="B996" s="9"/>
    </row>
    <row r="997" spans="2:2" s="2" customFormat="1" x14ac:dyDescent="0.25">
      <c r="B997" s="9"/>
    </row>
    <row r="998" spans="2:2" s="2" customFormat="1" x14ac:dyDescent="0.25">
      <c r="B998" s="9"/>
    </row>
    <row r="999" spans="2:2" s="2" customFormat="1" x14ac:dyDescent="0.25">
      <c r="B999" s="9"/>
    </row>
    <row r="1000" spans="2:2" s="2" customFormat="1" x14ac:dyDescent="0.25">
      <c r="B1000" s="9"/>
    </row>
    <row r="1001" spans="2:2" s="2" customFormat="1" x14ac:dyDescent="0.25">
      <c r="B1001" s="9"/>
    </row>
    <row r="1002" spans="2:2" s="2" customFormat="1" x14ac:dyDescent="0.25">
      <c r="B1002" s="9"/>
    </row>
    <row r="1003" spans="2:2" s="2" customFormat="1" x14ac:dyDescent="0.25">
      <c r="B1003" s="9"/>
    </row>
    <row r="1004" spans="2:2" s="2" customFormat="1" x14ac:dyDescent="0.25">
      <c r="B1004" s="9"/>
    </row>
    <row r="1005" spans="2:2" s="2" customFormat="1" x14ac:dyDescent="0.25">
      <c r="B1005" s="9"/>
    </row>
    <row r="1006" spans="2:2" s="2" customFormat="1" x14ac:dyDescent="0.25">
      <c r="B1006" s="9"/>
    </row>
    <row r="1007" spans="2:2" s="2" customFormat="1" x14ac:dyDescent="0.25">
      <c r="B1007" s="9"/>
    </row>
    <row r="1008" spans="2:2" s="2" customFormat="1" x14ac:dyDescent="0.25">
      <c r="B1008" s="9"/>
    </row>
    <row r="1009" spans="2:2" s="2" customFormat="1" x14ac:dyDescent="0.25">
      <c r="B1009" s="9"/>
    </row>
    <row r="1010" spans="2:2" s="2" customFormat="1" x14ac:dyDescent="0.25">
      <c r="B1010" s="9"/>
    </row>
    <row r="1011" spans="2:2" s="2" customFormat="1" x14ac:dyDescent="0.25">
      <c r="B1011" s="9"/>
    </row>
    <row r="1012" spans="2:2" s="2" customFormat="1" x14ac:dyDescent="0.25">
      <c r="B1012" s="9"/>
    </row>
    <row r="1013" spans="2:2" s="2" customFormat="1" x14ac:dyDescent="0.25">
      <c r="B1013" s="9"/>
    </row>
    <row r="1014" spans="2:2" s="2" customFormat="1" x14ac:dyDescent="0.25">
      <c r="B1014" s="9"/>
    </row>
    <row r="1015" spans="2:2" s="2" customFormat="1" x14ac:dyDescent="0.25">
      <c r="B1015" s="9"/>
    </row>
    <row r="1016" spans="2:2" s="2" customFormat="1" x14ac:dyDescent="0.25">
      <c r="B1016" s="9"/>
    </row>
    <row r="1017" spans="2:2" s="2" customFormat="1" x14ac:dyDescent="0.25">
      <c r="B1017" s="9"/>
    </row>
    <row r="1018" spans="2:2" s="2" customFormat="1" x14ac:dyDescent="0.25">
      <c r="B1018" s="9"/>
    </row>
    <row r="1019" spans="2:2" s="2" customFormat="1" x14ac:dyDescent="0.25">
      <c r="B1019" s="9"/>
    </row>
    <row r="1020" spans="2:2" s="2" customFormat="1" x14ac:dyDescent="0.25">
      <c r="B1020" s="9"/>
    </row>
    <row r="1021" spans="2:2" s="2" customFormat="1" x14ac:dyDescent="0.25">
      <c r="B1021" s="9"/>
    </row>
    <row r="1022" spans="2:2" s="2" customFormat="1" x14ac:dyDescent="0.25">
      <c r="B1022" s="9"/>
    </row>
    <row r="1023" spans="2:2" s="2" customFormat="1" x14ac:dyDescent="0.25">
      <c r="B1023" s="9"/>
    </row>
    <row r="1024" spans="2:2" s="2" customFormat="1" x14ac:dyDescent="0.25">
      <c r="B1024" s="9"/>
    </row>
    <row r="1025" spans="2:2" s="2" customFormat="1" x14ac:dyDescent="0.25">
      <c r="B1025" s="9"/>
    </row>
    <row r="1026" spans="2:2" s="2" customFormat="1" x14ac:dyDescent="0.25">
      <c r="B1026" s="9"/>
    </row>
    <row r="1027" spans="2:2" s="2" customFormat="1" x14ac:dyDescent="0.25">
      <c r="B1027" s="9"/>
    </row>
    <row r="1028" spans="2:2" s="2" customFormat="1" x14ac:dyDescent="0.25">
      <c r="B1028" s="9"/>
    </row>
    <row r="1029" spans="2:2" s="2" customFormat="1" x14ac:dyDescent="0.25">
      <c r="B1029" s="9"/>
    </row>
    <row r="1030" spans="2:2" s="2" customFormat="1" x14ac:dyDescent="0.25">
      <c r="B1030" s="9"/>
    </row>
    <row r="1031" spans="2:2" s="2" customFormat="1" x14ac:dyDescent="0.25">
      <c r="B1031" s="9"/>
    </row>
    <row r="1032" spans="2:2" s="2" customFormat="1" x14ac:dyDescent="0.25">
      <c r="B1032" s="9"/>
    </row>
    <row r="1033" spans="2:2" s="2" customFormat="1" x14ac:dyDescent="0.25">
      <c r="B1033" s="9"/>
    </row>
    <row r="1034" spans="2:2" s="2" customFormat="1" x14ac:dyDescent="0.25">
      <c r="B1034" s="9"/>
    </row>
    <row r="1035" spans="2:2" s="2" customFormat="1" x14ac:dyDescent="0.25">
      <c r="B1035" s="9"/>
    </row>
    <row r="1036" spans="2:2" s="2" customFormat="1" x14ac:dyDescent="0.25">
      <c r="B1036" s="9"/>
    </row>
    <row r="1037" spans="2:2" s="2" customFormat="1" x14ac:dyDescent="0.25">
      <c r="B1037" s="9"/>
    </row>
    <row r="1038" spans="2:2" s="2" customFormat="1" x14ac:dyDescent="0.25">
      <c r="B1038" s="9"/>
    </row>
    <row r="1039" spans="2:2" s="2" customFormat="1" x14ac:dyDescent="0.25">
      <c r="B1039" s="9"/>
    </row>
    <row r="1040" spans="2:2" s="2" customFormat="1" x14ac:dyDescent="0.25">
      <c r="B1040" s="9"/>
    </row>
    <row r="1041" spans="2:2" s="2" customFormat="1" x14ac:dyDescent="0.25">
      <c r="B1041" s="9"/>
    </row>
    <row r="1042" spans="2:2" s="2" customFormat="1" x14ac:dyDescent="0.25">
      <c r="B1042" s="9"/>
    </row>
    <row r="1043" spans="2:2" s="2" customFormat="1" x14ac:dyDescent="0.25">
      <c r="B1043" s="9"/>
    </row>
    <row r="1044" spans="2:2" s="2" customFormat="1" x14ac:dyDescent="0.25">
      <c r="B1044" s="9"/>
    </row>
    <row r="1045" spans="2:2" s="2" customFormat="1" x14ac:dyDescent="0.25">
      <c r="B1045" s="9"/>
    </row>
    <row r="1046" spans="2:2" s="2" customFormat="1" x14ac:dyDescent="0.25">
      <c r="B1046" s="9"/>
    </row>
    <row r="1047" spans="2:2" s="2" customFormat="1" x14ac:dyDescent="0.25">
      <c r="B1047" s="9"/>
    </row>
    <row r="1048" spans="2:2" s="2" customFormat="1" x14ac:dyDescent="0.25">
      <c r="B1048" s="9"/>
    </row>
    <row r="1049" spans="2:2" s="2" customFormat="1" x14ac:dyDescent="0.25">
      <c r="B1049" s="9"/>
    </row>
    <row r="1050" spans="2:2" s="2" customFormat="1" x14ac:dyDescent="0.25">
      <c r="B1050" s="9"/>
    </row>
    <row r="1051" spans="2:2" s="2" customFormat="1" x14ac:dyDescent="0.25">
      <c r="B1051" s="9"/>
    </row>
    <row r="1052" spans="2:2" s="2" customFormat="1" x14ac:dyDescent="0.25">
      <c r="B1052" s="9"/>
    </row>
    <row r="1053" spans="2:2" s="2" customFormat="1" x14ac:dyDescent="0.25">
      <c r="B1053" s="9"/>
    </row>
    <row r="1054" spans="2:2" s="2" customFormat="1" x14ac:dyDescent="0.25">
      <c r="B1054" s="9"/>
    </row>
    <row r="1055" spans="2:2" s="2" customFormat="1" x14ac:dyDescent="0.25">
      <c r="B1055" s="9"/>
    </row>
    <row r="1056" spans="2:2" s="2" customFormat="1" x14ac:dyDescent="0.25">
      <c r="B1056" s="9"/>
    </row>
    <row r="1057" spans="2:2" s="2" customFormat="1" x14ac:dyDescent="0.25">
      <c r="B1057" s="9"/>
    </row>
    <row r="1058" spans="2:2" s="2" customFormat="1" x14ac:dyDescent="0.25">
      <c r="B1058" s="9"/>
    </row>
    <row r="1059" spans="2:2" s="2" customFormat="1" x14ac:dyDescent="0.25">
      <c r="B1059" s="9"/>
    </row>
    <row r="1060" spans="2:2" s="2" customFormat="1" x14ac:dyDescent="0.25">
      <c r="B1060" s="9"/>
    </row>
    <row r="1061" spans="2:2" s="2" customFormat="1" x14ac:dyDescent="0.25">
      <c r="B1061" s="9"/>
    </row>
    <row r="1062" spans="2:2" s="2" customFormat="1" x14ac:dyDescent="0.25">
      <c r="B1062" s="9"/>
    </row>
    <row r="1063" spans="2:2" s="2" customFormat="1" x14ac:dyDescent="0.25">
      <c r="B1063" s="9"/>
    </row>
    <row r="1064" spans="2:2" s="2" customFormat="1" x14ac:dyDescent="0.25">
      <c r="B1064" s="9"/>
    </row>
    <row r="1065" spans="2:2" s="2" customFormat="1" x14ac:dyDescent="0.25">
      <c r="B1065" s="9"/>
    </row>
    <row r="1066" spans="2:2" s="2" customFormat="1" x14ac:dyDescent="0.25">
      <c r="B1066" s="9"/>
    </row>
    <row r="1067" spans="2:2" s="2" customFormat="1" x14ac:dyDescent="0.25">
      <c r="B1067" s="9"/>
    </row>
    <row r="1068" spans="2:2" s="2" customFormat="1" x14ac:dyDescent="0.25">
      <c r="B1068" s="9"/>
    </row>
    <row r="1069" spans="2:2" s="2" customFormat="1" x14ac:dyDescent="0.25">
      <c r="B1069" s="9"/>
    </row>
    <row r="1070" spans="2:2" s="2" customFormat="1" x14ac:dyDescent="0.25">
      <c r="B1070" s="9"/>
    </row>
    <row r="1071" spans="2:2" s="2" customFormat="1" x14ac:dyDescent="0.25">
      <c r="B1071" s="9"/>
    </row>
    <row r="1072" spans="2:2" s="2" customFormat="1" x14ac:dyDescent="0.25">
      <c r="B1072" s="9"/>
    </row>
    <row r="1073" spans="2:2" s="2" customFormat="1" x14ac:dyDescent="0.25">
      <c r="B1073" s="9"/>
    </row>
    <row r="1074" spans="2:2" s="2" customFormat="1" x14ac:dyDescent="0.25">
      <c r="B1074" s="9"/>
    </row>
    <row r="1075" spans="2:2" s="2" customFormat="1" x14ac:dyDescent="0.25">
      <c r="B1075" s="9"/>
    </row>
    <row r="1076" spans="2:2" s="2" customFormat="1" x14ac:dyDescent="0.25">
      <c r="B1076" s="9"/>
    </row>
    <row r="1077" spans="2:2" s="2" customFormat="1" x14ac:dyDescent="0.25">
      <c r="B1077" s="9"/>
    </row>
    <row r="1078" spans="2:2" s="2" customFormat="1" x14ac:dyDescent="0.25">
      <c r="B1078" s="9"/>
    </row>
    <row r="1079" spans="2:2" s="2" customFormat="1" x14ac:dyDescent="0.25">
      <c r="B1079" s="9"/>
    </row>
    <row r="1080" spans="2:2" s="2" customFormat="1" x14ac:dyDescent="0.25">
      <c r="B1080" s="9"/>
    </row>
    <row r="1081" spans="2:2" s="2" customFormat="1" x14ac:dyDescent="0.25">
      <c r="B1081" s="9"/>
    </row>
    <row r="1082" spans="2:2" s="2" customFormat="1" x14ac:dyDescent="0.25">
      <c r="B1082" s="9"/>
    </row>
    <row r="1083" spans="2:2" s="2" customFormat="1" x14ac:dyDescent="0.25">
      <c r="B1083" s="9"/>
    </row>
    <row r="1084" spans="2:2" s="2" customFormat="1" x14ac:dyDescent="0.25">
      <c r="B1084" s="9"/>
    </row>
    <row r="1085" spans="2:2" s="2" customFormat="1" x14ac:dyDescent="0.25">
      <c r="B1085" s="9"/>
    </row>
    <row r="1086" spans="2:2" s="2" customFormat="1" x14ac:dyDescent="0.25">
      <c r="B1086" s="9"/>
    </row>
    <row r="1087" spans="2:2" s="2" customFormat="1" x14ac:dyDescent="0.25">
      <c r="B1087" s="9"/>
    </row>
    <row r="1088" spans="2:2" s="2" customFormat="1" x14ac:dyDescent="0.25">
      <c r="B1088" s="9"/>
    </row>
    <row r="1089" spans="2:2" s="2" customFormat="1" x14ac:dyDescent="0.25">
      <c r="B1089" s="9"/>
    </row>
    <row r="1090" spans="2:2" s="2" customFormat="1" x14ac:dyDescent="0.25">
      <c r="B1090" s="9"/>
    </row>
    <row r="1091" spans="2:2" s="2" customFormat="1" x14ac:dyDescent="0.25">
      <c r="B1091" s="9"/>
    </row>
    <row r="1092" spans="2:2" s="2" customFormat="1" x14ac:dyDescent="0.25">
      <c r="B1092" s="9"/>
    </row>
    <row r="1093" spans="2:2" s="2" customFormat="1" x14ac:dyDescent="0.25">
      <c r="B1093" s="9"/>
    </row>
    <row r="1094" spans="2:2" s="2" customFormat="1" x14ac:dyDescent="0.25">
      <c r="B1094" s="9"/>
    </row>
    <row r="1095" spans="2:2" s="2" customFormat="1" x14ac:dyDescent="0.25">
      <c r="B1095" s="9"/>
    </row>
    <row r="1096" spans="2:2" s="2" customFormat="1" x14ac:dyDescent="0.25">
      <c r="B1096" s="9"/>
    </row>
    <row r="1097" spans="2:2" s="2" customFormat="1" x14ac:dyDescent="0.25">
      <c r="B1097" s="9"/>
    </row>
    <row r="1098" spans="2:2" s="2" customFormat="1" x14ac:dyDescent="0.25">
      <c r="B1098" s="9"/>
    </row>
    <row r="1099" spans="2:2" s="2" customFormat="1" x14ac:dyDescent="0.25">
      <c r="B1099" s="9"/>
    </row>
    <row r="1100" spans="2:2" s="2" customFormat="1" x14ac:dyDescent="0.25">
      <c r="B1100" s="9"/>
    </row>
    <row r="1101" spans="2:2" s="2" customFormat="1" x14ac:dyDescent="0.25">
      <c r="B1101" s="9"/>
    </row>
    <row r="1102" spans="2:2" s="2" customFormat="1" x14ac:dyDescent="0.25">
      <c r="B1102" s="9"/>
    </row>
    <row r="1103" spans="2:2" s="2" customFormat="1" x14ac:dyDescent="0.25">
      <c r="B1103" s="9"/>
    </row>
    <row r="1104" spans="2:2" s="2" customFormat="1" x14ac:dyDescent="0.25">
      <c r="B1104" s="9"/>
    </row>
    <row r="1105" spans="2:2" s="2" customFormat="1" x14ac:dyDescent="0.25">
      <c r="B1105" s="9"/>
    </row>
    <row r="1106" spans="2:2" s="2" customFormat="1" x14ac:dyDescent="0.25">
      <c r="B1106" s="9"/>
    </row>
    <row r="1107" spans="2:2" s="2" customFormat="1" x14ac:dyDescent="0.25">
      <c r="B1107" s="9"/>
    </row>
    <row r="1108" spans="2:2" s="2" customFormat="1" x14ac:dyDescent="0.25">
      <c r="B1108" s="9"/>
    </row>
    <row r="1109" spans="2:2" s="2" customFormat="1" x14ac:dyDescent="0.25">
      <c r="B1109" s="9"/>
    </row>
    <row r="1110" spans="2:2" s="2" customFormat="1" x14ac:dyDescent="0.25">
      <c r="B1110" s="9"/>
    </row>
    <row r="1111" spans="2:2" s="2" customFormat="1" x14ac:dyDescent="0.25">
      <c r="B1111" s="9"/>
    </row>
    <row r="1112" spans="2:2" s="2" customFormat="1" x14ac:dyDescent="0.25">
      <c r="B1112" s="9"/>
    </row>
    <row r="1113" spans="2:2" s="2" customFormat="1" x14ac:dyDescent="0.25">
      <c r="B1113" s="9"/>
    </row>
    <row r="1114" spans="2:2" s="2" customFormat="1" x14ac:dyDescent="0.25">
      <c r="B1114" s="9"/>
    </row>
    <row r="1115" spans="2:2" s="2" customFormat="1" x14ac:dyDescent="0.25">
      <c r="B1115" s="9"/>
    </row>
    <row r="1116" spans="2:2" s="2" customFormat="1" x14ac:dyDescent="0.25">
      <c r="B1116" s="9"/>
    </row>
    <row r="1117" spans="2:2" s="2" customFormat="1" x14ac:dyDescent="0.25">
      <c r="B1117" s="9"/>
    </row>
    <row r="1118" spans="2:2" s="2" customFormat="1" x14ac:dyDescent="0.25">
      <c r="B1118" s="9"/>
    </row>
    <row r="1119" spans="2:2" s="2" customFormat="1" x14ac:dyDescent="0.25">
      <c r="B1119" s="9"/>
    </row>
    <row r="1120" spans="2:2" s="2" customFormat="1" x14ac:dyDescent="0.25">
      <c r="B1120" s="9"/>
    </row>
    <row r="1121" spans="2:2" s="2" customFormat="1" x14ac:dyDescent="0.25">
      <c r="B1121" s="9"/>
    </row>
    <row r="1122" spans="2:2" s="2" customFormat="1" x14ac:dyDescent="0.25">
      <c r="B1122" s="9"/>
    </row>
    <row r="1123" spans="2:2" s="2" customFormat="1" x14ac:dyDescent="0.25">
      <c r="B1123" s="9"/>
    </row>
    <row r="1124" spans="2:2" s="2" customFormat="1" x14ac:dyDescent="0.25">
      <c r="B1124" s="9"/>
    </row>
    <row r="1125" spans="2:2" s="2" customFormat="1" x14ac:dyDescent="0.25">
      <c r="B1125" s="9"/>
    </row>
    <row r="1126" spans="2:2" s="2" customFormat="1" x14ac:dyDescent="0.25">
      <c r="B1126" s="9"/>
    </row>
    <row r="1127" spans="2:2" s="2" customFormat="1" x14ac:dyDescent="0.25">
      <c r="B1127" s="9"/>
    </row>
    <row r="1128" spans="2:2" s="2" customFormat="1" x14ac:dyDescent="0.25">
      <c r="B1128" s="9"/>
    </row>
    <row r="1129" spans="2:2" s="2" customFormat="1" x14ac:dyDescent="0.25">
      <c r="B1129" s="9"/>
    </row>
    <row r="1130" spans="2:2" s="2" customFormat="1" x14ac:dyDescent="0.25">
      <c r="B1130" s="9"/>
    </row>
    <row r="1131" spans="2:2" s="2" customFormat="1" x14ac:dyDescent="0.25">
      <c r="B1131" s="9"/>
    </row>
    <row r="1132" spans="2:2" s="2" customFormat="1" x14ac:dyDescent="0.25">
      <c r="B1132" s="9"/>
    </row>
    <row r="1133" spans="2:2" s="2" customFormat="1" x14ac:dyDescent="0.25">
      <c r="B1133" s="9"/>
    </row>
    <row r="1134" spans="2:2" s="2" customFormat="1" x14ac:dyDescent="0.25">
      <c r="B1134" s="9"/>
    </row>
    <row r="1135" spans="2:2" s="2" customFormat="1" x14ac:dyDescent="0.25">
      <c r="B1135" s="9"/>
    </row>
    <row r="1136" spans="2:2" s="2" customFormat="1" x14ac:dyDescent="0.25">
      <c r="B1136" s="9"/>
    </row>
    <row r="1137" spans="2:2" s="2" customFormat="1" x14ac:dyDescent="0.25">
      <c r="B1137" s="9"/>
    </row>
    <row r="1138" spans="2:2" s="2" customFormat="1" x14ac:dyDescent="0.25">
      <c r="B1138" s="9"/>
    </row>
    <row r="1139" spans="2:2" s="2" customFormat="1" x14ac:dyDescent="0.25">
      <c r="B1139" s="9"/>
    </row>
    <row r="1140" spans="2:2" s="2" customFormat="1" x14ac:dyDescent="0.25">
      <c r="B1140" s="9"/>
    </row>
    <row r="1141" spans="2:2" s="2" customFormat="1" x14ac:dyDescent="0.25">
      <c r="B1141" s="9"/>
    </row>
    <row r="1142" spans="2:2" s="2" customFormat="1" x14ac:dyDescent="0.25">
      <c r="B1142" s="9"/>
    </row>
    <row r="1143" spans="2:2" s="2" customFormat="1" x14ac:dyDescent="0.25">
      <c r="B1143" s="9"/>
    </row>
    <row r="1144" spans="2:2" s="2" customFormat="1" x14ac:dyDescent="0.25">
      <c r="B1144" s="9"/>
    </row>
    <row r="1145" spans="2:2" s="2" customFormat="1" x14ac:dyDescent="0.25">
      <c r="B1145" s="9"/>
    </row>
    <row r="1146" spans="2:2" s="2" customFormat="1" x14ac:dyDescent="0.25">
      <c r="B1146" s="9"/>
    </row>
    <row r="1147" spans="2:2" s="2" customFormat="1" x14ac:dyDescent="0.25">
      <c r="B1147" s="9"/>
    </row>
    <row r="1148" spans="2:2" s="2" customFormat="1" x14ac:dyDescent="0.25">
      <c r="B1148" s="9"/>
    </row>
    <row r="1149" spans="2:2" s="2" customFormat="1" x14ac:dyDescent="0.25">
      <c r="B1149" s="9"/>
    </row>
    <row r="1150" spans="2:2" s="2" customFormat="1" x14ac:dyDescent="0.25">
      <c r="B1150" s="9"/>
    </row>
    <row r="1151" spans="2:2" s="2" customFormat="1" x14ac:dyDescent="0.25">
      <c r="B1151" s="9"/>
    </row>
    <row r="1152" spans="2:2" s="2" customFormat="1" x14ac:dyDescent="0.25">
      <c r="B1152" s="9"/>
    </row>
    <row r="1153" spans="2:2" s="2" customFormat="1" x14ac:dyDescent="0.25">
      <c r="B1153" s="9"/>
    </row>
    <row r="1154" spans="2:2" s="2" customFormat="1" x14ac:dyDescent="0.25">
      <c r="B1154" s="9"/>
    </row>
    <row r="1155" spans="2:2" s="2" customFormat="1" x14ac:dyDescent="0.25">
      <c r="B1155" s="9"/>
    </row>
    <row r="1156" spans="2:2" s="2" customFormat="1" x14ac:dyDescent="0.25">
      <c r="B1156" s="9"/>
    </row>
    <row r="1157" spans="2:2" s="2" customFormat="1" x14ac:dyDescent="0.25">
      <c r="B1157" s="9"/>
    </row>
    <row r="1158" spans="2:2" s="2" customFormat="1" x14ac:dyDescent="0.25">
      <c r="B1158" s="9"/>
    </row>
    <row r="1159" spans="2:2" s="2" customFormat="1" x14ac:dyDescent="0.25">
      <c r="B1159" s="9"/>
    </row>
    <row r="1160" spans="2:2" s="2" customFormat="1" x14ac:dyDescent="0.25">
      <c r="B1160" s="9"/>
    </row>
    <row r="1161" spans="2:2" s="2" customFormat="1" x14ac:dyDescent="0.25">
      <c r="B1161" s="9"/>
    </row>
    <row r="1162" spans="2:2" s="2" customFormat="1" x14ac:dyDescent="0.25">
      <c r="B1162" s="9"/>
    </row>
    <row r="1163" spans="2:2" s="2" customFormat="1" x14ac:dyDescent="0.25">
      <c r="B1163" s="9"/>
    </row>
    <row r="1164" spans="2:2" s="2" customFormat="1" x14ac:dyDescent="0.25">
      <c r="B1164" s="9"/>
    </row>
    <row r="1165" spans="2:2" s="2" customFormat="1" x14ac:dyDescent="0.25">
      <c r="B1165" s="9"/>
    </row>
    <row r="1166" spans="2:2" s="2" customFormat="1" x14ac:dyDescent="0.25">
      <c r="B1166" s="9"/>
    </row>
    <row r="1167" spans="2:2" s="2" customFormat="1" x14ac:dyDescent="0.25">
      <c r="B1167" s="9"/>
    </row>
    <row r="1168" spans="2:2" s="2" customFormat="1" x14ac:dyDescent="0.25">
      <c r="B1168" s="9"/>
    </row>
    <row r="1169" spans="2:2" s="2" customFormat="1" x14ac:dyDescent="0.25">
      <c r="B1169" s="9"/>
    </row>
    <row r="1170" spans="2:2" s="2" customFormat="1" x14ac:dyDescent="0.25">
      <c r="B1170" s="9"/>
    </row>
    <row r="1171" spans="2:2" s="2" customFormat="1" x14ac:dyDescent="0.25">
      <c r="B1171" s="9"/>
    </row>
    <row r="1172" spans="2:2" s="2" customFormat="1" x14ac:dyDescent="0.25">
      <c r="B1172" s="9"/>
    </row>
    <row r="1173" spans="2:2" s="2" customFormat="1" x14ac:dyDescent="0.25">
      <c r="B1173" s="9"/>
    </row>
    <row r="1174" spans="2:2" s="2" customFormat="1" x14ac:dyDescent="0.25">
      <c r="B1174" s="9"/>
    </row>
    <row r="1175" spans="2:2" s="2" customFormat="1" x14ac:dyDescent="0.25">
      <c r="B1175" s="9"/>
    </row>
    <row r="1176" spans="2:2" s="2" customFormat="1" x14ac:dyDescent="0.25">
      <c r="B1176" s="9"/>
    </row>
    <row r="1177" spans="2:2" s="2" customFormat="1" x14ac:dyDescent="0.25">
      <c r="B1177" s="9"/>
    </row>
    <row r="1178" spans="2:2" s="2" customFormat="1" x14ac:dyDescent="0.25">
      <c r="B1178" s="9"/>
    </row>
    <row r="1179" spans="2:2" s="2" customFormat="1" x14ac:dyDescent="0.25">
      <c r="B1179" s="9"/>
    </row>
    <row r="1180" spans="2:2" s="2" customFormat="1" x14ac:dyDescent="0.25">
      <c r="B1180" s="9"/>
    </row>
    <row r="1181" spans="2:2" s="2" customFormat="1" x14ac:dyDescent="0.25">
      <c r="B1181" s="9"/>
    </row>
    <row r="1182" spans="2:2" s="2" customFormat="1" x14ac:dyDescent="0.25">
      <c r="B1182" s="9"/>
    </row>
    <row r="1183" spans="2:2" s="2" customFormat="1" x14ac:dyDescent="0.25">
      <c r="B1183" s="9"/>
    </row>
    <row r="1184" spans="2:2" s="2" customFormat="1" x14ac:dyDescent="0.25">
      <c r="B1184" s="9"/>
    </row>
    <row r="1185" spans="2:2" s="2" customFormat="1" x14ac:dyDescent="0.25">
      <c r="B1185" s="9"/>
    </row>
    <row r="1186" spans="2:2" s="2" customFormat="1" x14ac:dyDescent="0.25">
      <c r="B1186" s="9"/>
    </row>
    <row r="1187" spans="2:2" s="2" customFormat="1" x14ac:dyDescent="0.25">
      <c r="B1187" s="9"/>
    </row>
    <row r="1188" spans="2:2" s="2" customFormat="1" x14ac:dyDescent="0.25">
      <c r="B1188" s="9"/>
    </row>
    <row r="1189" spans="2:2" s="2" customFormat="1" x14ac:dyDescent="0.25">
      <c r="B1189" s="9"/>
    </row>
    <row r="1190" spans="2:2" s="2" customFormat="1" x14ac:dyDescent="0.25">
      <c r="B1190" s="9"/>
    </row>
    <row r="1191" spans="2:2" s="2" customFormat="1" x14ac:dyDescent="0.25">
      <c r="B1191" s="9"/>
    </row>
    <row r="1192" spans="2:2" s="2" customFormat="1" x14ac:dyDescent="0.25">
      <c r="B1192" s="9"/>
    </row>
    <row r="1193" spans="2:2" s="2" customFormat="1" x14ac:dyDescent="0.25">
      <c r="B1193" s="9"/>
    </row>
    <row r="1194" spans="2:2" s="2" customFormat="1" x14ac:dyDescent="0.25">
      <c r="B1194" s="9"/>
    </row>
    <row r="1195" spans="2:2" s="2" customFormat="1" x14ac:dyDescent="0.25">
      <c r="B1195" s="9"/>
    </row>
    <row r="1196" spans="2:2" s="2" customFormat="1" x14ac:dyDescent="0.25">
      <c r="B1196" s="9"/>
    </row>
    <row r="1197" spans="2:2" s="2" customFormat="1" x14ac:dyDescent="0.25">
      <c r="B1197" s="9"/>
    </row>
    <row r="1198" spans="2:2" s="2" customFormat="1" x14ac:dyDescent="0.25">
      <c r="B1198" s="9"/>
    </row>
    <row r="1199" spans="2:2" s="2" customFormat="1" x14ac:dyDescent="0.25">
      <c r="B1199" s="9"/>
    </row>
    <row r="1200" spans="2:2" s="2" customFormat="1" x14ac:dyDescent="0.25">
      <c r="B1200" s="9"/>
    </row>
    <row r="1201" spans="2:2" s="2" customFormat="1" x14ac:dyDescent="0.25">
      <c r="B1201" s="9"/>
    </row>
    <row r="1202" spans="2:2" s="2" customFormat="1" x14ac:dyDescent="0.25">
      <c r="B1202" s="9"/>
    </row>
    <row r="1203" spans="2:2" s="2" customFormat="1" x14ac:dyDescent="0.25">
      <c r="B1203" s="9"/>
    </row>
    <row r="1204" spans="2:2" s="2" customFormat="1" x14ac:dyDescent="0.25">
      <c r="B1204" s="9"/>
    </row>
    <row r="1205" spans="2:2" s="2" customFormat="1" x14ac:dyDescent="0.25">
      <c r="B1205" s="9"/>
    </row>
    <row r="1206" spans="2:2" s="2" customFormat="1" x14ac:dyDescent="0.25">
      <c r="B1206" s="9"/>
    </row>
    <row r="1207" spans="2:2" s="2" customFormat="1" x14ac:dyDescent="0.25">
      <c r="B1207" s="9"/>
    </row>
    <row r="1208" spans="2:2" s="2" customFormat="1" x14ac:dyDescent="0.25">
      <c r="B1208" s="9"/>
    </row>
    <row r="1209" spans="2:2" s="2" customFormat="1" x14ac:dyDescent="0.25">
      <c r="B1209" s="9"/>
    </row>
    <row r="1210" spans="2:2" s="2" customFormat="1" x14ac:dyDescent="0.25">
      <c r="B1210" s="9"/>
    </row>
    <row r="1211" spans="2:2" s="2" customFormat="1" x14ac:dyDescent="0.25">
      <c r="B1211" s="9"/>
    </row>
    <row r="1212" spans="2:2" s="2" customFormat="1" x14ac:dyDescent="0.25">
      <c r="B1212" s="9"/>
    </row>
    <row r="1213" spans="2:2" s="2" customFormat="1" x14ac:dyDescent="0.25">
      <c r="B1213" s="9"/>
    </row>
    <row r="1214" spans="2:2" s="2" customFormat="1" x14ac:dyDescent="0.25">
      <c r="B1214" s="9"/>
    </row>
    <row r="1215" spans="2:2" s="2" customFormat="1" x14ac:dyDescent="0.25">
      <c r="B1215" s="9"/>
    </row>
    <row r="1216" spans="2:2" s="2" customFormat="1" x14ac:dyDescent="0.25">
      <c r="B1216" s="9"/>
    </row>
    <row r="1217" spans="2:2" s="2" customFormat="1" x14ac:dyDescent="0.25">
      <c r="B1217" s="9"/>
    </row>
    <row r="1218" spans="2:2" s="2" customFormat="1" x14ac:dyDescent="0.25">
      <c r="B1218" s="9"/>
    </row>
    <row r="1219" spans="2:2" s="2" customFormat="1" x14ac:dyDescent="0.25">
      <c r="B1219" s="9"/>
    </row>
    <row r="1220" spans="2:2" s="2" customFormat="1" x14ac:dyDescent="0.25">
      <c r="B1220" s="9"/>
    </row>
    <row r="1221" spans="2:2" s="2" customFormat="1" x14ac:dyDescent="0.25">
      <c r="B1221" s="9"/>
    </row>
    <row r="1222" spans="2:2" s="2" customFormat="1" x14ac:dyDescent="0.25">
      <c r="B1222" s="9"/>
    </row>
    <row r="1223" spans="2:2" s="2" customFormat="1" x14ac:dyDescent="0.25">
      <c r="B1223" s="9"/>
    </row>
    <row r="1224" spans="2:2" s="2" customFormat="1" x14ac:dyDescent="0.25">
      <c r="B1224" s="9"/>
    </row>
    <row r="1225" spans="2:2" s="2" customFormat="1" x14ac:dyDescent="0.25">
      <c r="B1225" s="9"/>
    </row>
    <row r="1226" spans="2:2" s="2" customFormat="1" x14ac:dyDescent="0.25">
      <c r="B1226" s="9"/>
    </row>
    <row r="1227" spans="2:2" s="2" customFormat="1" x14ac:dyDescent="0.25">
      <c r="B1227" s="9"/>
    </row>
    <row r="1228" spans="2:2" s="2" customFormat="1" x14ac:dyDescent="0.25">
      <c r="B1228" s="9"/>
    </row>
    <row r="1229" spans="2:2" s="2" customFormat="1" x14ac:dyDescent="0.25">
      <c r="B1229" s="9"/>
    </row>
    <row r="1230" spans="2:2" s="2" customFormat="1" x14ac:dyDescent="0.25">
      <c r="B1230" s="9"/>
    </row>
    <row r="1231" spans="2:2" s="2" customFormat="1" x14ac:dyDescent="0.25">
      <c r="B1231" s="9"/>
    </row>
    <row r="1232" spans="2:2" s="2" customFormat="1" x14ac:dyDescent="0.25">
      <c r="B1232" s="9"/>
    </row>
    <row r="1233" spans="2:2" s="2" customFormat="1" x14ac:dyDescent="0.25">
      <c r="B1233" s="9"/>
    </row>
    <row r="1234" spans="2:2" s="2" customFormat="1" x14ac:dyDescent="0.25">
      <c r="B1234" s="9"/>
    </row>
    <row r="1235" spans="2:2" s="2" customFormat="1" x14ac:dyDescent="0.25">
      <c r="B1235" s="9"/>
    </row>
    <row r="1236" spans="2:2" s="2" customFormat="1" x14ac:dyDescent="0.25">
      <c r="B1236" s="9"/>
    </row>
    <row r="1237" spans="2:2" s="2" customFormat="1" x14ac:dyDescent="0.25">
      <c r="B1237" s="9"/>
    </row>
    <row r="1238" spans="2:2" s="2" customFormat="1" x14ac:dyDescent="0.25">
      <c r="B1238" s="9"/>
    </row>
    <row r="1239" spans="2:2" s="2" customFormat="1" x14ac:dyDescent="0.25">
      <c r="B1239" s="9"/>
    </row>
    <row r="1240" spans="2:2" s="2" customFormat="1" x14ac:dyDescent="0.25">
      <c r="B1240" s="9"/>
    </row>
    <row r="1241" spans="2:2" s="2" customFormat="1" x14ac:dyDescent="0.25">
      <c r="B1241" s="9"/>
    </row>
    <row r="1242" spans="2:2" s="2" customFormat="1" x14ac:dyDescent="0.25">
      <c r="B1242" s="9"/>
    </row>
    <row r="1243" spans="2:2" s="2" customFormat="1" x14ac:dyDescent="0.25">
      <c r="B1243" s="9"/>
    </row>
    <row r="1244" spans="2:2" s="2" customFormat="1" x14ac:dyDescent="0.25">
      <c r="B1244" s="9"/>
    </row>
    <row r="1245" spans="2:2" s="2" customFormat="1" x14ac:dyDescent="0.25">
      <c r="B1245" s="9"/>
    </row>
    <row r="1246" spans="2:2" s="2" customFormat="1" x14ac:dyDescent="0.25">
      <c r="B1246" s="9"/>
    </row>
    <row r="1247" spans="2:2" s="2" customFormat="1" x14ac:dyDescent="0.25">
      <c r="B1247" s="9"/>
    </row>
    <row r="1248" spans="2:2" s="2" customFormat="1" x14ac:dyDescent="0.25">
      <c r="B1248" s="9"/>
    </row>
    <row r="1249" spans="2:2" s="2" customFormat="1" x14ac:dyDescent="0.25">
      <c r="B1249" s="9"/>
    </row>
    <row r="1250" spans="2:2" s="2" customFormat="1" x14ac:dyDescent="0.25">
      <c r="B1250" s="9"/>
    </row>
    <row r="1251" spans="2:2" s="2" customFormat="1" x14ac:dyDescent="0.25">
      <c r="B1251" s="9"/>
    </row>
    <row r="1252" spans="2:2" s="2" customFormat="1" x14ac:dyDescent="0.25">
      <c r="B1252" s="9"/>
    </row>
    <row r="1253" spans="2:2" s="2" customFormat="1" x14ac:dyDescent="0.25">
      <c r="B1253" s="9"/>
    </row>
    <row r="1254" spans="2:2" s="2" customFormat="1" x14ac:dyDescent="0.25">
      <c r="B1254" s="9"/>
    </row>
    <row r="1255" spans="2:2" s="2" customFormat="1" x14ac:dyDescent="0.25">
      <c r="B1255" s="9"/>
    </row>
    <row r="1256" spans="2:2" s="2" customFormat="1" x14ac:dyDescent="0.25">
      <c r="B1256" s="9"/>
    </row>
    <row r="1257" spans="2:2" s="2" customFormat="1" x14ac:dyDescent="0.25">
      <c r="B1257" s="9"/>
    </row>
    <row r="1258" spans="2:2" s="2" customFormat="1" x14ac:dyDescent="0.25">
      <c r="B1258" s="9"/>
    </row>
    <row r="1259" spans="2:2" s="2" customFormat="1" x14ac:dyDescent="0.25">
      <c r="B1259" s="9"/>
    </row>
    <row r="1260" spans="2:2" s="2" customFormat="1" x14ac:dyDescent="0.25">
      <c r="B1260" s="9"/>
    </row>
    <row r="1261" spans="2:2" s="2" customFormat="1" x14ac:dyDescent="0.25">
      <c r="B1261" s="9"/>
    </row>
    <row r="1262" spans="2:2" s="2" customFormat="1" x14ac:dyDescent="0.25">
      <c r="B1262" s="9"/>
    </row>
    <row r="1263" spans="2:2" s="2" customFormat="1" x14ac:dyDescent="0.25">
      <c r="B1263" s="9"/>
    </row>
    <row r="1264" spans="2:2" s="2" customFormat="1" x14ac:dyDescent="0.25">
      <c r="B1264" s="9"/>
    </row>
    <row r="1265" spans="2:2" s="2" customFormat="1" x14ac:dyDescent="0.25">
      <c r="B1265" s="9"/>
    </row>
    <row r="1266" spans="2:2" s="2" customFormat="1" x14ac:dyDescent="0.25">
      <c r="B1266" s="9"/>
    </row>
    <row r="1267" spans="2:2" s="2" customFormat="1" x14ac:dyDescent="0.25">
      <c r="B1267" s="9"/>
    </row>
    <row r="1268" spans="2:2" s="2" customFormat="1" x14ac:dyDescent="0.25">
      <c r="B1268" s="9"/>
    </row>
    <row r="1269" spans="2:2" s="2" customFormat="1" x14ac:dyDescent="0.25">
      <c r="B1269" s="9"/>
    </row>
    <row r="1270" spans="2:2" s="2" customFormat="1" x14ac:dyDescent="0.25">
      <c r="B1270" s="9"/>
    </row>
    <row r="1271" spans="2:2" s="2" customFormat="1" x14ac:dyDescent="0.25">
      <c r="B1271" s="9"/>
    </row>
    <row r="1272" spans="2:2" s="2" customFormat="1" x14ac:dyDescent="0.25">
      <c r="B1272" s="9"/>
    </row>
    <row r="1273" spans="2:2" s="2" customFormat="1" x14ac:dyDescent="0.25">
      <c r="B1273" s="9"/>
    </row>
    <row r="1274" spans="2:2" s="2" customFormat="1" x14ac:dyDescent="0.25">
      <c r="B1274" s="9"/>
    </row>
    <row r="1275" spans="2:2" s="2" customFormat="1" x14ac:dyDescent="0.25">
      <c r="B1275" s="9"/>
    </row>
    <row r="1276" spans="2:2" s="2" customFormat="1" x14ac:dyDescent="0.25">
      <c r="B1276" s="9"/>
    </row>
    <row r="1277" spans="2:2" s="2" customFormat="1" x14ac:dyDescent="0.25">
      <c r="B1277" s="9"/>
    </row>
    <row r="1278" spans="2:2" s="2" customFormat="1" x14ac:dyDescent="0.25">
      <c r="B1278" s="9"/>
    </row>
    <row r="1279" spans="2:2" s="2" customFormat="1" x14ac:dyDescent="0.25">
      <c r="B1279" s="9"/>
    </row>
    <row r="1280" spans="2:2" s="2" customFormat="1" x14ac:dyDescent="0.25">
      <c r="B1280" s="9"/>
    </row>
    <row r="1281" spans="2:2" s="2" customFormat="1" x14ac:dyDescent="0.25">
      <c r="B1281" s="9"/>
    </row>
    <row r="1282" spans="2:2" s="2" customFormat="1" x14ac:dyDescent="0.25">
      <c r="B1282" s="9"/>
    </row>
    <row r="1283" spans="2:2" s="2" customFormat="1" x14ac:dyDescent="0.25">
      <c r="B1283" s="9"/>
    </row>
    <row r="1284" spans="2:2" s="2" customFormat="1" x14ac:dyDescent="0.25">
      <c r="B1284" s="9"/>
    </row>
    <row r="1285" spans="2:2" s="2" customFormat="1" x14ac:dyDescent="0.25">
      <c r="B1285" s="9"/>
    </row>
    <row r="1286" spans="2:2" s="2" customFormat="1" x14ac:dyDescent="0.25">
      <c r="B1286" s="9"/>
    </row>
    <row r="1287" spans="2:2" s="2" customFormat="1" x14ac:dyDescent="0.25">
      <c r="B1287" s="9"/>
    </row>
    <row r="1288" spans="2:2" s="2" customFormat="1" x14ac:dyDescent="0.25">
      <c r="B1288" s="9"/>
    </row>
    <row r="1289" spans="2:2" s="2" customFormat="1" x14ac:dyDescent="0.25">
      <c r="B1289" s="9"/>
    </row>
    <row r="1290" spans="2:2" s="2" customFormat="1" x14ac:dyDescent="0.25">
      <c r="B1290" s="9"/>
    </row>
    <row r="1291" spans="2:2" s="2" customFormat="1" x14ac:dyDescent="0.25">
      <c r="B1291" s="9"/>
    </row>
    <row r="1292" spans="2:2" s="2" customFormat="1" x14ac:dyDescent="0.25">
      <c r="B1292" s="9"/>
    </row>
    <row r="1293" spans="2:2" s="2" customFormat="1" x14ac:dyDescent="0.25">
      <c r="B1293" s="9"/>
    </row>
    <row r="1294" spans="2:2" s="2" customFormat="1" x14ac:dyDescent="0.25">
      <c r="B1294" s="9"/>
    </row>
    <row r="1295" spans="2:2" s="2" customFormat="1" x14ac:dyDescent="0.25">
      <c r="B1295" s="9"/>
    </row>
    <row r="1296" spans="2:2" s="2" customFormat="1" x14ac:dyDescent="0.25">
      <c r="B1296" s="9"/>
    </row>
    <row r="1297" spans="2:2" s="2" customFormat="1" x14ac:dyDescent="0.25">
      <c r="B1297" s="9"/>
    </row>
    <row r="1298" spans="2:2" s="2" customFormat="1" x14ac:dyDescent="0.25">
      <c r="B1298" s="9"/>
    </row>
    <row r="1299" spans="2:2" s="2" customFormat="1" x14ac:dyDescent="0.25">
      <c r="B1299" s="9"/>
    </row>
    <row r="1300" spans="2:2" s="2" customFormat="1" x14ac:dyDescent="0.25">
      <c r="B1300" s="9"/>
    </row>
    <row r="1301" spans="2:2" s="2" customFormat="1" x14ac:dyDescent="0.25">
      <c r="B1301" s="9"/>
    </row>
    <row r="1302" spans="2:2" s="2" customFormat="1" x14ac:dyDescent="0.25">
      <c r="B1302" s="9"/>
    </row>
    <row r="1303" spans="2:2" s="2" customFormat="1" x14ac:dyDescent="0.25">
      <c r="B1303" s="9"/>
    </row>
    <row r="1304" spans="2:2" s="2" customFormat="1" x14ac:dyDescent="0.25">
      <c r="B1304" s="9"/>
    </row>
    <row r="1305" spans="2:2" s="2" customFormat="1" x14ac:dyDescent="0.25">
      <c r="B1305" s="9"/>
    </row>
    <row r="1306" spans="2:2" s="2" customFormat="1" x14ac:dyDescent="0.25">
      <c r="B1306" s="9"/>
    </row>
    <row r="1307" spans="2:2" s="2" customFormat="1" x14ac:dyDescent="0.25">
      <c r="B1307" s="9"/>
    </row>
    <row r="1308" spans="2:2" s="2" customFormat="1" x14ac:dyDescent="0.25">
      <c r="B1308" s="9"/>
    </row>
    <row r="1309" spans="2:2" s="2" customFormat="1" x14ac:dyDescent="0.25">
      <c r="B1309" s="9"/>
    </row>
    <row r="1310" spans="2:2" s="2" customFormat="1" x14ac:dyDescent="0.25">
      <c r="B1310" s="9"/>
    </row>
    <row r="1311" spans="2:2" s="2" customFormat="1" x14ac:dyDescent="0.25">
      <c r="B1311" s="9"/>
    </row>
    <row r="1312" spans="2:2" s="2" customFormat="1" x14ac:dyDescent="0.25">
      <c r="B1312" s="9"/>
    </row>
    <row r="1313" spans="2:2" s="2" customFormat="1" x14ac:dyDescent="0.25">
      <c r="B1313" s="9"/>
    </row>
    <row r="1314" spans="2:2" s="2" customFormat="1" x14ac:dyDescent="0.25">
      <c r="B1314" s="9"/>
    </row>
    <row r="1315" spans="2:2" s="2" customFormat="1" x14ac:dyDescent="0.25">
      <c r="B1315" s="9"/>
    </row>
    <row r="1316" spans="2:2" s="2" customFormat="1" x14ac:dyDescent="0.25">
      <c r="B1316" s="9"/>
    </row>
    <row r="1317" spans="2:2" s="2" customFormat="1" x14ac:dyDescent="0.25">
      <c r="B1317" s="9"/>
    </row>
    <row r="1318" spans="2:2" s="2" customFormat="1" x14ac:dyDescent="0.25">
      <c r="B1318" s="9"/>
    </row>
    <row r="1319" spans="2:2" s="2" customFormat="1" x14ac:dyDescent="0.25">
      <c r="B1319" s="9"/>
    </row>
    <row r="1320" spans="2:2" s="2" customFormat="1" x14ac:dyDescent="0.25">
      <c r="B1320" s="9"/>
    </row>
    <row r="1321" spans="2:2" s="2" customFormat="1" x14ac:dyDescent="0.25">
      <c r="B1321" s="9"/>
    </row>
    <row r="1322" spans="2:2" s="2" customFormat="1" x14ac:dyDescent="0.25">
      <c r="B1322" s="9"/>
    </row>
    <row r="1323" spans="2:2" s="2" customFormat="1" x14ac:dyDescent="0.25">
      <c r="B1323" s="9"/>
    </row>
    <row r="1324" spans="2:2" s="2" customFormat="1" x14ac:dyDescent="0.25">
      <c r="B1324" s="9"/>
    </row>
    <row r="1325" spans="2:2" s="2" customFormat="1" x14ac:dyDescent="0.25">
      <c r="B1325" s="9"/>
    </row>
    <row r="1326" spans="2:2" s="2" customFormat="1" x14ac:dyDescent="0.25">
      <c r="B1326" s="9"/>
    </row>
    <row r="1327" spans="2:2" s="2" customFormat="1" x14ac:dyDescent="0.25">
      <c r="B1327" s="9"/>
    </row>
    <row r="1328" spans="2:2" s="2" customFormat="1" x14ac:dyDescent="0.25">
      <c r="B1328" s="9"/>
    </row>
    <row r="1329" spans="2:2" s="2" customFormat="1" x14ac:dyDescent="0.25">
      <c r="B1329" s="9"/>
    </row>
    <row r="1330" spans="2:2" s="2" customFormat="1" x14ac:dyDescent="0.25">
      <c r="B1330" s="9"/>
    </row>
    <row r="1331" spans="2:2" s="2" customFormat="1" x14ac:dyDescent="0.25">
      <c r="B1331" s="9"/>
    </row>
    <row r="1332" spans="2:2" s="2" customFormat="1" x14ac:dyDescent="0.25">
      <c r="B1332" s="9"/>
    </row>
    <row r="1333" spans="2:2" s="2" customFormat="1" x14ac:dyDescent="0.25">
      <c r="B1333" s="9"/>
    </row>
    <row r="1334" spans="2:2" s="2" customFormat="1" x14ac:dyDescent="0.25">
      <c r="B1334" s="9"/>
    </row>
    <row r="1335" spans="2:2" s="2" customFormat="1" x14ac:dyDescent="0.25">
      <c r="B1335" s="9"/>
    </row>
    <row r="1336" spans="2:2" s="2" customFormat="1" x14ac:dyDescent="0.25">
      <c r="B1336" s="9"/>
    </row>
    <row r="1337" spans="2:2" s="2" customFormat="1" x14ac:dyDescent="0.25">
      <c r="B1337" s="9"/>
    </row>
    <row r="1338" spans="2:2" s="2" customFormat="1" x14ac:dyDescent="0.25">
      <c r="B1338" s="9"/>
    </row>
    <row r="1339" spans="2:2" s="2" customFormat="1" x14ac:dyDescent="0.25">
      <c r="B1339" s="9"/>
    </row>
    <row r="1340" spans="2:2" s="2" customFormat="1" x14ac:dyDescent="0.25">
      <c r="B1340" s="9"/>
    </row>
    <row r="1341" spans="2:2" s="2" customFormat="1" x14ac:dyDescent="0.25">
      <c r="B1341" s="9"/>
    </row>
    <row r="1342" spans="2:2" s="2" customFormat="1" x14ac:dyDescent="0.25">
      <c r="B1342" s="9"/>
    </row>
    <row r="1343" spans="2:2" s="2" customFormat="1" x14ac:dyDescent="0.25">
      <c r="B1343" s="9"/>
    </row>
    <row r="1344" spans="2:2" s="2" customFormat="1" x14ac:dyDescent="0.25">
      <c r="B1344" s="9"/>
    </row>
    <row r="1345" spans="2:2" s="2" customFormat="1" x14ac:dyDescent="0.25">
      <c r="B1345" s="9"/>
    </row>
    <row r="1346" spans="2:2" s="2" customFormat="1" x14ac:dyDescent="0.25">
      <c r="B1346" s="9"/>
    </row>
    <row r="1347" spans="2:2" s="2" customFormat="1" x14ac:dyDescent="0.25">
      <c r="B1347" s="9"/>
    </row>
    <row r="1348" spans="2:2" s="2" customFormat="1" x14ac:dyDescent="0.25">
      <c r="B1348" s="9"/>
    </row>
    <row r="1349" spans="2:2" s="2" customFormat="1" x14ac:dyDescent="0.25">
      <c r="B1349" s="9"/>
    </row>
    <row r="1350" spans="2:2" s="2" customFormat="1" x14ac:dyDescent="0.25">
      <c r="B1350" s="9"/>
    </row>
    <row r="1351" spans="2:2" s="2" customFormat="1" x14ac:dyDescent="0.25">
      <c r="B1351" s="9"/>
    </row>
    <row r="1352" spans="2:2" s="2" customFormat="1" x14ac:dyDescent="0.25">
      <c r="B1352" s="9"/>
    </row>
    <row r="1353" spans="2:2" s="2" customFormat="1" x14ac:dyDescent="0.25">
      <c r="B1353" s="9"/>
    </row>
    <row r="1354" spans="2:2" s="2" customFormat="1" x14ac:dyDescent="0.25">
      <c r="B1354" s="9"/>
    </row>
    <row r="1355" spans="2:2" s="2" customFormat="1" x14ac:dyDescent="0.25">
      <c r="B1355" s="9"/>
    </row>
    <row r="1356" spans="2:2" s="2" customFormat="1" x14ac:dyDescent="0.25">
      <c r="B1356" s="9"/>
    </row>
    <row r="1357" spans="2:2" s="2" customFormat="1" x14ac:dyDescent="0.25">
      <c r="B1357" s="9"/>
    </row>
    <row r="1358" spans="2:2" s="2" customFormat="1" x14ac:dyDescent="0.25">
      <c r="B1358" s="9"/>
    </row>
    <row r="1359" spans="2:2" s="2" customFormat="1" x14ac:dyDescent="0.25">
      <c r="B1359" s="9"/>
    </row>
    <row r="1360" spans="2:2" s="2" customFormat="1" x14ac:dyDescent="0.25">
      <c r="B1360" s="9"/>
    </row>
    <row r="1361" spans="2:2" s="2" customFormat="1" x14ac:dyDescent="0.25">
      <c r="B1361" s="9"/>
    </row>
    <row r="1362" spans="2:2" s="2" customFormat="1" x14ac:dyDescent="0.25">
      <c r="B1362" s="9"/>
    </row>
    <row r="1363" spans="2:2" s="2" customFormat="1" x14ac:dyDescent="0.25">
      <c r="B1363" s="9"/>
    </row>
    <row r="1364" spans="2:2" s="2" customFormat="1" x14ac:dyDescent="0.25">
      <c r="B1364" s="9"/>
    </row>
    <row r="1365" spans="2:2" s="2" customFormat="1" x14ac:dyDescent="0.25">
      <c r="B1365" s="9"/>
    </row>
    <row r="1366" spans="2:2" s="2" customFormat="1" x14ac:dyDescent="0.25">
      <c r="B1366" s="9"/>
    </row>
    <row r="1367" spans="2:2" s="2" customFormat="1" x14ac:dyDescent="0.25">
      <c r="B1367" s="9"/>
    </row>
    <row r="1368" spans="2:2" s="2" customFormat="1" x14ac:dyDescent="0.25">
      <c r="B1368" s="9"/>
    </row>
    <row r="1369" spans="2:2" s="2" customFormat="1" x14ac:dyDescent="0.25">
      <c r="B1369" s="9"/>
    </row>
    <row r="1370" spans="2:2" s="2" customFormat="1" x14ac:dyDescent="0.25">
      <c r="B1370" s="9"/>
    </row>
    <row r="1371" spans="2:2" s="2" customFormat="1" x14ac:dyDescent="0.25">
      <c r="B1371" s="9"/>
    </row>
    <row r="1372" spans="2:2" s="2" customFormat="1" x14ac:dyDescent="0.25">
      <c r="B1372" s="9"/>
    </row>
    <row r="1373" spans="2:2" s="2" customFormat="1" x14ac:dyDescent="0.25">
      <c r="B1373" s="9"/>
    </row>
    <row r="1374" spans="2:2" s="2" customFormat="1" x14ac:dyDescent="0.25">
      <c r="B1374" s="9"/>
    </row>
    <row r="1375" spans="2:2" s="2" customFormat="1" x14ac:dyDescent="0.25">
      <c r="B1375" s="9"/>
    </row>
    <row r="1376" spans="2:2" s="2" customFormat="1" x14ac:dyDescent="0.25">
      <c r="B1376" s="9"/>
    </row>
    <row r="1377" spans="2:2" s="2" customFormat="1" x14ac:dyDescent="0.25">
      <c r="B1377" s="9"/>
    </row>
    <row r="1378" spans="2:2" s="2" customFormat="1" x14ac:dyDescent="0.25">
      <c r="B1378" s="9"/>
    </row>
    <row r="1379" spans="2:2" s="2" customFormat="1" x14ac:dyDescent="0.25">
      <c r="B1379" s="9"/>
    </row>
    <row r="1380" spans="2:2" s="2" customFormat="1" x14ac:dyDescent="0.25">
      <c r="B1380" s="9"/>
    </row>
    <row r="1381" spans="2:2" s="2" customFormat="1" x14ac:dyDescent="0.25">
      <c r="B1381" s="9"/>
    </row>
    <row r="1382" spans="2:2" s="2" customFormat="1" x14ac:dyDescent="0.25">
      <c r="B1382" s="9"/>
    </row>
    <row r="1383" spans="2:2" s="2" customFormat="1" x14ac:dyDescent="0.25">
      <c r="B1383" s="9"/>
    </row>
    <row r="1384" spans="2:2" s="2" customFormat="1" x14ac:dyDescent="0.25">
      <c r="B1384" s="9"/>
    </row>
    <row r="1385" spans="2:2" s="2" customFormat="1" x14ac:dyDescent="0.25">
      <c r="B1385" s="9"/>
    </row>
    <row r="1386" spans="2:2" s="2" customFormat="1" x14ac:dyDescent="0.25">
      <c r="B1386" s="9"/>
    </row>
    <row r="1387" spans="2:2" s="2" customFormat="1" x14ac:dyDescent="0.25">
      <c r="B1387" s="9"/>
    </row>
    <row r="1388" spans="2:2" s="2" customFormat="1" x14ac:dyDescent="0.25">
      <c r="B1388" s="9"/>
    </row>
    <row r="1389" spans="2:2" s="2" customFormat="1" x14ac:dyDescent="0.25">
      <c r="B1389" s="9"/>
    </row>
    <row r="1390" spans="2:2" s="2" customFormat="1" x14ac:dyDescent="0.25">
      <c r="B1390" s="9"/>
    </row>
    <row r="1391" spans="2:2" s="2" customFormat="1" x14ac:dyDescent="0.25">
      <c r="B1391" s="9"/>
    </row>
    <row r="1392" spans="2:2" s="2" customFormat="1" x14ac:dyDescent="0.25">
      <c r="B1392" s="9"/>
    </row>
    <row r="1393" spans="2:2" s="2" customFormat="1" x14ac:dyDescent="0.25">
      <c r="B1393" s="9"/>
    </row>
    <row r="1394" spans="2:2" s="2" customFormat="1" x14ac:dyDescent="0.25">
      <c r="B1394" s="9"/>
    </row>
    <row r="1395" spans="2:2" s="2" customFormat="1" x14ac:dyDescent="0.25">
      <c r="B1395" s="9"/>
    </row>
    <row r="1396" spans="2:2" s="2" customFormat="1" x14ac:dyDescent="0.25">
      <c r="B1396" s="9"/>
    </row>
    <row r="1397" spans="2:2" s="2" customFormat="1" x14ac:dyDescent="0.25">
      <c r="B1397" s="9"/>
    </row>
    <row r="1398" spans="2:2" s="2" customFormat="1" x14ac:dyDescent="0.25">
      <c r="B1398" s="9"/>
    </row>
    <row r="1399" spans="2:2" s="2" customFormat="1" x14ac:dyDescent="0.25">
      <c r="B1399" s="9"/>
    </row>
    <row r="1400" spans="2:2" s="2" customFormat="1" x14ac:dyDescent="0.25">
      <c r="B1400" s="9"/>
    </row>
    <row r="1401" spans="2:2" s="2" customFormat="1" x14ac:dyDescent="0.25">
      <c r="B1401" s="9"/>
    </row>
    <row r="1402" spans="2:2" s="2" customFormat="1" x14ac:dyDescent="0.25">
      <c r="B1402" s="9"/>
    </row>
    <row r="1403" spans="2:2" s="2" customFormat="1" x14ac:dyDescent="0.25">
      <c r="B1403" s="9"/>
    </row>
    <row r="1404" spans="2:2" s="2" customFormat="1" x14ac:dyDescent="0.25">
      <c r="B1404" s="9"/>
    </row>
    <row r="1405" spans="2:2" s="2" customFormat="1" x14ac:dyDescent="0.25">
      <c r="B1405" s="9"/>
    </row>
    <row r="1406" spans="2:2" s="2" customFormat="1" x14ac:dyDescent="0.25">
      <c r="B1406" s="9"/>
    </row>
    <row r="1407" spans="2:2" s="2" customFormat="1" x14ac:dyDescent="0.25">
      <c r="B1407" s="9"/>
    </row>
    <row r="1408" spans="2:2" s="2" customFormat="1" x14ac:dyDescent="0.25">
      <c r="B1408" s="9"/>
    </row>
    <row r="1409" spans="2:2" s="2" customFormat="1" x14ac:dyDescent="0.25">
      <c r="B1409" s="9"/>
    </row>
    <row r="1410" spans="2:2" s="2" customFormat="1" x14ac:dyDescent="0.25">
      <c r="B1410" s="9"/>
    </row>
    <row r="1411" spans="2:2" s="2" customFormat="1" x14ac:dyDescent="0.25">
      <c r="B1411" s="9"/>
    </row>
    <row r="1412" spans="2:2" s="2" customFormat="1" x14ac:dyDescent="0.25">
      <c r="B1412" s="9"/>
    </row>
    <row r="1413" spans="2:2" s="2" customFormat="1" x14ac:dyDescent="0.25">
      <c r="B1413" s="9"/>
    </row>
    <row r="1414" spans="2:2" s="2" customFormat="1" x14ac:dyDescent="0.25">
      <c r="B1414" s="9"/>
    </row>
    <row r="1415" spans="2:2" s="2" customFormat="1" x14ac:dyDescent="0.25">
      <c r="B1415" s="9"/>
    </row>
    <row r="1416" spans="2:2" s="2" customFormat="1" x14ac:dyDescent="0.25">
      <c r="B1416" s="9"/>
    </row>
    <row r="1417" spans="2:2" s="2" customFormat="1" x14ac:dyDescent="0.25">
      <c r="B1417" s="9"/>
    </row>
    <row r="1418" spans="2:2" s="2" customFormat="1" x14ac:dyDescent="0.25">
      <c r="B1418" s="9"/>
    </row>
    <row r="1419" spans="2:2" s="2" customFormat="1" x14ac:dyDescent="0.25">
      <c r="B1419" s="9"/>
    </row>
    <row r="1420" spans="2:2" s="2" customFormat="1" x14ac:dyDescent="0.25">
      <c r="B1420" s="9"/>
    </row>
    <row r="1421" spans="2:2" s="2" customFormat="1" x14ac:dyDescent="0.25">
      <c r="B1421" s="9"/>
    </row>
    <row r="1422" spans="2:2" s="2" customFormat="1" x14ac:dyDescent="0.25">
      <c r="B1422" s="9"/>
    </row>
    <row r="1423" spans="2:2" s="2" customFormat="1" x14ac:dyDescent="0.25">
      <c r="B1423" s="9"/>
    </row>
    <row r="1424" spans="2:2" s="2" customFormat="1" x14ac:dyDescent="0.25">
      <c r="B1424" s="9"/>
    </row>
    <row r="1425" spans="2:2" s="2" customFormat="1" x14ac:dyDescent="0.25">
      <c r="B1425" s="9"/>
    </row>
    <row r="1426" spans="2:2" s="2" customFormat="1" x14ac:dyDescent="0.25">
      <c r="B1426" s="9"/>
    </row>
    <row r="1427" spans="2:2" s="2" customFormat="1" x14ac:dyDescent="0.25">
      <c r="B1427" s="9"/>
    </row>
    <row r="1428" spans="2:2" s="2" customFormat="1" x14ac:dyDescent="0.25">
      <c r="B1428" s="9"/>
    </row>
    <row r="1429" spans="2:2" s="2" customFormat="1" x14ac:dyDescent="0.25">
      <c r="B1429" s="9"/>
    </row>
    <row r="1430" spans="2:2" s="2" customFormat="1" x14ac:dyDescent="0.25">
      <c r="B1430" s="9"/>
    </row>
    <row r="1431" spans="2:2" s="2" customFormat="1" x14ac:dyDescent="0.25">
      <c r="B1431" s="9"/>
    </row>
    <row r="1432" spans="2:2" s="2" customFormat="1" x14ac:dyDescent="0.25">
      <c r="B1432" s="9"/>
    </row>
    <row r="1433" spans="2:2" s="2" customFormat="1" x14ac:dyDescent="0.25">
      <c r="B1433" s="9"/>
    </row>
    <row r="1434" spans="2:2" s="2" customFormat="1" x14ac:dyDescent="0.25">
      <c r="B1434" s="9"/>
    </row>
    <row r="1435" spans="2:2" s="2" customFormat="1" x14ac:dyDescent="0.25">
      <c r="B1435" s="9"/>
    </row>
    <row r="1436" spans="2:2" s="2" customFormat="1" x14ac:dyDescent="0.25">
      <c r="B1436" s="9"/>
    </row>
    <row r="1437" spans="2:2" s="2" customFormat="1" x14ac:dyDescent="0.25">
      <c r="B1437" s="9"/>
    </row>
    <row r="1438" spans="2:2" s="2" customFormat="1" x14ac:dyDescent="0.25">
      <c r="B1438" s="9"/>
    </row>
    <row r="1439" spans="2:2" s="2" customFormat="1" x14ac:dyDescent="0.25">
      <c r="B1439" s="9"/>
    </row>
    <row r="1440" spans="2:2" s="2" customFormat="1" x14ac:dyDescent="0.25">
      <c r="B1440" s="9"/>
    </row>
    <row r="1441" spans="2:2" s="2" customFormat="1" x14ac:dyDescent="0.25">
      <c r="B1441" s="9"/>
    </row>
    <row r="1442" spans="2:2" s="2" customFormat="1" x14ac:dyDescent="0.25">
      <c r="B1442" s="9"/>
    </row>
    <row r="1443" spans="2:2" s="2" customFormat="1" x14ac:dyDescent="0.25">
      <c r="B1443" s="9"/>
    </row>
    <row r="1444" spans="2:2" s="2" customFormat="1" x14ac:dyDescent="0.25">
      <c r="B1444" s="9"/>
    </row>
    <row r="1445" spans="2:2" s="2" customFormat="1" x14ac:dyDescent="0.25">
      <c r="B1445" s="9"/>
    </row>
    <row r="1446" spans="2:2" s="2" customFormat="1" x14ac:dyDescent="0.25">
      <c r="B1446" s="9"/>
    </row>
    <row r="1447" spans="2:2" s="2" customFormat="1" x14ac:dyDescent="0.25">
      <c r="B1447" s="9"/>
    </row>
    <row r="1448" spans="2:2" s="2" customFormat="1" x14ac:dyDescent="0.25">
      <c r="B1448" s="9"/>
    </row>
    <row r="1449" spans="2:2" s="2" customFormat="1" x14ac:dyDescent="0.25">
      <c r="B1449" s="9"/>
    </row>
    <row r="1450" spans="2:2" s="2" customFormat="1" x14ac:dyDescent="0.25">
      <c r="B1450" s="9"/>
    </row>
    <row r="1451" spans="2:2" s="2" customFormat="1" x14ac:dyDescent="0.25">
      <c r="B1451" s="9"/>
    </row>
    <row r="1452" spans="2:2" s="2" customFormat="1" x14ac:dyDescent="0.25">
      <c r="B1452" s="9"/>
    </row>
    <row r="1453" spans="2:2" s="2" customFormat="1" x14ac:dyDescent="0.25">
      <c r="B1453" s="9"/>
    </row>
    <row r="1454" spans="2:2" s="2" customFormat="1" x14ac:dyDescent="0.25">
      <c r="B1454" s="9"/>
    </row>
    <row r="1455" spans="2:2" s="2" customFormat="1" x14ac:dyDescent="0.25">
      <c r="B1455" s="9"/>
    </row>
    <row r="1456" spans="2:2" s="2" customFormat="1" x14ac:dyDescent="0.25">
      <c r="B1456" s="9"/>
    </row>
    <row r="1457" spans="2:2" s="2" customFormat="1" x14ac:dyDescent="0.25">
      <c r="B1457" s="9"/>
    </row>
    <row r="1458" spans="2:2" s="2" customFormat="1" x14ac:dyDescent="0.25">
      <c r="B1458" s="9"/>
    </row>
    <row r="1459" spans="2:2" s="2" customFormat="1" x14ac:dyDescent="0.25">
      <c r="B1459" s="9"/>
    </row>
    <row r="1460" spans="2:2" s="2" customFormat="1" x14ac:dyDescent="0.25">
      <c r="B1460" s="9"/>
    </row>
    <row r="1461" spans="2:2" s="2" customFormat="1" x14ac:dyDescent="0.25">
      <c r="B1461" s="9"/>
    </row>
    <row r="1462" spans="2:2" s="2" customFormat="1" x14ac:dyDescent="0.25">
      <c r="B1462" s="9"/>
    </row>
    <row r="1463" spans="2:2" s="2" customFormat="1" x14ac:dyDescent="0.25">
      <c r="B1463" s="9"/>
    </row>
    <row r="1464" spans="2:2" s="2" customFormat="1" x14ac:dyDescent="0.25">
      <c r="B1464" s="9"/>
    </row>
    <row r="1465" spans="2:2" s="2" customFormat="1" x14ac:dyDescent="0.25">
      <c r="B1465" s="9"/>
    </row>
    <row r="1466" spans="2:2" s="2" customFormat="1" x14ac:dyDescent="0.25">
      <c r="B1466" s="9"/>
    </row>
    <row r="1467" spans="2:2" s="2" customFormat="1" x14ac:dyDescent="0.25">
      <c r="B1467" s="9"/>
    </row>
    <row r="1468" spans="2:2" s="2" customFormat="1" x14ac:dyDescent="0.25">
      <c r="B1468" s="9"/>
    </row>
    <row r="1469" spans="2:2" s="2" customFormat="1" x14ac:dyDescent="0.25">
      <c r="B1469" s="9"/>
    </row>
    <row r="1470" spans="2:2" s="2" customFormat="1" x14ac:dyDescent="0.25">
      <c r="B1470" s="9"/>
    </row>
    <row r="1471" spans="2:2" s="2" customFormat="1" x14ac:dyDescent="0.25">
      <c r="B1471" s="9"/>
    </row>
    <row r="1472" spans="2:2" s="2" customFormat="1" x14ac:dyDescent="0.25">
      <c r="B1472" s="9"/>
    </row>
    <row r="1473" spans="2:2" s="2" customFormat="1" x14ac:dyDescent="0.25">
      <c r="B1473" s="9"/>
    </row>
    <row r="1474" spans="2:2" s="2" customFormat="1" x14ac:dyDescent="0.25">
      <c r="B1474" s="9"/>
    </row>
    <row r="1475" spans="2:2" s="2" customFormat="1" x14ac:dyDescent="0.25">
      <c r="B1475" s="9"/>
    </row>
    <row r="1476" spans="2:2" s="2" customFormat="1" x14ac:dyDescent="0.25">
      <c r="B1476" s="9"/>
    </row>
    <row r="1477" spans="2:2" s="2" customFormat="1" x14ac:dyDescent="0.25">
      <c r="B1477" s="9"/>
    </row>
    <row r="1478" spans="2:2" s="2" customFormat="1" x14ac:dyDescent="0.25">
      <c r="B1478" s="9"/>
    </row>
    <row r="1479" spans="2:2" s="2" customFormat="1" x14ac:dyDescent="0.25">
      <c r="B1479" s="9"/>
    </row>
    <row r="1480" spans="2:2" s="2" customFormat="1" x14ac:dyDescent="0.25">
      <c r="B1480" s="9"/>
    </row>
    <row r="1481" spans="2:2" s="2" customFormat="1" x14ac:dyDescent="0.25">
      <c r="B1481" s="9"/>
    </row>
    <row r="1482" spans="2:2" s="2" customFormat="1" x14ac:dyDescent="0.25">
      <c r="B1482" s="9"/>
    </row>
    <row r="1483" spans="2:2" s="2" customFormat="1" x14ac:dyDescent="0.25">
      <c r="B1483" s="9"/>
    </row>
    <row r="1484" spans="2:2" s="2" customFormat="1" x14ac:dyDescent="0.25">
      <c r="B1484" s="9"/>
    </row>
    <row r="1485" spans="2:2" s="2" customFormat="1" x14ac:dyDescent="0.25">
      <c r="B1485" s="9"/>
    </row>
    <row r="1486" spans="2:2" s="2" customFormat="1" x14ac:dyDescent="0.25">
      <c r="B1486" s="9"/>
    </row>
    <row r="1487" spans="2:2" s="2" customFormat="1" x14ac:dyDescent="0.25">
      <c r="B1487" s="9"/>
    </row>
    <row r="1488" spans="2:2" s="2" customFormat="1" x14ac:dyDescent="0.25">
      <c r="B1488" s="9"/>
    </row>
    <row r="1489" spans="2:2" s="2" customFormat="1" x14ac:dyDescent="0.25">
      <c r="B1489" s="9"/>
    </row>
    <row r="1490" spans="2:2" s="2" customFormat="1" x14ac:dyDescent="0.25">
      <c r="B1490" s="9"/>
    </row>
    <row r="1491" spans="2:2" s="2" customFormat="1" x14ac:dyDescent="0.25">
      <c r="B1491" s="9"/>
    </row>
    <row r="1492" spans="2:2" s="2" customFormat="1" x14ac:dyDescent="0.25">
      <c r="B1492" s="9"/>
    </row>
    <row r="1493" spans="2:2" s="2" customFormat="1" x14ac:dyDescent="0.25">
      <c r="B1493" s="9"/>
    </row>
    <row r="1494" spans="2:2" s="2" customFormat="1" x14ac:dyDescent="0.25">
      <c r="B1494" s="9"/>
    </row>
    <row r="1495" spans="2:2" s="2" customFormat="1" x14ac:dyDescent="0.25">
      <c r="B1495" s="9"/>
    </row>
    <row r="1496" spans="2:2" s="2" customFormat="1" x14ac:dyDescent="0.25">
      <c r="B1496" s="9"/>
    </row>
    <row r="1497" spans="2:2" s="2" customFormat="1" x14ac:dyDescent="0.25">
      <c r="B1497" s="9"/>
    </row>
    <row r="1498" spans="2:2" s="2" customFormat="1" x14ac:dyDescent="0.25">
      <c r="B1498" s="9"/>
    </row>
    <row r="1499" spans="2:2" s="2" customFormat="1" x14ac:dyDescent="0.25">
      <c r="B1499" s="9"/>
    </row>
    <row r="1500" spans="2:2" s="2" customFormat="1" x14ac:dyDescent="0.25">
      <c r="B1500" s="9"/>
    </row>
    <row r="1501" spans="2:2" s="2" customFormat="1" x14ac:dyDescent="0.25">
      <c r="B1501" s="9"/>
    </row>
    <row r="1502" spans="2:2" s="2" customFormat="1" x14ac:dyDescent="0.25">
      <c r="B1502" s="9"/>
    </row>
    <row r="1503" spans="2:2" s="2" customFormat="1" x14ac:dyDescent="0.25">
      <c r="B1503" s="9"/>
    </row>
    <row r="1504" spans="2:2" s="2" customFormat="1" x14ac:dyDescent="0.25">
      <c r="B1504" s="9"/>
    </row>
    <row r="1505" spans="2:2" s="2" customFormat="1" x14ac:dyDescent="0.25">
      <c r="B1505" s="9"/>
    </row>
    <row r="1506" spans="2:2" s="2" customFormat="1" x14ac:dyDescent="0.25">
      <c r="B1506" s="9"/>
    </row>
    <row r="1507" spans="2:2" s="2" customFormat="1" x14ac:dyDescent="0.25">
      <c r="B1507" s="9"/>
    </row>
    <row r="1508" spans="2:2" s="2" customFormat="1" x14ac:dyDescent="0.25">
      <c r="B1508" s="9"/>
    </row>
    <row r="1509" spans="2:2" s="2" customFormat="1" x14ac:dyDescent="0.25">
      <c r="B1509" s="9"/>
    </row>
    <row r="1510" spans="2:2" s="2" customFormat="1" x14ac:dyDescent="0.25">
      <c r="B1510" s="9"/>
    </row>
    <row r="1511" spans="2:2" s="2" customFormat="1" x14ac:dyDescent="0.25">
      <c r="B1511" s="9"/>
    </row>
    <row r="1512" spans="2:2" s="2" customFormat="1" x14ac:dyDescent="0.25">
      <c r="B1512" s="9"/>
    </row>
    <row r="1513" spans="2:2" s="2" customFormat="1" x14ac:dyDescent="0.25">
      <c r="B1513" s="9"/>
    </row>
    <row r="1514" spans="2:2" s="2" customFormat="1" x14ac:dyDescent="0.25">
      <c r="B1514" s="9"/>
    </row>
    <row r="1515" spans="2:2" s="2" customFormat="1" x14ac:dyDescent="0.25">
      <c r="B1515" s="9"/>
    </row>
    <row r="1516" spans="2:2" s="2" customFormat="1" x14ac:dyDescent="0.25">
      <c r="B1516" s="9"/>
    </row>
    <row r="1517" spans="2:2" s="2" customFormat="1" x14ac:dyDescent="0.25">
      <c r="B1517" s="9"/>
    </row>
    <row r="1518" spans="2:2" s="2" customFormat="1" x14ac:dyDescent="0.25">
      <c r="B1518" s="9"/>
    </row>
    <row r="1519" spans="2:2" s="2" customFormat="1" x14ac:dyDescent="0.25">
      <c r="B1519" s="9"/>
    </row>
    <row r="1520" spans="2:2" s="2" customFormat="1" x14ac:dyDescent="0.25">
      <c r="B1520" s="9"/>
    </row>
    <row r="1521" spans="2:2" s="2" customFormat="1" x14ac:dyDescent="0.25">
      <c r="B1521" s="9"/>
    </row>
    <row r="1522" spans="2:2" s="2" customFormat="1" x14ac:dyDescent="0.25">
      <c r="B1522" s="9"/>
    </row>
    <row r="1523" spans="2:2" s="2" customFormat="1" x14ac:dyDescent="0.25">
      <c r="B1523" s="9"/>
    </row>
    <row r="1524" spans="2:2" s="2" customFormat="1" x14ac:dyDescent="0.25">
      <c r="B1524" s="9"/>
    </row>
    <row r="1525" spans="2:2" s="2" customFormat="1" x14ac:dyDescent="0.25">
      <c r="B1525" s="9"/>
    </row>
    <row r="1526" spans="2:2" s="2" customFormat="1" x14ac:dyDescent="0.25">
      <c r="B1526" s="9"/>
    </row>
    <row r="1527" spans="2:2" s="2" customFormat="1" x14ac:dyDescent="0.25">
      <c r="B1527" s="9"/>
    </row>
    <row r="1528" spans="2:2" s="2" customFormat="1" x14ac:dyDescent="0.25">
      <c r="B1528" s="9"/>
    </row>
    <row r="1529" spans="2:2" s="2" customFormat="1" x14ac:dyDescent="0.25">
      <c r="B1529" s="9"/>
    </row>
    <row r="1530" spans="2:2" s="2" customFormat="1" x14ac:dyDescent="0.25">
      <c r="B1530" s="9"/>
    </row>
    <row r="1531" spans="2:2" s="2" customFormat="1" x14ac:dyDescent="0.25">
      <c r="B1531" s="9"/>
    </row>
    <row r="1532" spans="2:2" s="2" customFormat="1" x14ac:dyDescent="0.25">
      <c r="B1532" s="9"/>
    </row>
    <row r="1533" spans="2:2" s="2" customFormat="1" x14ac:dyDescent="0.25">
      <c r="B1533" s="9"/>
    </row>
    <row r="1534" spans="2:2" s="2" customFormat="1" x14ac:dyDescent="0.25">
      <c r="B1534" s="9"/>
    </row>
    <row r="1535" spans="2:2" s="2" customFormat="1" x14ac:dyDescent="0.25">
      <c r="B1535" s="9"/>
    </row>
    <row r="1536" spans="2:2" s="2" customFormat="1" x14ac:dyDescent="0.25">
      <c r="B1536" s="9"/>
    </row>
    <row r="1537" spans="2:2" s="2" customFormat="1" x14ac:dyDescent="0.25">
      <c r="B1537" s="9"/>
    </row>
    <row r="1538" spans="2:2" s="2" customFormat="1" x14ac:dyDescent="0.25">
      <c r="B1538" s="9"/>
    </row>
    <row r="1539" spans="2:2" s="2" customFormat="1" x14ac:dyDescent="0.25">
      <c r="B1539" s="9"/>
    </row>
    <row r="1540" spans="2:2" s="2" customFormat="1" x14ac:dyDescent="0.25">
      <c r="B1540" s="9"/>
    </row>
    <row r="1541" spans="2:2" s="2" customFormat="1" x14ac:dyDescent="0.25">
      <c r="B1541" s="9"/>
    </row>
    <row r="1542" spans="2:2" s="2" customFormat="1" x14ac:dyDescent="0.25">
      <c r="B1542" s="9"/>
    </row>
    <row r="1543" spans="2:2" s="2" customFormat="1" x14ac:dyDescent="0.25">
      <c r="B1543" s="9"/>
    </row>
    <row r="1544" spans="2:2" s="2" customFormat="1" x14ac:dyDescent="0.25">
      <c r="B1544" s="9"/>
    </row>
    <row r="1545" spans="2:2" s="2" customFormat="1" x14ac:dyDescent="0.25">
      <c r="B1545" s="9"/>
    </row>
    <row r="1546" spans="2:2" s="2" customFormat="1" x14ac:dyDescent="0.25">
      <c r="B1546" s="9"/>
    </row>
    <row r="1547" spans="2:2" s="2" customFormat="1" x14ac:dyDescent="0.25">
      <c r="B1547" s="9"/>
    </row>
    <row r="1548" spans="2:2" s="2" customFormat="1" x14ac:dyDescent="0.25">
      <c r="B1548" s="9"/>
    </row>
    <row r="1549" spans="2:2" s="2" customFormat="1" x14ac:dyDescent="0.25">
      <c r="B1549" s="9"/>
    </row>
    <row r="1550" spans="2:2" s="2" customFormat="1" x14ac:dyDescent="0.25">
      <c r="B1550" s="9"/>
    </row>
    <row r="1551" spans="2:2" s="2" customFormat="1" x14ac:dyDescent="0.25">
      <c r="B1551" s="9"/>
    </row>
    <row r="1552" spans="2:2" s="2" customFormat="1" x14ac:dyDescent="0.25">
      <c r="B1552" s="9"/>
    </row>
    <row r="1553" spans="2:2" s="2" customFormat="1" x14ac:dyDescent="0.25">
      <c r="B1553" s="9"/>
    </row>
    <row r="1554" spans="2:2" s="2" customFormat="1" x14ac:dyDescent="0.25">
      <c r="B1554" s="9"/>
    </row>
    <row r="1555" spans="2:2" s="2" customFormat="1" x14ac:dyDescent="0.25">
      <c r="B1555" s="9"/>
    </row>
    <row r="1556" spans="2:2" s="2" customFormat="1" x14ac:dyDescent="0.25">
      <c r="B1556" s="9"/>
    </row>
    <row r="1557" spans="2:2" s="2" customFormat="1" x14ac:dyDescent="0.25">
      <c r="B1557" s="9"/>
    </row>
    <row r="1558" spans="2:2" s="2" customFormat="1" x14ac:dyDescent="0.25">
      <c r="B1558" s="9"/>
    </row>
    <row r="1559" spans="2:2" s="2" customFormat="1" x14ac:dyDescent="0.25">
      <c r="B1559" s="9"/>
    </row>
    <row r="1560" spans="2:2" s="2" customFormat="1" x14ac:dyDescent="0.25">
      <c r="B1560" s="9"/>
    </row>
    <row r="1561" spans="2:2" s="2" customFormat="1" x14ac:dyDescent="0.25">
      <c r="B1561" s="9"/>
    </row>
    <row r="1562" spans="2:2" s="2" customFormat="1" x14ac:dyDescent="0.25">
      <c r="B1562" s="9"/>
    </row>
    <row r="1563" spans="2:2" s="2" customFormat="1" x14ac:dyDescent="0.25">
      <c r="B1563" s="9"/>
    </row>
    <row r="1564" spans="2:2" s="2" customFormat="1" x14ac:dyDescent="0.25">
      <c r="B1564" s="9"/>
    </row>
    <row r="1565" spans="2:2" s="2" customFormat="1" x14ac:dyDescent="0.25">
      <c r="B1565" s="9"/>
    </row>
    <row r="1566" spans="2:2" s="2" customFormat="1" x14ac:dyDescent="0.25">
      <c r="B1566" s="9"/>
    </row>
    <row r="1567" spans="2:2" s="2" customFormat="1" x14ac:dyDescent="0.25">
      <c r="B1567" s="9"/>
    </row>
    <row r="1568" spans="2:2" s="2" customFormat="1" x14ac:dyDescent="0.25">
      <c r="B1568" s="9"/>
    </row>
    <row r="1569" spans="2:2" s="2" customFormat="1" x14ac:dyDescent="0.25">
      <c r="B1569" s="9"/>
    </row>
    <row r="1570" spans="2:2" s="2" customFormat="1" x14ac:dyDescent="0.25">
      <c r="B1570" s="9"/>
    </row>
    <row r="1571" spans="2:2" s="2" customFormat="1" x14ac:dyDescent="0.25">
      <c r="B1571" s="9"/>
    </row>
    <row r="1572" spans="2:2" s="2" customFormat="1" x14ac:dyDescent="0.25">
      <c r="B1572" s="9"/>
    </row>
    <row r="1573" spans="2:2" s="2" customFormat="1" x14ac:dyDescent="0.25">
      <c r="B1573" s="9"/>
    </row>
    <row r="1574" spans="2:2" s="2" customFormat="1" x14ac:dyDescent="0.25">
      <c r="B1574" s="9"/>
    </row>
    <row r="1575" spans="2:2" s="2" customFormat="1" x14ac:dyDescent="0.25">
      <c r="B1575" s="9"/>
    </row>
    <row r="1576" spans="2:2" s="2" customFormat="1" x14ac:dyDescent="0.25">
      <c r="B1576" s="9"/>
    </row>
    <row r="1577" spans="2:2" s="2" customFormat="1" x14ac:dyDescent="0.25">
      <c r="B1577" s="9"/>
    </row>
    <row r="1578" spans="2:2" s="2" customFormat="1" x14ac:dyDescent="0.25">
      <c r="B1578" s="9"/>
    </row>
    <row r="1579" spans="2:2" s="2" customFormat="1" x14ac:dyDescent="0.25">
      <c r="B1579" s="9"/>
    </row>
    <row r="1580" spans="2:2" s="2" customFormat="1" x14ac:dyDescent="0.25">
      <c r="B1580" s="9"/>
    </row>
    <row r="1581" spans="2:2" s="2" customFormat="1" x14ac:dyDescent="0.25">
      <c r="B1581" s="9"/>
    </row>
    <row r="1582" spans="2:2" s="2" customFormat="1" x14ac:dyDescent="0.25">
      <c r="B1582" s="9"/>
    </row>
    <row r="1583" spans="2:2" s="2" customFormat="1" x14ac:dyDescent="0.25">
      <c r="B1583" s="9"/>
    </row>
    <row r="1584" spans="2:2" s="2" customFormat="1" x14ac:dyDescent="0.25">
      <c r="B1584" s="9"/>
    </row>
    <row r="1585" spans="2:2" s="2" customFormat="1" x14ac:dyDescent="0.25">
      <c r="B1585" s="9"/>
    </row>
    <row r="1586" spans="2:2" s="2" customFormat="1" x14ac:dyDescent="0.25">
      <c r="B1586" s="9"/>
    </row>
    <row r="1587" spans="2:2" s="2" customFormat="1" x14ac:dyDescent="0.25">
      <c r="B1587" s="9"/>
    </row>
    <row r="1588" spans="2:2" s="2" customFormat="1" x14ac:dyDescent="0.25">
      <c r="B1588" s="9"/>
    </row>
    <row r="1589" spans="2:2" s="2" customFormat="1" x14ac:dyDescent="0.25">
      <c r="B1589" s="9"/>
    </row>
    <row r="1590" spans="2:2" s="2" customFormat="1" x14ac:dyDescent="0.25">
      <c r="B1590" s="9"/>
    </row>
    <row r="1591" spans="2:2" s="2" customFormat="1" x14ac:dyDescent="0.25">
      <c r="B1591" s="9"/>
    </row>
    <row r="1592" spans="2:2" s="2" customFormat="1" x14ac:dyDescent="0.25">
      <c r="B1592" s="9"/>
    </row>
    <row r="1593" spans="2:2" s="2" customFormat="1" x14ac:dyDescent="0.25">
      <c r="B1593" s="9"/>
    </row>
    <row r="1594" spans="2:2" s="2" customFormat="1" x14ac:dyDescent="0.25">
      <c r="B1594" s="9"/>
    </row>
    <row r="1595" spans="2:2" s="2" customFormat="1" x14ac:dyDescent="0.25">
      <c r="B1595" s="9"/>
    </row>
    <row r="1596" spans="2:2" s="2" customFormat="1" x14ac:dyDescent="0.25">
      <c r="B1596" s="9"/>
    </row>
    <row r="1597" spans="2:2" s="2" customFormat="1" x14ac:dyDescent="0.25">
      <c r="B1597" s="9"/>
    </row>
    <row r="1598" spans="2:2" s="2" customFormat="1" x14ac:dyDescent="0.25">
      <c r="B1598" s="9"/>
    </row>
    <row r="1599" spans="2:2" s="2" customFormat="1" x14ac:dyDescent="0.25">
      <c r="B1599" s="9"/>
    </row>
    <row r="1600" spans="2:2" s="2" customFormat="1" x14ac:dyDescent="0.25">
      <c r="B1600" s="9"/>
    </row>
    <row r="1601" spans="2:2" s="2" customFormat="1" x14ac:dyDescent="0.25">
      <c r="B1601" s="9"/>
    </row>
    <row r="1602" spans="2:2" s="2" customFormat="1" x14ac:dyDescent="0.25">
      <c r="B1602" s="9"/>
    </row>
    <row r="1603" spans="2:2" s="2" customFormat="1" x14ac:dyDescent="0.25">
      <c r="B1603" s="9"/>
    </row>
    <row r="1604" spans="2:2" s="2" customFormat="1" x14ac:dyDescent="0.25">
      <c r="B1604" s="9"/>
    </row>
    <row r="1605" spans="2:2" s="2" customFormat="1" x14ac:dyDescent="0.25">
      <c r="B1605" s="9"/>
    </row>
    <row r="1606" spans="2:2" s="2" customFormat="1" x14ac:dyDescent="0.25">
      <c r="B1606" s="9"/>
    </row>
    <row r="1607" spans="2:2" s="2" customFormat="1" x14ac:dyDescent="0.25">
      <c r="B1607" s="9"/>
    </row>
    <row r="1608" spans="2:2" s="2" customFormat="1" x14ac:dyDescent="0.25">
      <c r="B1608" s="9"/>
    </row>
    <row r="1609" spans="2:2" s="2" customFormat="1" x14ac:dyDescent="0.25">
      <c r="B1609" s="9"/>
    </row>
    <row r="1610" spans="2:2" s="2" customFormat="1" x14ac:dyDescent="0.25">
      <c r="B1610" s="9"/>
    </row>
    <row r="1611" spans="2:2" s="2" customFormat="1" x14ac:dyDescent="0.25">
      <c r="B1611" s="9"/>
    </row>
    <row r="1612" spans="2:2" s="2" customFormat="1" x14ac:dyDescent="0.25">
      <c r="B1612" s="9"/>
    </row>
    <row r="1613" spans="2:2" s="2" customFormat="1" x14ac:dyDescent="0.25">
      <c r="B1613" s="9"/>
    </row>
    <row r="1614" spans="2:2" s="2" customFormat="1" x14ac:dyDescent="0.25">
      <c r="B1614" s="9"/>
    </row>
    <row r="1615" spans="2:2" s="2" customFormat="1" x14ac:dyDescent="0.25">
      <c r="B1615" s="9"/>
    </row>
    <row r="1616" spans="2:2" s="2" customFormat="1" x14ac:dyDescent="0.25">
      <c r="B1616" s="9"/>
    </row>
    <row r="1617" spans="2:2" s="2" customFormat="1" x14ac:dyDescent="0.25">
      <c r="B1617" s="9"/>
    </row>
    <row r="1618" spans="2:2" s="2" customFormat="1" x14ac:dyDescent="0.25">
      <c r="B1618" s="9"/>
    </row>
    <row r="1619" spans="2:2" s="2" customFormat="1" x14ac:dyDescent="0.25">
      <c r="B1619" s="9"/>
    </row>
    <row r="1620" spans="2:2" s="2" customFormat="1" x14ac:dyDescent="0.25">
      <c r="B1620" s="9"/>
    </row>
    <row r="1621" spans="2:2" s="2" customFormat="1" x14ac:dyDescent="0.25">
      <c r="B1621" s="9"/>
    </row>
    <row r="1622" spans="2:2" s="2" customFormat="1" x14ac:dyDescent="0.25">
      <c r="B1622" s="9"/>
    </row>
    <row r="1623" spans="2:2" s="2" customFormat="1" x14ac:dyDescent="0.25">
      <c r="B1623" s="9"/>
    </row>
    <row r="1624" spans="2:2" s="2" customFormat="1" x14ac:dyDescent="0.25">
      <c r="B1624" s="9"/>
    </row>
    <row r="1625" spans="2:2" s="2" customFormat="1" x14ac:dyDescent="0.25">
      <c r="B1625" s="9"/>
    </row>
    <row r="1626" spans="2:2" s="2" customFormat="1" x14ac:dyDescent="0.25">
      <c r="B1626" s="9"/>
    </row>
    <row r="1627" spans="2:2" s="2" customFormat="1" x14ac:dyDescent="0.25">
      <c r="B1627" s="9"/>
    </row>
    <row r="1628" spans="2:2" s="2" customFormat="1" x14ac:dyDescent="0.25">
      <c r="B1628" s="9"/>
    </row>
    <row r="1629" spans="2:2" s="2" customFormat="1" x14ac:dyDescent="0.25">
      <c r="B1629" s="9"/>
    </row>
    <row r="1630" spans="2:2" s="2" customFormat="1" x14ac:dyDescent="0.25">
      <c r="B1630" s="9"/>
    </row>
    <row r="1631" spans="2:2" s="2" customFormat="1" x14ac:dyDescent="0.25">
      <c r="B1631" s="9"/>
    </row>
    <row r="1632" spans="2:2" s="2" customFormat="1" x14ac:dyDescent="0.25">
      <c r="B1632" s="9"/>
    </row>
    <row r="1633" spans="2:2" s="2" customFormat="1" x14ac:dyDescent="0.25">
      <c r="B1633" s="9"/>
    </row>
    <row r="1634" spans="2:2" s="2" customFormat="1" x14ac:dyDescent="0.25">
      <c r="B1634" s="9"/>
    </row>
    <row r="1635" spans="2:2" s="2" customFormat="1" x14ac:dyDescent="0.25">
      <c r="B1635" s="9"/>
    </row>
    <row r="1636" spans="2:2" s="2" customFormat="1" x14ac:dyDescent="0.25">
      <c r="B1636" s="9"/>
    </row>
    <row r="1637" spans="2:2" s="2" customFormat="1" x14ac:dyDescent="0.25">
      <c r="B1637" s="9"/>
    </row>
    <row r="1638" spans="2:2" s="2" customFormat="1" x14ac:dyDescent="0.25">
      <c r="B1638" s="9"/>
    </row>
    <row r="1639" spans="2:2" s="2" customFormat="1" x14ac:dyDescent="0.25">
      <c r="B1639" s="9"/>
    </row>
    <row r="1640" spans="2:2" s="2" customFormat="1" x14ac:dyDescent="0.25">
      <c r="B1640" s="9"/>
    </row>
    <row r="1641" spans="2:2" s="2" customFormat="1" x14ac:dyDescent="0.25">
      <c r="B1641" s="9"/>
    </row>
    <row r="1642" spans="2:2" s="2" customFormat="1" x14ac:dyDescent="0.25">
      <c r="B1642" s="9"/>
    </row>
    <row r="1643" spans="2:2" s="2" customFormat="1" x14ac:dyDescent="0.25">
      <c r="B1643" s="9"/>
    </row>
    <row r="1644" spans="2:2" s="2" customFormat="1" x14ac:dyDescent="0.25">
      <c r="B1644" s="9"/>
    </row>
    <row r="1645" spans="2:2" s="2" customFormat="1" x14ac:dyDescent="0.25">
      <c r="B1645" s="9"/>
    </row>
    <row r="1646" spans="2:2" s="2" customFormat="1" x14ac:dyDescent="0.25">
      <c r="B1646" s="9"/>
    </row>
    <row r="1647" spans="2:2" s="2" customFormat="1" x14ac:dyDescent="0.25">
      <c r="B1647" s="9"/>
    </row>
    <row r="1648" spans="2:2" s="2" customFormat="1" x14ac:dyDescent="0.25">
      <c r="B1648" s="9"/>
    </row>
    <row r="1649" spans="2:2" s="2" customFormat="1" x14ac:dyDescent="0.25">
      <c r="B1649" s="9"/>
    </row>
    <row r="1650" spans="2:2" s="2" customFormat="1" x14ac:dyDescent="0.25">
      <c r="B1650" s="9"/>
    </row>
    <row r="1651" spans="2:2" s="2" customFormat="1" x14ac:dyDescent="0.25">
      <c r="B1651" s="9"/>
    </row>
    <row r="1652" spans="2:2" s="2" customFormat="1" x14ac:dyDescent="0.25">
      <c r="B1652" s="9"/>
    </row>
    <row r="1653" spans="2:2" s="2" customFormat="1" x14ac:dyDescent="0.25">
      <c r="B1653" s="9"/>
    </row>
    <row r="1654" spans="2:2" s="2" customFormat="1" x14ac:dyDescent="0.25">
      <c r="B1654" s="9"/>
    </row>
    <row r="1655" spans="2:2" s="2" customFormat="1" x14ac:dyDescent="0.25">
      <c r="B1655" s="9"/>
    </row>
    <row r="1656" spans="2:2" s="2" customFormat="1" x14ac:dyDescent="0.25">
      <c r="B1656" s="9"/>
    </row>
    <row r="1657" spans="2:2" s="2" customFormat="1" x14ac:dyDescent="0.25">
      <c r="B1657" s="9"/>
    </row>
    <row r="1658" spans="2:2" s="2" customFormat="1" x14ac:dyDescent="0.25">
      <c r="B1658" s="9"/>
    </row>
    <row r="1659" spans="2:2" s="2" customFormat="1" x14ac:dyDescent="0.25">
      <c r="B1659" s="9"/>
    </row>
    <row r="1660" spans="2:2" s="2" customFormat="1" x14ac:dyDescent="0.25">
      <c r="B1660" s="9"/>
    </row>
    <row r="1661" spans="2:2" s="2" customFormat="1" x14ac:dyDescent="0.25">
      <c r="B1661" s="9"/>
    </row>
    <row r="1662" spans="2:2" s="2" customFormat="1" x14ac:dyDescent="0.25">
      <c r="B1662" s="9"/>
    </row>
    <row r="1663" spans="2:2" s="2" customFormat="1" x14ac:dyDescent="0.25">
      <c r="B1663" s="9"/>
    </row>
    <row r="1664" spans="2:2" s="2" customFormat="1" x14ac:dyDescent="0.25">
      <c r="B1664" s="9"/>
    </row>
    <row r="1665" spans="2:2" s="2" customFormat="1" x14ac:dyDescent="0.25">
      <c r="B1665" s="9"/>
    </row>
    <row r="1666" spans="2:2" s="2" customFormat="1" x14ac:dyDescent="0.25">
      <c r="B1666" s="9"/>
    </row>
    <row r="1667" spans="2:2" s="2" customFormat="1" x14ac:dyDescent="0.25">
      <c r="B1667" s="9"/>
    </row>
    <row r="1668" spans="2:2" s="2" customFormat="1" x14ac:dyDescent="0.25">
      <c r="B1668" s="9"/>
    </row>
    <row r="1669" spans="2:2" s="2" customFormat="1" x14ac:dyDescent="0.25">
      <c r="B1669" s="9"/>
    </row>
    <row r="1670" spans="2:2" s="2" customFormat="1" x14ac:dyDescent="0.25">
      <c r="B1670" s="9"/>
    </row>
    <row r="1671" spans="2:2" s="2" customFormat="1" x14ac:dyDescent="0.25">
      <c r="B1671" s="9"/>
    </row>
    <row r="1672" spans="2:2" s="2" customFormat="1" x14ac:dyDescent="0.25">
      <c r="B1672" s="9"/>
    </row>
    <row r="1673" spans="2:2" s="2" customFormat="1" x14ac:dyDescent="0.25">
      <c r="B1673" s="9"/>
    </row>
    <row r="1674" spans="2:2" s="2" customFormat="1" x14ac:dyDescent="0.25">
      <c r="B1674" s="9"/>
    </row>
    <row r="1675" spans="2:2" s="2" customFormat="1" x14ac:dyDescent="0.25">
      <c r="B1675" s="9"/>
    </row>
    <row r="1676" spans="2:2" s="2" customFormat="1" x14ac:dyDescent="0.25">
      <c r="B1676" s="9"/>
    </row>
    <row r="1677" spans="2:2" s="2" customFormat="1" x14ac:dyDescent="0.25">
      <c r="B1677" s="9"/>
    </row>
    <row r="1678" spans="2:2" s="2" customFormat="1" x14ac:dyDescent="0.25">
      <c r="B1678" s="9"/>
    </row>
    <row r="1679" spans="2:2" s="2" customFormat="1" x14ac:dyDescent="0.25">
      <c r="B1679" s="9"/>
    </row>
    <row r="1680" spans="2:2" s="2" customFormat="1" x14ac:dyDescent="0.25">
      <c r="B1680" s="9"/>
    </row>
    <row r="1681" spans="2:2" s="2" customFormat="1" x14ac:dyDescent="0.25">
      <c r="B1681" s="9"/>
    </row>
    <row r="1682" spans="2:2" s="2" customFormat="1" x14ac:dyDescent="0.25">
      <c r="B1682" s="9"/>
    </row>
    <row r="1683" spans="2:2" s="2" customFormat="1" x14ac:dyDescent="0.25">
      <c r="B1683" s="9"/>
    </row>
    <row r="1684" spans="2:2" s="2" customFormat="1" x14ac:dyDescent="0.25">
      <c r="B1684" s="9"/>
    </row>
    <row r="1685" spans="2:2" s="2" customFormat="1" x14ac:dyDescent="0.25">
      <c r="B1685" s="9"/>
    </row>
    <row r="1686" spans="2:2" s="2" customFormat="1" x14ac:dyDescent="0.25">
      <c r="B1686" s="9"/>
    </row>
    <row r="1687" spans="2:2" s="2" customFormat="1" x14ac:dyDescent="0.25">
      <c r="B1687" s="9"/>
    </row>
    <row r="1688" spans="2:2" s="2" customFormat="1" x14ac:dyDescent="0.25">
      <c r="B1688" s="9"/>
    </row>
    <row r="1689" spans="2:2" s="2" customFormat="1" x14ac:dyDescent="0.25">
      <c r="B1689" s="9"/>
    </row>
    <row r="1690" spans="2:2" s="2" customFormat="1" x14ac:dyDescent="0.25">
      <c r="B1690" s="9"/>
    </row>
    <row r="1691" spans="2:2" s="2" customFormat="1" x14ac:dyDescent="0.25">
      <c r="B1691" s="9"/>
    </row>
    <row r="1692" spans="2:2" s="2" customFormat="1" x14ac:dyDescent="0.25">
      <c r="B1692" s="9"/>
    </row>
    <row r="1693" spans="2:2" s="2" customFormat="1" x14ac:dyDescent="0.25">
      <c r="B1693" s="9"/>
    </row>
    <row r="1694" spans="2:2" s="2" customFormat="1" x14ac:dyDescent="0.25">
      <c r="B1694" s="9"/>
    </row>
    <row r="1695" spans="2:2" s="2" customFormat="1" x14ac:dyDescent="0.25">
      <c r="B1695" s="9"/>
    </row>
    <row r="1696" spans="2:2" s="2" customFormat="1" x14ac:dyDescent="0.25">
      <c r="B1696" s="9"/>
    </row>
    <row r="1697" spans="2:2" s="2" customFormat="1" x14ac:dyDescent="0.25">
      <c r="B1697" s="9"/>
    </row>
    <row r="1698" spans="2:2" s="2" customFormat="1" x14ac:dyDescent="0.25">
      <c r="B1698" s="9"/>
    </row>
    <row r="1699" spans="2:2" s="2" customFormat="1" x14ac:dyDescent="0.25">
      <c r="B1699" s="9"/>
    </row>
    <row r="1700" spans="2:2" s="2" customFormat="1" x14ac:dyDescent="0.25">
      <c r="B1700" s="9"/>
    </row>
    <row r="1701" spans="2:2" s="2" customFormat="1" x14ac:dyDescent="0.25">
      <c r="B1701" s="9"/>
    </row>
    <row r="1702" spans="2:2" s="2" customFormat="1" x14ac:dyDescent="0.25">
      <c r="B1702" s="9"/>
    </row>
    <row r="1703" spans="2:2" s="2" customFormat="1" x14ac:dyDescent="0.25">
      <c r="B1703" s="9"/>
    </row>
    <row r="1704" spans="2:2" s="2" customFormat="1" x14ac:dyDescent="0.25">
      <c r="B1704" s="9"/>
    </row>
    <row r="1705" spans="2:2" s="2" customFormat="1" x14ac:dyDescent="0.25">
      <c r="B1705" s="9"/>
    </row>
    <row r="1706" spans="2:2" s="2" customFormat="1" x14ac:dyDescent="0.25">
      <c r="B1706" s="9"/>
    </row>
    <row r="1707" spans="2:2" s="2" customFormat="1" x14ac:dyDescent="0.25">
      <c r="B1707" s="9"/>
    </row>
    <row r="1708" spans="2:2" s="2" customFormat="1" x14ac:dyDescent="0.25">
      <c r="B1708" s="9"/>
    </row>
    <row r="1709" spans="2:2" s="2" customFormat="1" x14ac:dyDescent="0.25">
      <c r="B1709" s="9"/>
    </row>
    <row r="1710" spans="2:2" s="2" customFormat="1" x14ac:dyDescent="0.25">
      <c r="B1710" s="9"/>
    </row>
    <row r="1711" spans="2:2" s="2" customFormat="1" x14ac:dyDescent="0.25">
      <c r="B1711" s="9"/>
    </row>
    <row r="1712" spans="2:2" s="2" customFormat="1" x14ac:dyDescent="0.25">
      <c r="B1712" s="9"/>
    </row>
    <row r="1713" spans="2:2" s="2" customFormat="1" x14ac:dyDescent="0.25">
      <c r="B1713" s="9"/>
    </row>
    <row r="1714" spans="2:2" s="2" customFormat="1" x14ac:dyDescent="0.25">
      <c r="B1714" s="9"/>
    </row>
    <row r="1715" spans="2:2" s="2" customFormat="1" x14ac:dyDescent="0.25">
      <c r="B1715" s="9"/>
    </row>
    <row r="1716" spans="2:2" s="2" customFormat="1" x14ac:dyDescent="0.25">
      <c r="B1716" s="9"/>
    </row>
    <row r="1717" spans="2:2" s="2" customFormat="1" x14ac:dyDescent="0.25">
      <c r="B1717" s="9"/>
    </row>
    <row r="1718" spans="2:2" s="2" customFormat="1" x14ac:dyDescent="0.25">
      <c r="B1718" s="9"/>
    </row>
    <row r="1719" spans="2:2" s="2" customFormat="1" x14ac:dyDescent="0.25">
      <c r="B1719" s="9"/>
    </row>
    <row r="1720" spans="2:2" s="2" customFormat="1" x14ac:dyDescent="0.25">
      <c r="B1720" s="9"/>
    </row>
    <row r="1721" spans="2:2" s="2" customFormat="1" x14ac:dyDescent="0.25">
      <c r="B1721" s="9"/>
    </row>
    <row r="1722" spans="2:2" s="2" customFormat="1" x14ac:dyDescent="0.25">
      <c r="B1722" s="9"/>
    </row>
    <row r="1723" spans="2:2" s="2" customFormat="1" x14ac:dyDescent="0.25">
      <c r="B1723" s="9"/>
    </row>
    <row r="1724" spans="2:2" s="2" customFormat="1" x14ac:dyDescent="0.25">
      <c r="B1724" s="9"/>
    </row>
    <row r="1725" spans="2:2" s="2" customFormat="1" x14ac:dyDescent="0.25">
      <c r="B1725" s="9"/>
    </row>
    <row r="1726" spans="2:2" s="2" customFormat="1" x14ac:dyDescent="0.25">
      <c r="B1726" s="9"/>
    </row>
    <row r="1727" spans="2:2" s="2" customFormat="1" x14ac:dyDescent="0.25">
      <c r="B1727" s="9"/>
    </row>
    <row r="1728" spans="2:2" s="2" customFormat="1" x14ac:dyDescent="0.25">
      <c r="B1728" s="9"/>
    </row>
    <row r="1729" spans="2:2" s="2" customFormat="1" x14ac:dyDescent="0.25">
      <c r="B1729" s="9"/>
    </row>
    <row r="1730" spans="2:2" s="2" customFormat="1" x14ac:dyDescent="0.25">
      <c r="B1730" s="9"/>
    </row>
    <row r="1731" spans="2:2" s="2" customFormat="1" x14ac:dyDescent="0.25">
      <c r="B1731" s="9"/>
    </row>
    <row r="1732" spans="2:2" s="2" customFormat="1" x14ac:dyDescent="0.25">
      <c r="B1732" s="9"/>
    </row>
    <row r="1733" spans="2:2" s="2" customFormat="1" x14ac:dyDescent="0.25">
      <c r="B1733" s="9"/>
    </row>
    <row r="1734" spans="2:2" s="2" customFormat="1" x14ac:dyDescent="0.25">
      <c r="B1734" s="9"/>
    </row>
    <row r="1735" spans="2:2" s="2" customFormat="1" x14ac:dyDescent="0.25">
      <c r="B1735" s="9"/>
    </row>
    <row r="1736" spans="2:2" s="2" customFormat="1" x14ac:dyDescent="0.25">
      <c r="B1736" s="9"/>
    </row>
    <row r="1737" spans="2:2" s="2" customFormat="1" x14ac:dyDescent="0.25">
      <c r="B1737" s="9"/>
    </row>
    <row r="1738" spans="2:2" s="2" customFormat="1" x14ac:dyDescent="0.25">
      <c r="B1738" s="9"/>
    </row>
    <row r="1739" spans="2:2" s="2" customFormat="1" x14ac:dyDescent="0.25">
      <c r="B1739" s="9"/>
    </row>
    <row r="1740" spans="2:2" s="2" customFormat="1" x14ac:dyDescent="0.25">
      <c r="B1740" s="9"/>
    </row>
    <row r="1741" spans="2:2" s="2" customFormat="1" x14ac:dyDescent="0.25">
      <c r="B1741" s="9"/>
    </row>
    <row r="1742" spans="2:2" s="2" customFormat="1" x14ac:dyDescent="0.25">
      <c r="B1742" s="9"/>
    </row>
    <row r="1743" spans="2:2" s="2" customFormat="1" x14ac:dyDescent="0.25">
      <c r="B1743" s="9"/>
    </row>
    <row r="1744" spans="2:2" s="2" customFormat="1" x14ac:dyDescent="0.25">
      <c r="B1744" s="9"/>
    </row>
    <row r="1745" spans="2:2" s="2" customFormat="1" x14ac:dyDescent="0.25">
      <c r="B1745" s="9"/>
    </row>
    <row r="1746" spans="2:2" s="2" customFormat="1" x14ac:dyDescent="0.25">
      <c r="B1746" s="9"/>
    </row>
    <row r="1747" spans="2:2" s="2" customFormat="1" x14ac:dyDescent="0.25">
      <c r="B1747" s="9"/>
    </row>
    <row r="1748" spans="2:2" s="2" customFormat="1" x14ac:dyDescent="0.25">
      <c r="B1748" s="9"/>
    </row>
    <row r="1749" spans="2:2" s="2" customFormat="1" x14ac:dyDescent="0.25">
      <c r="B1749" s="9"/>
    </row>
    <row r="1750" spans="2:2" s="2" customFormat="1" x14ac:dyDescent="0.25">
      <c r="B1750" s="9"/>
    </row>
    <row r="1751" spans="2:2" s="2" customFormat="1" x14ac:dyDescent="0.25">
      <c r="B1751" s="9"/>
    </row>
    <row r="1752" spans="2:2" s="2" customFormat="1" x14ac:dyDescent="0.25">
      <c r="B1752" s="9"/>
    </row>
    <row r="1753" spans="2:2" s="2" customFormat="1" x14ac:dyDescent="0.25">
      <c r="B1753" s="9"/>
    </row>
    <row r="1754" spans="2:2" s="2" customFormat="1" x14ac:dyDescent="0.25">
      <c r="B1754" s="9"/>
    </row>
    <row r="1755" spans="2:2" s="2" customFormat="1" x14ac:dyDescent="0.25">
      <c r="B1755" s="9"/>
    </row>
    <row r="1756" spans="2:2" s="2" customFormat="1" x14ac:dyDescent="0.25">
      <c r="B1756" s="9"/>
    </row>
    <row r="1757" spans="2:2" s="2" customFormat="1" x14ac:dyDescent="0.25">
      <c r="B1757" s="9"/>
    </row>
    <row r="1758" spans="2:2" s="2" customFormat="1" x14ac:dyDescent="0.25">
      <c r="B1758" s="9"/>
    </row>
    <row r="1759" spans="2:2" s="2" customFormat="1" x14ac:dyDescent="0.25">
      <c r="B1759" s="9"/>
    </row>
    <row r="1760" spans="2:2" s="2" customFormat="1" x14ac:dyDescent="0.25">
      <c r="B1760" s="9"/>
    </row>
    <row r="1761" spans="2:2" s="2" customFormat="1" x14ac:dyDescent="0.25">
      <c r="B1761" s="9"/>
    </row>
    <row r="1762" spans="2:2" s="2" customFormat="1" x14ac:dyDescent="0.25">
      <c r="B1762" s="9"/>
    </row>
    <row r="1763" spans="2:2" s="2" customFormat="1" x14ac:dyDescent="0.25">
      <c r="B1763" s="9"/>
    </row>
    <row r="1764" spans="2:2" s="2" customFormat="1" x14ac:dyDescent="0.25">
      <c r="B1764" s="9"/>
    </row>
    <row r="1765" spans="2:2" s="2" customFormat="1" x14ac:dyDescent="0.25">
      <c r="B1765" s="9"/>
    </row>
    <row r="1766" spans="2:2" s="2" customFormat="1" x14ac:dyDescent="0.25">
      <c r="B1766" s="9"/>
    </row>
    <row r="1767" spans="2:2" s="2" customFormat="1" x14ac:dyDescent="0.25">
      <c r="B1767" s="9"/>
    </row>
    <row r="1768" spans="2:2" s="2" customFormat="1" x14ac:dyDescent="0.25">
      <c r="B1768" s="9"/>
    </row>
    <row r="1769" spans="2:2" s="2" customFormat="1" x14ac:dyDescent="0.25">
      <c r="B1769" s="9"/>
    </row>
    <row r="1770" spans="2:2" s="2" customFormat="1" x14ac:dyDescent="0.25">
      <c r="B1770" s="9"/>
    </row>
    <row r="1771" spans="2:2" s="2" customFormat="1" x14ac:dyDescent="0.25">
      <c r="B1771" s="9"/>
    </row>
    <row r="1772" spans="2:2" s="2" customFormat="1" x14ac:dyDescent="0.25">
      <c r="B1772" s="9"/>
    </row>
    <row r="1773" spans="2:2" s="2" customFormat="1" x14ac:dyDescent="0.25">
      <c r="B1773" s="9"/>
    </row>
    <row r="1774" spans="2:2" s="2" customFormat="1" x14ac:dyDescent="0.25">
      <c r="B1774" s="9"/>
    </row>
    <row r="1775" spans="2:2" s="2" customFormat="1" x14ac:dyDescent="0.25">
      <c r="B1775" s="9"/>
    </row>
    <row r="1776" spans="2:2" s="2" customFormat="1" x14ac:dyDescent="0.25">
      <c r="B1776" s="9"/>
    </row>
    <row r="1777" spans="2:2" s="2" customFormat="1" x14ac:dyDescent="0.25">
      <c r="B1777" s="9"/>
    </row>
    <row r="1778" spans="2:2" s="2" customFormat="1" x14ac:dyDescent="0.25">
      <c r="B1778" s="9"/>
    </row>
    <row r="1779" spans="2:2" s="2" customFormat="1" x14ac:dyDescent="0.25">
      <c r="B1779" s="9"/>
    </row>
    <row r="1780" spans="2:2" s="2" customFormat="1" x14ac:dyDescent="0.25">
      <c r="B1780" s="9"/>
    </row>
    <row r="1781" spans="2:2" s="2" customFormat="1" x14ac:dyDescent="0.25">
      <c r="B1781" s="9"/>
    </row>
    <row r="1782" spans="2:2" s="2" customFormat="1" x14ac:dyDescent="0.25">
      <c r="B1782" s="9"/>
    </row>
    <row r="1783" spans="2:2" s="2" customFormat="1" x14ac:dyDescent="0.25">
      <c r="B1783" s="9"/>
    </row>
    <row r="1784" spans="2:2" s="2" customFormat="1" x14ac:dyDescent="0.25">
      <c r="B1784" s="9"/>
    </row>
    <row r="1785" spans="2:2" s="2" customFormat="1" x14ac:dyDescent="0.25">
      <c r="B1785" s="9"/>
    </row>
    <row r="1786" spans="2:2" s="2" customFormat="1" x14ac:dyDescent="0.25">
      <c r="B1786" s="9"/>
    </row>
    <row r="1787" spans="2:2" s="2" customFormat="1" x14ac:dyDescent="0.25">
      <c r="B1787" s="9"/>
    </row>
    <row r="1788" spans="2:2" s="2" customFormat="1" x14ac:dyDescent="0.25">
      <c r="B1788" s="9"/>
    </row>
    <row r="1789" spans="2:2" s="2" customFormat="1" x14ac:dyDescent="0.25">
      <c r="B1789" s="9"/>
    </row>
    <row r="1790" spans="2:2" s="2" customFormat="1" x14ac:dyDescent="0.25">
      <c r="B1790" s="9"/>
    </row>
    <row r="1791" spans="2:2" s="2" customFormat="1" x14ac:dyDescent="0.25">
      <c r="B1791" s="9"/>
    </row>
    <row r="1792" spans="2:2" s="2" customFormat="1" x14ac:dyDescent="0.25">
      <c r="B1792" s="9"/>
    </row>
    <row r="1793" spans="2:2" s="2" customFormat="1" x14ac:dyDescent="0.25">
      <c r="B1793" s="9"/>
    </row>
    <row r="1794" spans="2:2" s="2" customFormat="1" x14ac:dyDescent="0.25">
      <c r="B1794" s="9"/>
    </row>
    <row r="1795" spans="2:2" s="2" customFormat="1" x14ac:dyDescent="0.25">
      <c r="B1795" s="9"/>
    </row>
    <row r="1796" spans="2:2" s="2" customFormat="1" x14ac:dyDescent="0.25">
      <c r="B1796" s="9"/>
    </row>
    <row r="1797" spans="2:2" s="2" customFormat="1" x14ac:dyDescent="0.25">
      <c r="B1797" s="9"/>
    </row>
    <row r="1798" spans="2:2" s="2" customFormat="1" x14ac:dyDescent="0.25">
      <c r="B1798" s="9"/>
    </row>
    <row r="1799" spans="2:2" s="2" customFormat="1" x14ac:dyDescent="0.25">
      <c r="B1799" s="9"/>
    </row>
    <row r="1800" spans="2:2" s="2" customFormat="1" x14ac:dyDescent="0.25">
      <c r="B1800" s="9"/>
    </row>
    <row r="1801" spans="2:2" s="2" customFormat="1" x14ac:dyDescent="0.25">
      <c r="B1801" s="9"/>
    </row>
    <row r="1802" spans="2:2" s="2" customFormat="1" x14ac:dyDescent="0.25">
      <c r="B1802" s="9"/>
    </row>
    <row r="1803" spans="2:2" s="2" customFormat="1" x14ac:dyDescent="0.25">
      <c r="B1803" s="9"/>
    </row>
    <row r="1804" spans="2:2" s="2" customFormat="1" x14ac:dyDescent="0.25">
      <c r="B1804" s="9"/>
    </row>
    <row r="1805" spans="2:2" s="2" customFormat="1" x14ac:dyDescent="0.25">
      <c r="B1805" s="9"/>
    </row>
    <row r="1806" spans="2:2" s="2" customFormat="1" x14ac:dyDescent="0.25">
      <c r="B1806" s="9"/>
    </row>
    <row r="1807" spans="2:2" s="2" customFormat="1" x14ac:dyDescent="0.25">
      <c r="B1807" s="9"/>
    </row>
    <row r="1808" spans="2:2" s="2" customFormat="1" x14ac:dyDescent="0.25">
      <c r="B1808" s="9"/>
    </row>
    <row r="1809" spans="2:2" s="2" customFormat="1" x14ac:dyDescent="0.25">
      <c r="B1809" s="9"/>
    </row>
    <row r="1810" spans="2:2" s="2" customFormat="1" x14ac:dyDescent="0.25">
      <c r="B1810" s="9"/>
    </row>
    <row r="1811" spans="2:2" s="2" customFormat="1" x14ac:dyDescent="0.25">
      <c r="B1811" s="9"/>
    </row>
    <row r="1812" spans="2:2" s="2" customFormat="1" x14ac:dyDescent="0.25">
      <c r="B1812" s="9"/>
    </row>
    <row r="1813" spans="2:2" s="2" customFormat="1" x14ac:dyDescent="0.25">
      <c r="B1813" s="9"/>
    </row>
    <row r="1814" spans="2:2" s="2" customFormat="1" x14ac:dyDescent="0.25">
      <c r="B1814" s="9"/>
    </row>
    <row r="1815" spans="2:2" s="2" customFormat="1" x14ac:dyDescent="0.25">
      <c r="B1815" s="9"/>
    </row>
    <row r="1816" spans="2:2" s="2" customFormat="1" x14ac:dyDescent="0.25">
      <c r="B1816" s="9"/>
    </row>
    <row r="1817" spans="2:2" s="2" customFormat="1" x14ac:dyDescent="0.25">
      <c r="B1817" s="9"/>
    </row>
    <row r="1818" spans="2:2" s="2" customFormat="1" x14ac:dyDescent="0.25">
      <c r="B1818" s="9"/>
    </row>
    <row r="1819" spans="2:2" s="2" customFormat="1" x14ac:dyDescent="0.25">
      <c r="B1819" s="9"/>
    </row>
    <row r="1820" spans="2:2" s="2" customFormat="1" x14ac:dyDescent="0.25">
      <c r="B1820" s="9"/>
    </row>
    <row r="1821" spans="2:2" s="2" customFormat="1" x14ac:dyDescent="0.25">
      <c r="B1821" s="9"/>
    </row>
    <row r="1822" spans="2:2" s="2" customFormat="1" x14ac:dyDescent="0.25">
      <c r="B1822" s="9"/>
    </row>
    <row r="1823" spans="2:2" s="2" customFormat="1" x14ac:dyDescent="0.25">
      <c r="B1823" s="9"/>
    </row>
    <row r="1824" spans="2:2" s="2" customFormat="1" x14ac:dyDescent="0.25">
      <c r="B1824" s="9"/>
    </row>
    <row r="1825" spans="2:2" s="2" customFormat="1" x14ac:dyDescent="0.25">
      <c r="B1825" s="9"/>
    </row>
    <row r="1826" spans="2:2" s="2" customFormat="1" x14ac:dyDescent="0.25">
      <c r="B1826" s="9"/>
    </row>
    <row r="1827" spans="2:2" s="2" customFormat="1" x14ac:dyDescent="0.25">
      <c r="B1827" s="9"/>
    </row>
    <row r="1828" spans="2:2" s="2" customFormat="1" x14ac:dyDescent="0.25">
      <c r="B1828" s="9"/>
    </row>
    <row r="1829" spans="2:2" s="2" customFormat="1" x14ac:dyDescent="0.25">
      <c r="B1829" s="9"/>
    </row>
    <row r="1830" spans="2:2" s="2" customFormat="1" x14ac:dyDescent="0.25">
      <c r="B1830" s="9"/>
    </row>
    <row r="1831" spans="2:2" s="2" customFormat="1" x14ac:dyDescent="0.25">
      <c r="B1831" s="9"/>
    </row>
    <row r="1832" spans="2:2" s="2" customFormat="1" x14ac:dyDescent="0.25">
      <c r="B1832" s="9"/>
    </row>
    <row r="1833" spans="2:2" s="2" customFormat="1" x14ac:dyDescent="0.25">
      <c r="B1833" s="9"/>
    </row>
    <row r="1834" spans="2:2" s="2" customFormat="1" x14ac:dyDescent="0.25">
      <c r="B1834" s="9"/>
    </row>
    <row r="1835" spans="2:2" s="2" customFormat="1" x14ac:dyDescent="0.25">
      <c r="B1835" s="9"/>
    </row>
    <row r="1836" spans="2:2" s="2" customFormat="1" x14ac:dyDescent="0.25">
      <c r="B1836" s="9"/>
    </row>
    <row r="1837" spans="2:2" s="2" customFormat="1" x14ac:dyDescent="0.25">
      <c r="B1837" s="9"/>
    </row>
    <row r="1838" spans="2:2" s="2" customFormat="1" x14ac:dyDescent="0.25">
      <c r="B1838" s="9"/>
    </row>
    <row r="1839" spans="2:2" s="2" customFormat="1" x14ac:dyDescent="0.25">
      <c r="B1839" s="9"/>
    </row>
    <row r="1840" spans="2:2" s="2" customFormat="1" x14ac:dyDescent="0.25">
      <c r="B1840" s="9"/>
    </row>
    <row r="1841" spans="2:2" s="2" customFormat="1" x14ac:dyDescent="0.25">
      <c r="B1841" s="9"/>
    </row>
    <row r="1842" spans="2:2" s="2" customFormat="1" x14ac:dyDescent="0.25">
      <c r="B1842" s="9"/>
    </row>
    <row r="1843" spans="2:2" s="2" customFormat="1" x14ac:dyDescent="0.25">
      <c r="B1843" s="9"/>
    </row>
    <row r="1844" spans="2:2" s="2" customFormat="1" x14ac:dyDescent="0.25">
      <c r="B1844" s="9"/>
    </row>
    <row r="1845" spans="2:2" s="2" customFormat="1" x14ac:dyDescent="0.25">
      <c r="B1845" s="9"/>
    </row>
    <row r="1846" spans="2:2" s="2" customFormat="1" x14ac:dyDescent="0.25">
      <c r="B1846" s="9"/>
    </row>
    <row r="1847" spans="2:2" s="2" customFormat="1" x14ac:dyDescent="0.25">
      <c r="B1847" s="9"/>
    </row>
    <row r="1848" spans="2:2" s="2" customFormat="1" x14ac:dyDescent="0.25">
      <c r="B1848" s="9"/>
    </row>
    <row r="1849" spans="2:2" s="2" customFormat="1" x14ac:dyDescent="0.25">
      <c r="B1849" s="9"/>
    </row>
    <row r="1850" spans="2:2" s="2" customFormat="1" x14ac:dyDescent="0.25">
      <c r="B1850" s="9"/>
    </row>
    <row r="1851" spans="2:2" s="2" customFormat="1" x14ac:dyDescent="0.25">
      <c r="B1851" s="9"/>
    </row>
    <row r="1852" spans="2:2" s="2" customFormat="1" x14ac:dyDescent="0.25">
      <c r="B1852" s="9"/>
    </row>
    <row r="1853" spans="2:2" s="2" customFormat="1" x14ac:dyDescent="0.25">
      <c r="B1853" s="9"/>
    </row>
    <row r="1854" spans="2:2" s="2" customFormat="1" x14ac:dyDescent="0.25">
      <c r="B1854" s="9"/>
    </row>
    <row r="1855" spans="2:2" s="2" customFormat="1" x14ac:dyDescent="0.25">
      <c r="B1855" s="9"/>
    </row>
    <row r="1856" spans="2:2" s="2" customFormat="1" x14ac:dyDescent="0.25">
      <c r="B1856" s="9"/>
    </row>
    <row r="1857" spans="2:2" s="2" customFormat="1" x14ac:dyDescent="0.25">
      <c r="B1857" s="9"/>
    </row>
    <row r="1858" spans="2:2" s="2" customFormat="1" x14ac:dyDescent="0.25">
      <c r="B1858" s="9"/>
    </row>
    <row r="1859" spans="2:2" s="2" customFormat="1" x14ac:dyDescent="0.25">
      <c r="B1859" s="9"/>
    </row>
    <row r="1860" spans="2:2" s="2" customFormat="1" x14ac:dyDescent="0.25">
      <c r="B1860" s="9"/>
    </row>
    <row r="1861" spans="2:2" s="2" customFormat="1" x14ac:dyDescent="0.25">
      <c r="B1861" s="9"/>
    </row>
    <row r="1862" spans="2:2" s="2" customFormat="1" x14ac:dyDescent="0.25">
      <c r="B1862" s="9"/>
    </row>
    <row r="1863" spans="2:2" s="2" customFormat="1" x14ac:dyDescent="0.25">
      <c r="B1863" s="9"/>
    </row>
    <row r="1864" spans="2:2" s="2" customFormat="1" x14ac:dyDescent="0.25">
      <c r="B1864" s="9"/>
    </row>
    <row r="1865" spans="2:2" s="2" customFormat="1" x14ac:dyDescent="0.25">
      <c r="B1865" s="9"/>
    </row>
    <row r="1866" spans="2:2" s="2" customFormat="1" x14ac:dyDescent="0.25">
      <c r="B1866" s="9"/>
    </row>
    <row r="1867" spans="2:2" s="2" customFormat="1" x14ac:dyDescent="0.25">
      <c r="B1867" s="9"/>
    </row>
    <row r="1868" spans="2:2" s="2" customFormat="1" x14ac:dyDescent="0.25">
      <c r="B1868" s="9"/>
    </row>
    <row r="1869" spans="2:2" s="2" customFormat="1" x14ac:dyDescent="0.25">
      <c r="B1869" s="9"/>
    </row>
    <row r="1870" spans="2:2" s="2" customFormat="1" x14ac:dyDescent="0.25">
      <c r="B1870" s="9"/>
    </row>
    <row r="1871" spans="2:2" s="2" customFormat="1" x14ac:dyDescent="0.25">
      <c r="B1871" s="9"/>
    </row>
    <row r="1872" spans="2:2" s="2" customFormat="1" x14ac:dyDescent="0.25">
      <c r="B1872" s="9"/>
    </row>
    <row r="1873" spans="2:2" s="2" customFormat="1" x14ac:dyDescent="0.25">
      <c r="B1873" s="9"/>
    </row>
    <row r="1874" spans="2:2" s="2" customFormat="1" x14ac:dyDescent="0.25">
      <c r="B1874" s="9"/>
    </row>
    <row r="1875" spans="2:2" s="2" customFormat="1" x14ac:dyDescent="0.25">
      <c r="B1875" s="9"/>
    </row>
    <row r="1876" spans="2:2" s="2" customFormat="1" x14ac:dyDescent="0.25">
      <c r="B1876" s="9"/>
    </row>
    <row r="1877" spans="2:2" s="2" customFormat="1" x14ac:dyDescent="0.25">
      <c r="B1877" s="9"/>
    </row>
    <row r="1878" spans="2:2" s="2" customFormat="1" x14ac:dyDescent="0.25">
      <c r="B1878" s="9"/>
    </row>
    <row r="1879" spans="2:2" s="2" customFormat="1" x14ac:dyDescent="0.25">
      <c r="B1879" s="9"/>
    </row>
    <row r="1880" spans="2:2" s="2" customFormat="1" x14ac:dyDescent="0.25">
      <c r="B1880" s="9"/>
    </row>
    <row r="1881" spans="2:2" s="2" customFormat="1" x14ac:dyDescent="0.25">
      <c r="B1881" s="9"/>
    </row>
    <row r="1882" spans="2:2" s="2" customFormat="1" x14ac:dyDescent="0.25">
      <c r="B1882" s="9"/>
    </row>
    <row r="1883" spans="2:2" s="2" customFormat="1" x14ac:dyDescent="0.25">
      <c r="B1883" s="9"/>
    </row>
    <row r="1884" spans="2:2" s="2" customFormat="1" x14ac:dyDescent="0.25">
      <c r="B1884" s="9"/>
    </row>
    <row r="1885" spans="2:2" s="2" customFormat="1" x14ac:dyDescent="0.25">
      <c r="B1885" s="9"/>
    </row>
    <row r="1886" spans="2:2" s="2" customFormat="1" x14ac:dyDescent="0.25">
      <c r="B1886" s="9"/>
    </row>
    <row r="1887" spans="2:2" s="2" customFormat="1" x14ac:dyDescent="0.25">
      <c r="B1887" s="9"/>
    </row>
    <row r="1888" spans="2:2" s="2" customFormat="1" x14ac:dyDescent="0.25">
      <c r="B1888" s="9"/>
    </row>
    <row r="1889" spans="2:2" s="2" customFormat="1" x14ac:dyDescent="0.25">
      <c r="B1889" s="9"/>
    </row>
    <row r="1890" spans="2:2" s="2" customFormat="1" x14ac:dyDescent="0.25">
      <c r="B1890" s="9"/>
    </row>
    <row r="1891" spans="2:2" s="2" customFormat="1" x14ac:dyDescent="0.25">
      <c r="B1891" s="9"/>
    </row>
    <row r="1892" spans="2:2" s="2" customFormat="1" x14ac:dyDescent="0.25">
      <c r="B1892" s="9"/>
    </row>
    <row r="1893" spans="2:2" s="2" customFormat="1" x14ac:dyDescent="0.25">
      <c r="B1893" s="9"/>
    </row>
    <row r="1894" spans="2:2" s="2" customFormat="1" x14ac:dyDescent="0.25">
      <c r="B1894" s="9"/>
    </row>
    <row r="1895" spans="2:2" s="2" customFormat="1" x14ac:dyDescent="0.25">
      <c r="B1895" s="9"/>
    </row>
    <row r="1896" spans="2:2" s="2" customFormat="1" x14ac:dyDescent="0.25">
      <c r="B1896" s="9"/>
    </row>
    <row r="1897" spans="2:2" s="2" customFormat="1" x14ac:dyDescent="0.25">
      <c r="B1897" s="9"/>
    </row>
    <row r="1898" spans="2:2" s="2" customFormat="1" x14ac:dyDescent="0.25">
      <c r="B1898" s="9"/>
    </row>
    <row r="1899" spans="2:2" s="2" customFormat="1" x14ac:dyDescent="0.25">
      <c r="B1899" s="9"/>
    </row>
    <row r="1900" spans="2:2" s="2" customFormat="1" x14ac:dyDescent="0.25">
      <c r="B1900" s="9"/>
    </row>
    <row r="1901" spans="2:2" s="2" customFormat="1" x14ac:dyDescent="0.25">
      <c r="B1901" s="9"/>
    </row>
    <row r="1902" spans="2:2" s="2" customFormat="1" x14ac:dyDescent="0.25">
      <c r="B1902" s="9"/>
    </row>
    <row r="1903" spans="2:2" s="2" customFormat="1" x14ac:dyDescent="0.25">
      <c r="B1903" s="9"/>
    </row>
    <row r="1904" spans="2:2" s="2" customFormat="1" x14ac:dyDescent="0.25">
      <c r="B1904" s="9"/>
    </row>
    <row r="1905" spans="2:2" s="2" customFormat="1" x14ac:dyDescent="0.25">
      <c r="B1905" s="9"/>
    </row>
    <row r="1906" spans="2:2" s="2" customFormat="1" x14ac:dyDescent="0.25">
      <c r="B1906" s="9"/>
    </row>
    <row r="1907" spans="2:2" s="2" customFormat="1" x14ac:dyDescent="0.25">
      <c r="B1907" s="9"/>
    </row>
    <row r="1908" spans="2:2" s="2" customFormat="1" x14ac:dyDescent="0.25">
      <c r="B1908" s="9"/>
    </row>
    <row r="1909" spans="2:2" s="2" customFormat="1" x14ac:dyDescent="0.25">
      <c r="B1909" s="9"/>
    </row>
    <row r="1910" spans="2:2" s="2" customFormat="1" x14ac:dyDescent="0.25">
      <c r="B1910" s="9"/>
    </row>
    <row r="1911" spans="2:2" s="2" customFormat="1" x14ac:dyDescent="0.25">
      <c r="B1911" s="9"/>
    </row>
    <row r="1912" spans="2:2" s="2" customFormat="1" x14ac:dyDescent="0.25">
      <c r="B1912" s="9"/>
    </row>
    <row r="1913" spans="2:2" s="2" customFormat="1" x14ac:dyDescent="0.25">
      <c r="B1913" s="9"/>
    </row>
    <row r="1914" spans="2:2" s="2" customFormat="1" x14ac:dyDescent="0.25">
      <c r="B1914" s="9"/>
    </row>
    <row r="1915" spans="2:2" s="2" customFormat="1" x14ac:dyDescent="0.25">
      <c r="B1915" s="9"/>
    </row>
    <row r="1916" spans="2:2" s="2" customFormat="1" x14ac:dyDescent="0.25">
      <c r="B1916" s="9"/>
    </row>
    <row r="1917" spans="2:2" s="2" customFormat="1" x14ac:dyDescent="0.25">
      <c r="B1917" s="9"/>
    </row>
    <row r="1918" spans="2:2" s="2" customFormat="1" x14ac:dyDescent="0.25">
      <c r="B1918" s="9"/>
    </row>
    <row r="1919" spans="2:2" s="2" customFormat="1" x14ac:dyDescent="0.25">
      <c r="B1919" s="9"/>
    </row>
    <row r="1920" spans="2:2" s="2" customFormat="1" x14ac:dyDescent="0.25">
      <c r="B1920" s="9"/>
    </row>
    <row r="1921" spans="2:2" s="2" customFormat="1" x14ac:dyDescent="0.25">
      <c r="B1921" s="9"/>
    </row>
    <row r="1922" spans="2:2" s="2" customFormat="1" x14ac:dyDescent="0.25">
      <c r="B1922" s="9"/>
    </row>
    <row r="1923" spans="2:2" s="2" customFormat="1" x14ac:dyDescent="0.25">
      <c r="B1923" s="9"/>
    </row>
    <row r="1924" spans="2:2" s="2" customFormat="1" x14ac:dyDescent="0.25">
      <c r="B1924" s="9"/>
    </row>
    <row r="1925" spans="2:2" s="2" customFormat="1" x14ac:dyDescent="0.25">
      <c r="B1925" s="9"/>
    </row>
    <row r="1926" spans="2:2" s="2" customFormat="1" x14ac:dyDescent="0.25">
      <c r="B1926" s="9"/>
    </row>
    <row r="1927" spans="2:2" s="2" customFormat="1" x14ac:dyDescent="0.25">
      <c r="B1927" s="9"/>
    </row>
    <row r="1928" spans="2:2" s="2" customFormat="1" x14ac:dyDescent="0.25">
      <c r="B1928" s="9"/>
    </row>
    <row r="1929" spans="2:2" s="2" customFormat="1" x14ac:dyDescent="0.25">
      <c r="B1929" s="9"/>
    </row>
    <row r="1930" spans="2:2" s="2" customFormat="1" x14ac:dyDescent="0.25">
      <c r="B1930" s="9"/>
    </row>
    <row r="1931" spans="2:2" s="2" customFormat="1" x14ac:dyDescent="0.25">
      <c r="B1931" s="9"/>
    </row>
    <row r="1932" spans="2:2" s="2" customFormat="1" x14ac:dyDescent="0.25">
      <c r="B1932" s="9"/>
    </row>
    <row r="1933" spans="2:2" s="2" customFormat="1" x14ac:dyDescent="0.25">
      <c r="B1933" s="9"/>
    </row>
    <row r="1934" spans="2:2" s="2" customFormat="1" x14ac:dyDescent="0.25">
      <c r="B1934" s="9"/>
    </row>
    <row r="1935" spans="2:2" s="2" customFormat="1" x14ac:dyDescent="0.25">
      <c r="B1935" s="9"/>
    </row>
    <row r="1936" spans="2:2" s="2" customFormat="1" x14ac:dyDescent="0.25">
      <c r="B1936" s="9"/>
    </row>
    <row r="1937" spans="2:2" s="2" customFormat="1" x14ac:dyDescent="0.25">
      <c r="B1937" s="9"/>
    </row>
    <row r="1938" spans="2:2" s="2" customFormat="1" x14ac:dyDescent="0.25">
      <c r="B1938" s="9"/>
    </row>
    <row r="1939" spans="2:2" s="2" customFormat="1" x14ac:dyDescent="0.25">
      <c r="B1939" s="9"/>
    </row>
    <row r="1940" spans="2:2" s="2" customFormat="1" x14ac:dyDescent="0.25">
      <c r="B1940" s="9"/>
    </row>
    <row r="1941" spans="2:2" s="2" customFormat="1" x14ac:dyDescent="0.25">
      <c r="B1941" s="9"/>
    </row>
    <row r="1942" spans="2:2" s="2" customFormat="1" x14ac:dyDescent="0.25">
      <c r="B1942" s="9"/>
    </row>
    <row r="1943" spans="2:2" s="2" customFormat="1" x14ac:dyDescent="0.25">
      <c r="B1943" s="9"/>
    </row>
    <row r="1944" spans="2:2" s="2" customFormat="1" x14ac:dyDescent="0.25">
      <c r="B1944" s="9"/>
    </row>
    <row r="1945" spans="2:2" s="2" customFormat="1" x14ac:dyDescent="0.25">
      <c r="B1945" s="9"/>
    </row>
    <row r="1946" spans="2:2" s="2" customFormat="1" x14ac:dyDescent="0.25">
      <c r="B1946" s="9"/>
    </row>
    <row r="1947" spans="2:2" s="2" customFormat="1" x14ac:dyDescent="0.25">
      <c r="B1947" s="9"/>
    </row>
    <row r="1948" spans="2:2" s="2" customFormat="1" x14ac:dyDescent="0.25">
      <c r="B1948" s="9"/>
    </row>
    <row r="1949" spans="2:2" s="2" customFormat="1" x14ac:dyDescent="0.25">
      <c r="B1949" s="9"/>
    </row>
    <row r="1950" spans="2:2" s="2" customFormat="1" x14ac:dyDescent="0.25">
      <c r="B1950" s="9"/>
    </row>
    <row r="1951" spans="2:2" s="2" customFormat="1" x14ac:dyDescent="0.25">
      <c r="B1951" s="9"/>
    </row>
    <row r="1952" spans="2:2" s="2" customFormat="1" x14ac:dyDescent="0.25">
      <c r="B1952" s="9"/>
    </row>
    <row r="1953" spans="2:2" s="2" customFormat="1" x14ac:dyDescent="0.25">
      <c r="B1953" s="9"/>
    </row>
    <row r="1954" spans="2:2" s="2" customFormat="1" x14ac:dyDescent="0.25">
      <c r="B1954" s="9"/>
    </row>
    <row r="1955" spans="2:2" s="2" customFormat="1" x14ac:dyDescent="0.25">
      <c r="B1955" s="9"/>
    </row>
    <row r="1956" spans="2:2" s="2" customFormat="1" x14ac:dyDescent="0.25">
      <c r="B1956" s="9"/>
    </row>
    <row r="1957" spans="2:2" s="2" customFormat="1" x14ac:dyDescent="0.25">
      <c r="B1957" s="9"/>
    </row>
    <row r="1958" spans="2:2" s="2" customFormat="1" x14ac:dyDescent="0.25">
      <c r="B1958" s="9"/>
    </row>
    <row r="1959" spans="2:2" s="2" customFormat="1" x14ac:dyDescent="0.25">
      <c r="B1959" s="9"/>
    </row>
    <row r="1960" spans="2:2" s="2" customFormat="1" x14ac:dyDescent="0.25">
      <c r="B1960" s="9"/>
    </row>
    <row r="1961" spans="2:2" s="2" customFormat="1" x14ac:dyDescent="0.25">
      <c r="B1961" s="9"/>
    </row>
    <row r="1962" spans="2:2" s="2" customFormat="1" x14ac:dyDescent="0.25">
      <c r="B1962" s="9"/>
    </row>
    <row r="1963" spans="2:2" s="2" customFormat="1" x14ac:dyDescent="0.25">
      <c r="B1963" s="9"/>
    </row>
    <row r="1964" spans="2:2" s="2" customFormat="1" x14ac:dyDescent="0.25">
      <c r="B1964" s="9"/>
    </row>
    <row r="1965" spans="2:2" s="2" customFormat="1" x14ac:dyDescent="0.25">
      <c r="B1965" s="9"/>
    </row>
    <row r="1966" spans="2:2" s="2" customFormat="1" x14ac:dyDescent="0.25">
      <c r="B1966" s="9"/>
    </row>
    <row r="1967" spans="2:2" s="2" customFormat="1" x14ac:dyDescent="0.25">
      <c r="B1967" s="9"/>
    </row>
    <row r="1968" spans="2:2" s="2" customFormat="1" x14ac:dyDescent="0.25">
      <c r="B1968" s="9"/>
    </row>
    <row r="1969" spans="2:2" s="2" customFormat="1" x14ac:dyDescent="0.25">
      <c r="B1969" s="9"/>
    </row>
    <row r="1970" spans="2:2" s="2" customFormat="1" x14ac:dyDescent="0.25">
      <c r="B1970" s="9"/>
    </row>
    <row r="1971" spans="2:2" s="2" customFormat="1" x14ac:dyDescent="0.25">
      <c r="B1971" s="9"/>
    </row>
    <row r="1972" spans="2:2" s="2" customFormat="1" x14ac:dyDescent="0.25">
      <c r="B1972" s="9"/>
    </row>
    <row r="1973" spans="2:2" s="2" customFormat="1" x14ac:dyDescent="0.25">
      <c r="B1973" s="9"/>
    </row>
    <row r="1974" spans="2:2" s="2" customFormat="1" x14ac:dyDescent="0.25">
      <c r="B1974" s="9"/>
    </row>
    <row r="1975" spans="2:2" s="2" customFormat="1" x14ac:dyDescent="0.25">
      <c r="B1975" s="9"/>
    </row>
    <row r="1976" spans="2:2" s="2" customFormat="1" x14ac:dyDescent="0.25">
      <c r="B1976" s="9"/>
    </row>
    <row r="1977" spans="2:2" s="2" customFormat="1" x14ac:dyDescent="0.25">
      <c r="B1977" s="9"/>
    </row>
    <row r="1978" spans="2:2" s="2" customFormat="1" x14ac:dyDescent="0.25">
      <c r="B1978" s="9"/>
    </row>
    <row r="1979" spans="2:2" s="2" customFormat="1" x14ac:dyDescent="0.25">
      <c r="B1979" s="9"/>
    </row>
    <row r="1980" spans="2:2" s="2" customFormat="1" x14ac:dyDescent="0.25">
      <c r="B1980" s="9"/>
    </row>
    <row r="1981" spans="2:2" s="2" customFormat="1" x14ac:dyDescent="0.25">
      <c r="B1981" s="9"/>
    </row>
    <row r="1982" spans="2:2" s="2" customFormat="1" x14ac:dyDescent="0.25">
      <c r="B1982" s="9"/>
    </row>
    <row r="1983" spans="2:2" s="2" customFormat="1" x14ac:dyDescent="0.25">
      <c r="B1983" s="9"/>
    </row>
    <row r="1984" spans="2:2" s="2" customFormat="1" x14ac:dyDescent="0.25">
      <c r="B1984" s="9"/>
    </row>
    <row r="1985" spans="2:2" s="2" customFormat="1" x14ac:dyDescent="0.25">
      <c r="B1985" s="9"/>
    </row>
    <row r="1986" spans="2:2" s="2" customFormat="1" x14ac:dyDescent="0.25">
      <c r="B1986" s="9"/>
    </row>
    <row r="1987" spans="2:2" s="2" customFormat="1" x14ac:dyDescent="0.25">
      <c r="B1987" s="9"/>
    </row>
    <row r="1988" spans="2:2" s="2" customFormat="1" x14ac:dyDescent="0.25">
      <c r="B1988" s="9"/>
    </row>
    <row r="1989" spans="2:2" s="2" customFormat="1" x14ac:dyDescent="0.25">
      <c r="B1989" s="9"/>
    </row>
    <row r="1990" spans="2:2" s="2" customFormat="1" x14ac:dyDescent="0.25">
      <c r="B1990" s="9"/>
    </row>
    <row r="1991" spans="2:2" s="2" customFormat="1" x14ac:dyDescent="0.25">
      <c r="B1991" s="9"/>
    </row>
    <row r="1992" spans="2:2" s="2" customFormat="1" x14ac:dyDescent="0.25">
      <c r="B1992" s="9"/>
    </row>
    <row r="1993" spans="2:2" s="2" customFormat="1" x14ac:dyDescent="0.25">
      <c r="B1993" s="9"/>
    </row>
    <row r="1994" spans="2:2" s="2" customFormat="1" x14ac:dyDescent="0.25">
      <c r="B1994" s="9"/>
    </row>
    <row r="1995" spans="2:2" s="2" customFormat="1" x14ac:dyDescent="0.25">
      <c r="B1995" s="9"/>
    </row>
    <row r="1996" spans="2:2" s="2" customFormat="1" x14ac:dyDescent="0.25">
      <c r="B1996" s="9"/>
    </row>
    <row r="1997" spans="2:2" s="2" customFormat="1" x14ac:dyDescent="0.25">
      <c r="B1997" s="9"/>
    </row>
    <row r="1998" spans="2:2" s="2" customFormat="1" x14ac:dyDescent="0.25">
      <c r="B1998" s="9"/>
    </row>
    <row r="1999" spans="2:2" s="2" customFormat="1" x14ac:dyDescent="0.25">
      <c r="B1999" s="9"/>
    </row>
    <row r="2000" spans="2:2" s="2" customFormat="1" x14ac:dyDescent="0.25">
      <c r="B2000" s="9"/>
    </row>
    <row r="2001" spans="2:2" s="2" customFormat="1" x14ac:dyDescent="0.25">
      <c r="B2001" s="9"/>
    </row>
    <row r="2002" spans="2:2" s="2" customFormat="1" x14ac:dyDescent="0.25">
      <c r="B2002" s="9"/>
    </row>
    <row r="2003" spans="2:2" s="2" customFormat="1" x14ac:dyDescent="0.25">
      <c r="B2003" s="9"/>
    </row>
    <row r="2004" spans="2:2" s="2" customFormat="1" x14ac:dyDescent="0.25">
      <c r="B2004" s="9"/>
    </row>
    <row r="2005" spans="2:2" s="2" customFormat="1" x14ac:dyDescent="0.25">
      <c r="B2005" s="9"/>
    </row>
    <row r="2006" spans="2:2" s="2" customFormat="1" x14ac:dyDescent="0.25">
      <c r="B2006" s="9"/>
    </row>
    <row r="2007" spans="2:2" s="2" customFormat="1" x14ac:dyDescent="0.25">
      <c r="B2007" s="9"/>
    </row>
    <row r="2008" spans="2:2" s="2" customFormat="1" x14ac:dyDescent="0.25">
      <c r="B2008" s="9"/>
    </row>
    <row r="2009" spans="2:2" s="2" customFormat="1" x14ac:dyDescent="0.25">
      <c r="B2009" s="9"/>
    </row>
    <row r="2010" spans="2:2" s="2" customFormat="1" x14ac:dyDescent="0.25">
      <c r="B2010" s="9"/>
    </row>
    <row r="2011" spans="2:2" s="2" customFormat="1" x14ac:dyDescent="0.25">
      <c r="B2011" s="9"/>
    </row>
    <row r="2012" spans="2:2" s="2" customFormat="1" x14ac:dyDescent="0.25">
      <c r="B2012" s="9"/>
    </row>
    <row r="2013" spans="2:2" s="2" customFormat="1" x14ac:dyDescent="0.25">
      <c r="B2013" s="9"/>
    </row>
    <row r="2014" spans="2:2" s="2" customFormat="1" x14ac:dyDescent="0.25">
      <c r="B2014" s="9"/>
    </row>
    <row r="2015" spans="2:2" s="2" customFormat="1" x14ac:dyDescent="0.25">
      <c r="B2015" s="9"/>
    </row>
    <row r="2016" spans="2:2" s="2" customFormat="1" x14ac:dyDescent="0.25">
      <c r="B2016" s="9"/>
    </row>
    <row r="2017" spans="2:2" s="2" customFormat="1" x14ac:dyDescent="0.25">
      <c r="B2017" s="9"/>
    </row>
    <row r="2018" spans="2:2" s="2" customFormat="1" x14ac:dyDescent="0.25">
      <c r="B2018" s="9"/>
    </row>
    <row r="2019" spans="2:2" s="2" customFormat="1" x14ac:dyDescent="0.25">
      <c r="B2019" s="9"/>
    </row>
    <row r="2020" spans="2:2" s="2" customFormat="1" x14ac:dyDescent="0.25">
      <c r="B2020" s="9"/>
    </row>
    <row r="2021" spans="2:2" s="2" customFormat="1" x14ac:dyDescent="0.25">
      <c r="B2021" s="9"/>
    </row>
    <row r="2022" spans="2:2" s="2" customFormat="1" x14ac:dyDescent="0.25">
      <c r="B2022" s="9"/>
    </row>
    <row r="2023" spans="2:2" s="2" customFormat="1" x14ac:dyDescent="0.25">
      <c r="B2023" s="9"/>
    </row>
    <row r="2024" spans="2:2" s="2" customFormat="1" x14ac:dyDescent="0.25">
      <c r="B2024" s="9"/>
    </row>
    <row r="2025" spans="2:2" s="2" customFormat="1" x14ac:dyDescent="0.25">
      <c r="B2025" s="9"/>
    </row>
    <row r="2026" spans="2:2" s="2" customFormat="1" x14ac:dyDescent="0.25">
      <c r="B2026" s="9"/>
    </row>
    <row r="2027" spans="2:2" s="2" customFormat="1" x14ac:dyDescent="0.25">
      <c r="B2027" s="9"/>
    </row>
    <row r="2028" spans="2:2" s="2" customFormat="1" x14ac:dyDescent="0.25">
      <c r="B2028" s="9"/>
    </row>
    <row r="2029" spans="2:2" s="2" customFormat="1" x14ac:dyDescent="0.25">
      <c r="B2029" s="9"/>
    </row>
    <row r="2030" spans="2:2" s="2" customFormat="1" x14ac:dyDescent="0.25">
      <c r="B2030" s="9"/>
    </row>
    <row r="2031" spans="2:2" s="2" customFormat="1" x14ac:dyDescent="0.25">
      <c r="B2031" s="9"/>
    </row>
    <row r="2032" spans="2:2" s="2" customFormat="1" x14ac:dyDescent="0.25">
      <c r="B2032" s="9"/>
    </row>
    <row r="2033" spans="2:2" s="2" customFormat="1" x14ac:dyDescent="0.25">
      <c r="B2033" s="9"/>
    </row>
    <row r="2034" spans="2:2" s="2" customFormat="1" x14ac:dyDescent="0.25">
      <c r="B2034" s="9"/>
    </row>
    <row r="2035" spans="2:2" s="2" customFormat="1" x14ac:dyDescent="0.25">
      <c r="B2035" s="9"/>
    </row>
    <row r="2036" spans="2:2" s="2" customFormat="1" x14ac:dyDescent="0.25">
      <c r="B2036" s="9"/>
    </row>
    <row r="2037" spans="2:2" s="2" customFormat="1" x14ac:dyDescent="0.25">
      <c r="B2037" s="9"/>
    </row>
    <row r="2038" spans="2:2" s="2" customFormat="1" x14ac:dyDescent="0.25">
      <c r="B2038" s="9"/>
    </row>
    <row r="2039" spans="2:2" s="2" customFormat="1" x14ac:dyDescent="0.25">
      <c r="B2039" s="9"/>
    </row>
    <row r="2040" spans="2:2" s="2" customFormat="1" x14ac:dyDescent="0.25">
      <c r="B2040" s="9"/>
    </row>
    <row r="2041" spans="2:2" s="2" customFormat="1" x14ac:dyDescent="0.25">
      <c r="B2041" s="9"/>
    </row>
    <row r="2042" spans="2:2" s="2" customFormat="1" x14ac:dyDescent="0.25">
      <c r="B2042" s="9"/>
    </row>
    <row r="2043" spans="2:2" s="2" customFormat="1" x14ac:dyDescent="0.25">
      <c r="B2043" s="9"/>
    </row>
    <row r="2044" spans="2:2" s="2" customFormat="1" x14ac:dyDescent="0.25">
      <c r="B2044" s="9"/>
    </row>
    <row r="2045" spans="2:2" s="2" customFormat="1" x14ac:dyDescent="0.25">
      <c r="B2045" s="9"/>
    </row>
    <row r="2046" spans="2:2" s="2" customFormat="1" x14ac:dyDescent="0.25">
      <c r="B2046" s="9"/>
    </row>
    <row r="2047" spans="2:2" s="2" customFormat="1" x14ac:dyDescent="0.25">
      <c r="B2047" s="9"/>
    </row>
    <row r="2048" spans="2:2" s="2" customFormat="1" x14ac:dyDescent="0.25">
      <c r="B2048" s="9"/>
    </row>
    <row r="2049" spans="2:2" s="2" customFormat="1" x14ac:dyDescent="0.25">
      <c r="B2049" s="9"/>
    </row>
    <row r="2050" spans="2:2" s="2" customFormat="1" x14ac:dyDescent="0.25">
      <c r="B2050" s="9"/>
    </row>
    <row r="2051" spans="2:2" s="2" customFormat="1" x14ac:dyDescent="0.25">
      <c r="B2051" s="9"/>
    </row>
    <row r="2052" spans="2:2" s="2" customFormat="1" x14ac:dyDescent="0.25">
      <c r="B2052" s="9"/>
    </row>
    <row r="2053" spans="2:2" s="2" customFormat="1" x14ac:dyDescent="0.25">
      <c r="B2053" s="9"/>
    </row>
    <row r="2054" spans="2:2" s="2" customFormat="1" x14ac:dyDescent="0.25">
      <c r="B2054" s="9"/>
    </row>
    <row r="2055" spans="2:2" s="2" customFormat="1" x14ac:dyDescent="0.25">
      <c r="B2055" s="9"/>
    </row>
    <row r="2056" spans="2:2" s="2" customFormat="1" x14ac:dyDescent="0.25">
      <c r="B2056" s="9"/>
    </row>
    <row r="2057" spans="2:2" s="2" customFormat="1" x14ac:dyDescent="0.25">
      <c r="B2057" s="9"/>
    </row>
    <row r="2058" spans="2:2" s="2" customFormat="1" x14ac:dyDescent="0.25">
      <c r="B2058" s="9"/>
    </row>
    <row r="2059" spans="2:2" s="2" customFormat="1" x14ac:dyDescent="0.25">
      <c r="B2059" s="9"/>
    </row>
    <row r="2060" spans="2:2" s="2" customFormat="1" x14ac:dyDescent="0.25">
      <c r="B2060" s="9"/>
    </row>
    <row r="2061" spans="2:2" s="2" customFormat="1" x14ac:dyDescent="0.25">
      <c r="B2061" s="9"/>
    </row>
    <row r="2062" spans="2:2" s="2" customFormat="1" x14ac:dyDescent="0.25">
      <c r="B2062" s="9"/>
    </row>
    <row r="2063" spans="2:2" s="2" customFormat="1" x14ac:dyDescent="0.25">
      <c r="B2063" s="9"/>
    </row>
    <row r="2064" spans="2:2" s="2" customFormat="1" x14ac:dyDescent="0.25">
      <c r="B2064" s="9"/>
    </row>
    <row r="2065" spans="2:2" s="2" customFormat="1" x14ac:dyDescent="0.25">
      <c r="B2065" s="9"/>
    </row>
    <row r="2066" spans="2:2" s="2" customFormat="1" x14ac:dyDescent="0.25">
      <c r="B2066" s="9"/>
    </row>
    <row r="2067" spans="2:2" s="2" customFormat="1" x14ac:dyDescent="0.25">
      <c r="B2067" s="9"/>
    </row>
    <row r="2068" spans="2:2" s="2" customFormat="1" x14ac:dyDescent="0.25">
      <c r="B2068" s="9"/>
    </row>
    <row r="2069" spans="2:2" s="2" customFormat="1" x14ac:dyDescent="0.25">
      <c r="B2069" s="9"/>
    </row>
    <row r="2070" spans="2:2" s="2" customFormat="1" x14ac:dyDescent="0.25">
      <c r="B2070" s="9"/>
    </row>
    <row r="2071" spans="2:2" s="2" customFormat="1" x14ac:dyDescent="0.25">
      <c r="B2071" s="9"/>
    </row>
    <row r="2072" spans="2:2" s="2" customFormat="1" x14ac:dyDescent="0.25">
      <c r="B2072" s="9"/>
    </row>
    <row r="2073" spans="2:2" s="2" customFormat="1" x14ac:dyDescent="0.25">
      <c r="B2073" s="9"/>
    </row>
    <row r="2074" spans="2:2" s="2" customFormat="1" x14ac:dyDescent="0.25">
      <c r="B2074" s="9"/>
    </row>
    <row r="2075" spans="2:2" s="2" customFormat="1" x14ac:dyDescent="0.25">
      <c r="B2075" s="9"/>
    </row>
    <row r="2076" spans="2:2" s="2" customFormat="1" x14ac:dyDescent="0.25">
      <c r="B2076" s="9"/>
    </row>
    <row r="2077" spans="2:2" s="2" customFormat="1" x14ac:dyDescent="0.25">
      <c r="B2077" s="9"/>
    </row>
    <row r="2078" spans="2:2" s="2" customFormat="1" x14ac:dyDescent="0.25">
      <c r="B2078" s="9"/>
    </row>
    <row r="2079" spans="2:2" s="2" customFormat="1" x14ac:dyDescent="0.25">
      <c r="B2079" s="9"/>
    </row>
    <row r="2080" spans="2:2" s="2" customFormat="1" x14ac:dyDescent="0.25">
      <c r="B2080" s="9"/>
    </row>
    <row r="2081" spans="2:2" s="2" customFormat="1" x14ac:dyDescent="0.25">
      <c r="B2081" s="9"/>
    </row>
    <row r="2082" spans="2:2" s="2" customFormat="1" x14ac:dyDescent="0.25">
      <c r="B2082" s="9"/>
    </row>
    <row r="2083" spans="2:2" s="2" customFormat="1" x14ac:dyDescent="0.25">
      <c r="B2083" s="9"/>
    </row>
    <row r="2084" spans="2:2" s="2" customFormat="1" x14ac:dyDescent="0.25">
      <c r="B2084" s="9"/>
    </row>
    <row r="2085" spans="2:2" s="2" customFormat="1" x14ac:dyDescent="0.25">
      <c r="B2085" s="9"/>
    </row>
    <row r="2086" spans="2:2" s="2" customFormat="1" x14ac:dyDescent="0.25">
      <c r="B2086" s="9"/>
    </row>
    <row r="2087" spans="2:2" s="2" customFormat="1" x14ac:dyDescent="0.25">
      <c r="B2087" s="9"/>
    </row>
    <row r="2088" spans="2:2" s="2" customFormat="1" x14ac:dyDescent="0.25">
      <c r="B2088" s="9"/>
    </row>
    <row r="2089" spans="2:2" s="2" customFormat="1" x14ac:dyDescent="0.25">
      <c r="B2089" s="9"/>
    </row>
    <row r="2090" spans="2:2" s="2" customFormat="1" x14ac:dyDescent="0.25">
      <c r="B2090" s="9"/>
    </row>
    <row r="2091" spans="2:2" s="2" customFormat="1" x14ac:dyDescent="0.25">
      <c r="B2091" s="9"/>
    </row>
    <row r="2092" spans="2:2" s="2" customFormat="1" x14ac:dyDescent="0.25">
      <c r="B2092" s="9"/>
    </row>
    <row r="2093" spans="2:2" s="2" customFormat="1" x14ac:dyDescent="0.25">
      <c r="B2093" s="9"/>
    </row>
    <row r="2094" spans="2:2" s="2" customFormat="1" x14ac:dyDescent="0.25">
      <c r="B2094" s="9"/>
    </row>
    <row r="2095" spans="2:2" s="2" customFormat="1" x14ac:dyDescent="0.25">
      <c r="B2095" s="9"/>
    </row>
    <row r="2096" spans="2:2" s="2" customFormat="1" x14ac:dyDescent="0.25">
      <c r="B2096" s="9"/>
    </row>
    <row r="2097" spans="2:2" s="2" customFormat="1" x14ac:dyDescent="0.25">
      <c r="B2097" s="9"/>
    </row>
    <row r="2098" spans="2:2" s="2" customFormat="1" x14ac:dyDescent="0.25">
      <c r="B2098" s="9"/>
    </row>
    <row r="2099" spans="2:2" s="2" customFormat="1" x14ac:dyDescent="0.25">
      <c r="B2099" s="9"/>
    </row>
    <row r="2100" spans="2:2" s="2" customFormat="1" x14ac:dyDescent="0.25">
      <c r="B2100" s="9"/>
    </row>
    <row r="2101" spans="2:2" s="2" customFormat="1" x14ac:dyDescent="0.25">
      <c r="B2101" s="9"/>
    </row>
    <row r="2102" spans="2:2" s="2" customFormat="1" x14ac:dyDescent="0.25">
      <c r="B2102" s="9"/>
    </row>
    <row r="2103" spans="2:2" s="2" customFormat="1" x14ac:dyDescent="0.25">
      <c r="B2103" s="9"/>
    </row>
    <row r="2104" spans="2:2" s="2" customFormat="1" x14ac:dyDescent="0.25">
      <c r="B2104" s="9"/>
    </row>
    <row r="2105" spans="2:2" s="2" customFormat="1" x14ac:dyDescent="0.25">
      <c r="B2105" s="9"/>
    </row>
    <row r="2106" spans="2:2" s="2" customFormat="1" x14ac:dyDescent="0.25">
      <c r="B2106" s="9"/>
    </row>
    <row r="2107" spans="2:2" s="2" customFormat="1" x14ac:dyDescent="0.25">
      <c r="B2107" s="9"/>
    </row>
    <row r="2108" spans="2:2" s="2" customFormat="1" x14ac:dyDescent="0.25">
      <c r="B2108" s="9"/>
    </row>
    <row r="2109" spans="2:2" s="2" customFormat="1" x14ac:dyDescent="0.25">
      <c r="B2109" s="9"/>
    </row>
    <row r="2110" spans="2:2" s="2" customFormat="1" x14ac:dyDescent="0.25">
      <c r="B2110" s="9"/>
    </row>
    <row r="2111" spans="2:2" s="2" customFormat="1" x14ac:dyDescent="0.25">
      <c r="B2111" s="9"/>
    </row>
    <row r="2112" spans="2:2" s="2" customFormat="1" x14ac:dyDescent="0.25">
      <c r="B2112" s="9"/>
    </row>
    <row r="2113" spans="2:2" s="2" customFormat="1" x14ac:dyDescent="0.25">
      <c r="B2113" s="9"/>
    </row>
    <row r="2114" spans="2:2" s="2" customFormat="1" x14ac:dyDescent="0.25">
      <c r="B2114" s="9"/>
    </row>
    <row r="2115" spans="2:2" s="2" customFormat="1" x14ac:dyDescent="0.25">
      <c r="B2115" s="9"/>
    </row>
    <row r="2116" spans="2:2" s="2" customFormat="1" x14ac:dyDescent="0.25">
      <c r="B2116" s="9"/>
    </row>
    <row r="2117" spans="2:2" s="2" customFormat="1" x14ac:dyDescent="0.25">
      <c r="B2117" s="9"/>
    </row>
    <row r="2118" spans="2:2" s="2" customFormat="1" x14ac:dyDescent="0.25">
      <c r="B2118" s="9"/>
    </row>
    <row r="2119" spans="2:2" s="2" customFormat="1" x14ac:dyDescent="0.25">
      <c r="B2119" s="9"/>
    </row>
    <row r="2120" spans="2:2" s="2" customFormat="1" x14ac:dyDescent="0.25">
      <c r="B2120" s="9"/>
    </row>
    <row r="2121" spans="2:2" s="2" customFormat="1" x14ac:dyDescent="0.25">
      <c r="B2121" s="9"/>
    </row>
    <row r="2122" spans="2:2" s="2" customFormat="1" x14ac:dyDescent="0.25">
      <c r="B2122" s="9"/>
    </row>
    <row r="2123" spans="2:2" s="2" customFormat="1" x14ac:dyDescent="0.25">
      <c r="B2123" s="9"/>
    </row>
    <row r="2124" spans="2:2" s="2" customFormat="1" x14ac:dyDescent="0.25">
      <c r="B2124" s="9"/>
    </row>
    <row r="2125" spans="2:2" s="2" customFormat="1" x14ac:dyDescent="0.25">
      <c r="B2125" s="9"/>
    </row>
    <row r="2126" spans="2:2" s="2" customFormat="1" x14ac:dyDescent="0.25">
      <c r="B2126" s="9"/>
    </row>
    <row r="2127" spans="2:2" s="2" customFormat="1" x14ac:dyDescent="0.25">
      <c r="B2127" s="9"/>
    </row>
    <row r="2128" spans="2:2" s="2" customFormat="1" x14ac:dyDescent="0.25">
      <c r="B2128" s="9"/>
    </row>
    <row r="2129" spans="2:2" s="2" customFormat="1" x14ac:dyDescent="0.25">
      <c r="B2129" s="9"/>
    </row>
    <row r="2130" spans="2:2" s="2" customFormat="1" x14ac:dyDescent="0.25">
      <c r="B2130" s="9"/>
    </row>
    <row r="2131" spans="2:2" s="2" customFormat="1" x14ac:dyDescent="0.25">
      <c r="B2131" s="9"/>
    </row>
    <row r="2132" spans="2:2" s="2" customFormat="1" x14ac:dyDescent="0.25">
      <c r="B2132" s="9"/>
    </row>
    <row r="2133" spans="2:2" s="2" customFormat="1" x14ac:dyDescent="0.25">
      <c r="B2133" s="9"/>
    </row>
    <row r="2134" spans="2:2" s="2" customFormat="1" x14ac:dyDescent="0.25">
      <c r="B2134" s="9"/>
    </row>
    <row r="2135" spans="2:2" s="2" customFormat="1" x14ac:dyDescent="0.25">
      <c r="B2135" s="9"/>
    </row>
    <row r="2136" spans="2:2" s="2" customFormat="1" x14ac:dyDescent="0.25">
      <c r="B2136" s="9"/>
    </row>
    <row r="2137" spans="2:2" s="2" customFormat="1" x14ac:dyDescent="0.25">
      <c r="B2137" s="9"/>
    </row>
    <row r="2138" spans="2:2" s="2" customFormat="1" x14ac:dyDescent="0.25">
      <c r="B2138" s="9"/>
    </row>
    <row r="2139" spans="2:2" s="2" customFormat="1" x14ac:dyDescent="0.25">
      <c r="B2139" s="9"/>
    </row>
    <row r="2140" spans="2:2" s="2" customFormat="1" x14ac:dyDescent="0.25">
      <c r="B2140" s="9"/>
    </row>
    <row r="2141" spans="2:2" s="2" customFormat="1" x14ac:dyDescent="0.25">
      <c r="B2141" s="9"/>
    </row>
    <row r="2142" spans="2:2" s="2" customFormat="1" x14ac:dyDescent="0.25">
      <c r="B2142" s="9"/>
    </row>
    <row r="2143" spans="2:2" s="2" customFormat="1" x14ac:dyDescent="0.25">
      <c r="B2143" s="9"/>
    </row>
    <row r="2144" spans="2:2" s="2" customFormat="1" x14ac:dyDescent="0.25">
      <c r="B2144" s="9"/>
    </row>
    <row r="2145" spans="2:2" s="2" customFormat="1" x14ac:dyDescent="0.25">
      <c r="B2145" s="9"/>
    </row>
    <row r="2146" spans="2:2" s="2" customFormat="1" x14ac:dyDescent="0.25">
      <c r="B2146" s="9"/>
    </row>
    <row r="2147" spans="2:2" s="2" customFormat="1" x14ac:dyDescent="0.25">
      <c r="B2147" s="9"/>
    </row>
    <row r="2148" spans="2:2" s="2" customFormat="1" x14ac:dyDescent="0.25">
      <c r="B2148" s="9"/>
    </row>
    <row r="2149" spans="2:2" s="2" customFormat="1" x14ac:dyDescent="0.25">
      <c r="B2149" s="9"/>
    </row>
    <row r="2150" spans="2:2" s="2" customFormat="1" x14ac:dyDescent="0.25">
      <c r="B2150" s="9"/>
    </row>
    <row r="2151" spans="2:2" s="2" customFormat="1" x14ac:dyDescent="0.25">
      <c r="B2151" s="9"/>
    </row>
    <row r="2152" spans="2:2" s="2" customFormat="1" x14ac:dyDescent="0.25">
      <c r="B2152" s="9"/>
    </row>
    <row r="2153" spans="2:2" s="2" customFormat="1" x14ac:dyDescent="0.25">
      <c r="B2153" s="9"/>
    </row>
    <row r="2154" spans="2:2" s="2" customFormat="1" x14ac:dyDescent="0.25">
      <c r="B2154" s="9"/>
    </row>
    <row r="2155" spans="2:2" s="2" customFormat="1" x14ac:dyDescent="0.25">
      <c r="B2155" s="9"/>
    </row>
    <row r="2156" spans="2:2" s="2" customFormat="1" x14ac:dyDescent="0.25">
      <c r="B2156" s="9"/>
    </row>
    <row r="2157" spans="2:2" s="2" customFormat="1" x14ac:dyDescent="0.25">
      <c r="B2157" s="9"/>
    </row>
    <row r="2158" spans="2:2" s="2" customFormat="1" x14ac:dyDescent="0.25">
      <c r="B2158" s="9"/>
    </row>
    <row r="2159" spans="2:2" s="2" customFormat="1" x14ac:dyDescent="0.25">
      <c r="B2159" s="9"/>
    </row>
    <row r="2160" spans="2:2" s="2" customFormat="1" x14ac:dyDescent="0.25">
      <c r="B2160" s="9"/>
    </row>
    <row r="2161" spans="2:2" s="2" customFormat="1" x14ac:dyDescent="0.25">
      <c r="B2161" s="9"/>
    </row>
    <row r="2162" spans="2:2" s="2" customFormat="1" x14ac:dyDescent="0.25">
      <c r="B2162" s="9"/>
    </row>
    <row r="2163" spans="2:2" s="2" customFormat="1" x14ac:dyDescent="0.25">
      <c r="B2163" s="9"/>
    </row>
    <row r="2164" spans="2:2" s="2" customFormat="1" x14ac:dyDescent="0.25">
      <c r="B2164" s="9"/>
    </row>
    <row r="2165" spans="2:2" s="2" customFormat="1" x14ac:dyDescent="0.25">
      <c r="B2165" s="9"/>
    </row>
    <row r="2166" spans="2:2" s="2" customFormat="1" x14ac:dyDescent="0.25">
      <c r="B2166" s="9"/>
    </row>
    <row r="2167" spans="2:2" s="2" customFormat="1" x14ac:dyDescent="0.25">
      <c r="B2167" s="9"/>
    </row>
    <row r="2168" spans="2:2" s="2" customFormat="1" x14ac:dyDescent="0.25">
      <c r="B2168" s="9"/>
    </row>
    <row r="2169" spans="2:2" s="2" customFormat="1" x14ac:dyDescent="0.25">
      <c r="B2169" s="9"/>
    </row>
    <row r="2170" spans="2:2" s="2" customFormat="1" x14ac:dyDescent="0.25">
      <c r="B2170" s="9"/>
    </row>
    <row r="2171" spans="2:2" s="2" customFormat="1" x14ac:dyDescent="0.25">
      <c r="B2171" s="9"/>
    </row>
    <row r="2172" spans="2:2" s="2" customFormat="1" x14ac:dyDescent="0.25">
      <c r="B2172" s="9"/>
    </row>
    <row r="2173" spans="2:2" s="2" customFormat="1" x14ac:dyDescent="0.25">
      <c r="B2173" s="9"/>
    </row>
    <row r="2174" spans="2:2" s="2" customFormat="1" x14ac:dyDescent="0.25">
      <c r="B2174" s="9"/>
    </row>
    <row r="2175" spans="2:2" s="2" customFormat="1" x14ac:dyDescent="0.25">
      <c r="B2175" s="9"/>
    </row>
    <row r="2176" spans="2:2" s="2" customFormat="1" x14ac:dyDescent="0.25">
      <c r="B2176" s="9"/>
    </row>
    <row r="2177" spans="2:2" s="2" customFormat="1" x14ac:dyDescent="0.25">
      <c r="B2177" s="9"/>
    </row>
    <row r="2178" spans="2:2" s="2" customFormat="1" x14ac:dyDescent="0.25">
      <c r="B2178" s="9"/>
    </row>
    <row r="2179" spans="2:2" s="2" customFormat="1" x14ac:dyDescent="0.25">
      <c r="B2179" s="9"/>
    </row>
    <row r="2180" spans="2:2" s="2" customFormat="1" x14ac:dyDescent="0.25">
      <c r="B2180" s="9"/>
    </row>
    <row r="2181" spans="2:2" s="2" customFormat="1" x14ac:dyDescent="0.25">
      <c r="B2181" s="9"/>
    </row>
    <row r="2182" spans="2:2" s="2" customFormat="1" x14ac:dyDescent="0.25">
      <c r="B2182" s="9"/>
    </row>
    <row r="2183" spans="2:2" s="2" customFormat="1" x14ac:dyDescent="0.25">
      <c r="B2183" s="9"/>
    </row>
    <row r="2184" spans="2:2" s="2" customFormat="1" x14ac:dyDescent="0.25">
      <c r="B2184" s="9"/>
    </row>
    <row r="2185" spans="2:2" s="2" customFormat="1" x14ac:dyDescent="0.25">
      <c r="B2185" s="9"/>
    </row>
    <row r="2186" spans="2:2" s="2" customFormat="1" x14ac:dyDescent="0.25">
      <c r="B2186" s="9"/>
    </row>
    <row r="2187" spans="2:2" s="2" customFormat="1" x14ac:dyDescent="0.25">
      <c r="B2187" s="9"/>
    </row>
    <row r="2188" spans="2:2" s="2" customFormat="1" x14ac:dyDescent="0.25">
      <c r="B2188" s="9"/>
    </row>
    <row r="2189" spans="2:2" s="2" customFormat="1" x14ac:dyDescent="0.25">
      <c r="B2189" s="9"/>
    </row>
    <row r="2190" spans="2:2" s="2" customFormat="1" x14ac:dyDescent="0.25">
      <c r="B2190" s="9"/>
    </row>
    <row r="2191" spans="2:2" s="2" customFormat="1" x14ac:dyDescent="0.25">
      <c r="B2191" s="9"/>
    </row>
    <row r="2192" spans="2:2" s="2" customFormat="1" x14ac:dyDescent="0.25">
      <c r="B2192" s="9"/>
    </row>
    <row r="2193" spans="2:2" s="2" customFormat="1" x14ac:dyDescent="0.25">
      <c r="B2193" s="9"/>
    </row>
    <row r="2194" spans="2:2" s="2" customFormat="1" x14ac:dyDescent="0.25">
      <c r="B2194" s="9"/>
    </row>
    <row r="2195" spans="2:2" s="2" customFormat="1" x14ac:dyDescent="0.25">
      <c r="B2195" s="9"/>
    </row>
    <row r="2196" spans="2:2" s="2" customFormat="1" x14ac:dyDescent="0.25">
      <c r="B2196" s="9"/>
    </row>
    <row r="2197" spans="2:2" s="2" customFormat="1" x14ac:dyDescent="0.25">
      <c r="B2197" s="9"/>
    </row>
    <row r="2198" spans="2:2" s="2" customFormat="1" x14ac:dyDescent="0.25">
      <c r="B2198" s="9"/>
    </row>
    <row r="2199" spans="2:2" s="2" customFormat="1" x14ac:dyDescent="0.25">
      <c r="B2199" s="9"/>
    </row>
    <row r="2200" spans="2:2" s="2" customFormat="1" x14ac:dyDescent="0.25">
      <c r="B2200" s="9"/>
    </row>
    <row r="2201" spans="2:2" s="2" customFormat="1" x14ac:dyDescent="0.25">
      <c r="B2201" s="9"/>
    </row>
    <row r="2202" spans="2:2" s="2" customFormat="1" x14ac:dyDescent="0.25">
      <c r="B2202" s="9"/>
    </row>
    <row r="2203" spans="2:2" s="2" customFormat="1" x14ac:dyDescent="0.25">
      <c r="B2203" s="9"/>
    </row>
    <row r="2204" spans="2:2" s="2" customFormat="1" x14ac:dyDescent="0.25">
      <c r="B2204" s="9"/>
    </row>
    <row r="2205" spans="2:2" s="2" customFormat="1" x14ac:dyDescent="0.25">
      <c r="B2205" s="9"/>
    </row>
    <row r="2206" spans="2:2" s="2" customFormat="1" x14ac:dyDescent="0.25">
      <c r="B2206" s="9"/>
    </row>
    <row r="2207" spans="2:2" s="2" customFormat="1" x14ac:dyDescent="0.25">
      <c r="B2207" s="9"/>
    </row>
    <row r="2208" spans="2:2" s="2" customFormat="1" x14ac:dyDescent="0.25">
      <c r="B2208" s="9"/>
    </row>
    <row r="2209" spans="2:2" s="2" customFormat="1" x14ac:dyDescent="0.25">
      <c r="B2209" s="9"/>
    </row>
    <row r="2210" spans="2:2" s="2" customFormat="1" x14ac:dyDescent="0.25">
      <c r="B2210" s="9"/>
    </row>
    <row r="2211" spans="2:2" s="2" customFormat="1" x14ac:dyDescent="0.25">
      <c r="B2211" s="9"/>
    </row>
    <row r="2212" spans="2:2" s="2" customFormat="1" x14ac:dyDescent="0.25">
      <c r="B2212" s="9"/>
    </row>
    <row r="2213" spans="2:2" s="2" customFormat="1" x14ac:dyDescent="0.25">
      <c r="B2213" s="9"/>
    </row>
    <row r="2214" spans="2:2" s="2" customFormat="1" x14ac:dyDescent="0.25">
      <c r="B2214" s="9"/>
    </row>
    <row r="2215" spans="2:2" s="2" customFormat="1" x14ac:dyDescent="0.25">
      <c r="B2215" s="9"/>
    </row>
    <row r="2216" spans="2:2" s="2" customFormat="1" x14ac:dyDescent="0.25">
      <c r="B2216" s="9"/>
    </row>
    <row r="2217" spans="2:2" s="2" customFormat="1" x14ac:dyDescent="0.25">
      <c r="B2217" s="9"/>
    </row>
    <row r="2218" spans="2:2" s="2" customFormat="1" x14ac:dyDescent="0.25">
      <c r="B2218" s="9"/>
    </row>
    <row r="2219" spans="2:2" s="2" customFormat="1" x14ac:dyDescent="0.25">
      <c r="B2219" s="9"/>
    </row>
    <row r="2220" spans="2:2" s="2" customFormat="1" x14ac:dyDescent="0.25">
      <c r="B2220" s="9"/>
    </row>
    <row r="2221" spans="2:2" s="2" customFormat="1" x14ac:dyDescent="0.25">
      <c r="B2221" s="9"/>
    </row>
    <row r="2222" spans="2:2" s="2" customFormat="1" x14ac:dyDescent="0.25">
      <c r="B2222" s="9"/>
    </row>
    <row r="2223" spans="2:2" s="2" customFormat="1" x14ac:dyDescent="0.25">
      <c r="B2223" s="9"/>
    </row>
    <row r="2224" spans="2:2" s="2" customFormat="1" x14ac:dyDescent="0.25">
      <c r="B2224" s="9"/>
    </row>
    <row r="2225" spans="2:2" s="2" customFormat="1" x14ac:dyDescent="0.25">
      <c r="B2225" s="9"/>
    </row>
    <row r="2226" spans="2:2" s="2" customFormat="1" x14ac:dyDescent="0.25">
      <c r="B2226" s="9"/>
    </row>
    <row r="2227" spans="2:2" s="2" customFormat="1" x14ac:dyDescent="0.25">
      <c r="B2227" s="9"/>
    </row>
    <row r="2228" spans="2:2" s="2" customFormat="1" x14ac:dyDescent="0.25">
      <c r="B2228" s="9"/>
    </row>
    <row r="2229" spans="2:2" s="2" customFormat="1" x14ac:dyDescent="0.25">
      <c r="B2229" s="9"/>
    </row>
    <row r="2230" spans="2:2" s="2" customFormat="1" x14ac:dyDescent="0.25">
      <c r="B2230" s="9"/>
    </row>
    <row r="2231" spans="2:2" s="2" customFormat="1" x14ac:dyDescent="0.25">
      <c r="B2231" s="9"/>
    </row>
    <row r="2232" spans="2:2" s="2" customFormat="1" x14ac:dyDescent="0.25">
      <c r="B2232" s="9"/>
    </row>
    <row r="2233" spans="2:2" s="2" customFormat="1" x14ac:dyDescent="0.25">
      <c r="B2233" s="9"/>
    </row>
    <row r="2234" spans="2:2" s="2" customFormat="1" x14ac:dyDescent="0.25">
      <c r="B2234" s="9"/>
    </row>
    <row r="2235" spans="2:2" s="2" customFormat="1" x14ac:dyDescent="0.25">
      <c r="B2235" s="9"/>
    </row>
    <row r="2236" spans="2:2" s="2" customFormat="1" x14ac:dyDescent="0.25">
      <c r="B2236" s="9"/>
    </row>
    <row r="2237" spans="2:2" s="2" customFormat="1" x14ac:dyDescent="0.25">
      <c r="B2237" s="9"/>
    </row>
    <row r="2238" spans="2:2" s="2" customFormat="1" x14ac:dyDescent="0.25">
      <c r="B2238" s="9"/>
    </row>
    <row r="2239" spans="2:2" s="2" customFormat="1" x14ac:dyDescent="0.25">
      <c r="B2239" s="9"/>
    </row>
    <row r="2240" spans="2:2" s="2" customFormat="1" x14ac:dyDescent="0.25">
      <c r="B2240" s="9"/>
    </row>
    <row r="2241" spans="2:2" s="2" customFormat="1" x14ac:dyDescent="0.25">
      <c r="B2241" s="9"/>
    </row>
    <row r="2242" spans="2:2" s="2" customFormat="1" x14ac:dyDescent="0.25">
      <c r="B2242" s="9"/>
    </row>
    <row r="2243" spans="2:2" s="2" customFormat="1" x14ac:dyDescent="0.25">
      <c r="B2243" s="9"/>
    </row>
    <row r="2244" spans="2:2" s="2" customFormat="1" x14ac:dyDescent="0.25">
      <c r="B2244" s="9"/>
    </row>
    <row r="2245" spans="2:2" s="2" customFormat="1" x14ac:dyDescent="0.25">
      <c r="B2245" s="9"/>
    </row>
    <row r="2246" spans="2:2" s="2" customFormat="1" x14ac:dyDescent="0.25">
      <c r="B2246" s="9"/>
    </row>
    <row r="2247" spans="2:2" s="2" customFormat="1" x14ac:dyDescent="0.25">
      <c r="B2247" s="9"/>
    </row>
    <row r="2248" spans="2:2" s="2" customFormat="1" x14ac:dyDescent="0.25">
      <c r="B2248" s="9"/>
    </row>
    <row r="2249" spans="2:2" s="2" customFormat="1" x14ac:dyDescent="0.25">
      <c r="B2249" s="9"/>
    </row>
    <row r="2250" spans="2:2" s="2" customFormat="1" x14ac:dyDescent="0.25">
      <c r="B2250" s="9"/>
    </row>
    <row r="2251" spans="2:2" s="2" customFormat="1" x14ac:dyDescent="0.25">
      <c r="B2251" s="9"/>
    </row>
    <row r="2252" spans="2:2" s="2" customFormat="1" x14ac:dyDescent="0.25">
      <c r="B2252" s="9"/>
    </row>
    <row r="2253" spans="2:2" s="2" customFormat="1" x14ac:dyDescent="0.25">
      <c r="B2253" s="9"/>
    </row>
    <row r="2254" spans="2:2" s="2" customFormat="1" x14ac:dyDescent="0.25">
      <c r="B2254" s="9"/>
    </row>
    <row r="2255" spans="2:2" s="2" customFormat="1" x14ac:dyDescent="0.25">
      <c r="B2255" s="9"/>
    </row>
    <row r="2256" spans="2:2" s="2" customFormat="1" x14ac:dyDescent="0.25">
      <c r="B2256" s="9"/>
    </row>
    <row r="2257" spans="2:2" s="2" customFormat="1" x14ac:dyDescent="0.25">
      <c r="B2257" s="9"/>
    </row>
    <row r="2258" spans="2:2" s="2" customFormat="1" x14ac:dyDescent="0.25">
      <c r="B2258" s="9"/>
    </row>
    <row r="2259" spans="2:2" s="2" customFormat="1" x14ac:dyDescent="0.25">
      <c r="B2259" s="9"/>
    </row>
    <row r="2260" spans="2:2" s="2" customFormat="1" x14ac:dyDescent="0.25">
      <c r="B2260" s="9"/>
    </row>
    <row r="2261" spans="2:2" s="2" customFormat="1" x14ac:dyDescent="0.25">
      <c r="B2261" s="9"/>
    </row>
    <row r="2262" spans="2:2" s="2" customFormat="1" x14ac:dyDescent="0.25">
      <c r="B2262" s="9"/>
    </row>
    <row r="2263" spans="2:2" s="2" customFormat="1" x14ac:dyDescent="0.25">
      <c r="B2263" s="9"/>
    </row>
    <row r="2264" spans="2:2" s="2" customFormat="1" x14ac:dyDescent="0.25">
      <c r="B2264" s="9"/>
    </row>
    <row r="2265" spans="2:2" s="2" customFormat="1" x14ac:dyDescent="0.25">
      <c r="B2265" s="9"/>
    </row>
    <row r="2266" spans="2:2" s="2" customFormat="1" x14ac:dyDescent="0.25">
      <c r="B2266" s="9"/>
    </row>
    <row r="2267" spans="2:2" s="2" customFormat="1" x14ac:dyDescent="0.25">
      <c r="B2267" s="9"/>
    </row>
    <row r="2268" spans="2:2" s="2" customFormat="1" x14ac:dyDescent="0.25">
      <c r="B2268" s="9"/>
    </row>
    <row r="2269" spans="2:2" s="2" customFormat="1" x14ac:dyDescent="0.25">
      <c r="B2269" s="9"/>
    </row>
    <row r="2270" spans="2:2" s="2" customFormat="1" x14ac:dyDescent="0.25">
      <c r="B2270" s="9"/>
    </row>
    <row r="2271" spans="2:2" s="2" customFormat="1" x14ac:dyDescent="0.25">
      <c r="B2271" s="9"/>
    </row>
    <row r="2272" spans="2:2" s="2" customFormat="1" x14ac:dyDescent="0.25">
      <c r="B2272" s="9"/>
    </row>
    <row r="2273" spans="2:2" s="2" customFormat="1" x14ac:dyDescent="0.25">
      <c r="B2273" s="9"/>
    </row>
    <row r="2274" spans="2:2" s="2" customFormat="1" x14ac:dyDescent="0.25">
      <c r="B2274" s="9"/>
    </row>
    <row r="2275" spans="2:2" s="2" customFormat="1" x14ac:dyDescent="0.25">
      <c r="B2275" s="9"/>
    </row>
    <row r="2276" spans="2:2" s="2" customFormat="1" x14ac:dyDescent="0.25">
      <c r="B2276" s="9"/>
    </row>
    <row r="2277" spans="2:2" s="2" customFormat="1" x14ac:dyDescent="0.25">
      <c r="B2277" s="9"/>
    </row>
    <row r="2278" spans="2:2" s="2" customFormat="1" x14ac:dyDescent="0.25">
      <c r="B2278" s="9"/>
    </row>
    <row r="2279" spans="2:2" s="2" customFormat="1" x14ac:dyDescent="0.25">
      <c r="B2279" s="9"/>
    </row>
    <row r="2280" spans="2:2" s="2" customFormat="1" x14ac:dyDescent="0.25">
      <c r="B2280" s="9"/>
    </row>
    <row r="2281" spans="2:2" s="2" customFormat="1" x14ac:dyDescent="0.25">
      <c r="B2281" s="9"/>
    </row>
    <row r="2282" spans="2:2" s="2" customFormat="1" x14ac:dyDescent="0.25">
      <c r="B2282" s="9"/>
    </row>
    <row r="2283" spans="2:2" s="2" customFormat="1" x14ac:dyDescent="0.25">
      <c r="B2283" s="9"/>
    </row>
    <row r="2284" spans="2:2" s="2" customFormat="1" x14ac:dyDescent="0.25">
      <c r="B2284" s="9"/>
    </row>
    <row r="2285" spans="2:2" s="2" customFormat="1" x14ac:dyDescent="0.25">
      <c r="B2285" s="9"/>
    </row>
    <row r="2286" spans="2:2" s="2" customFormat="1" x14ac:dyDescent="0.25">
      <c r="B2286" s="9"/>
    </row>
    <row r="2287" spans="2:2" s="2" customFormat="1" x14ac:dyDescent="0.25">
      <c r="B2287" s="9"/>
    </row>
    <row r="2288" spans="2:2" s="2" customFormat="1" x14ac:dyDescent="0.25">
      <c r="B2288" s="9"/>
    </row>
    <row r="2289" spans="2:2" s="2" customFormat="1" x14ac:dyDescent="0.25">
      <c r="B2289" s="9"/>
    </row>
    <row r="2290" spans="2:2" s="2" customFormat="1" x14ac:dyDescent="0.25">
      <c r="B2290" s="9"/>
    </row>
    <row r="2291" spans="2:2" s="2" customFormat="1" x14ac:dyDescent="0.25">
      <c r="B2291" s="9"/>
    </row>
    <row r="2292" spans="2:2" s="2" customFormat="1" x14ac:dyDescent="0.25">
      <c r="B2292" s="9"/>
    </row>
    <row r="2293" spans="2:2" s="2" customFormat="1" x14ac:dyDescent="0.25">
      <c r="B2293" s="9"/>
    </row>
    <row r="2294" spans="2:2" s="2" customFormat="1" x14ac:dyDescent="0.25">
      <c r="B2294" s="9"/>
    </row>
    <row r="2295" spans="2:2" s="2" customFormat="1" x14ac:dyDescent="0.25">
      <c r="B2295" s="9"/>
    </row>
    <row r="2296" spans="2:2" s="2" customFormat="1" x14ac:dyDescent="0.25">
      <c r="B2296" s="9"/>
    </row>
    <row r="2297" spans="2:2" s="2" customFormat="1" x14ac:dyDescent="0.25">
      <c r="B2297" s="9"/>
    </row>
    <row r="2298" spans="2:2" s="2" customFormat="1" x14ac:dyDescent="0.25">
      <c r="B2298" s="9"/>
    </row>
    <row r="2299" spans="2:2" s="2" customFormat="1" x14ac:dyDescent="0.25">
      <c r="B2299" s="9"/>
    </row>
    <row r="2300" spans="2:2" s="2" customFormat="1" x14ac:dyDescent="0.25">
      <c r="B2300" s="9"/>
    </row>
    <row r="2301" spans="2:2" s="2" customFormat="1" x14ac:dyDescent="0.25">
      <c r="B2301" s="9"/>
    </row>
    <row r="2302" spans="2:2" s="2" customFormat="1" x14ac:dyDescent="0.25">
      <c r="B2302" s="9"/>
    </row>
    <row r="2303" spans="2:2" s="2" customFormat="1" x14ac:dyDescent="0.25">
      <c r="B2303" s="9"/>
    </row>
    <row r="2304" spans="2:2" s="2" customFormat="1" x14ac:dyDescent="0.25">
      <c r="B2304" s="9"/>
    </row>
    <row r="2305" spans="2:2" s="2" customFormat="1" x14ac:dyDescent="0.25">
      <c r="B2305" s="9"/>
    </row>
    <row r="2306" spans="2:2" s="2" customFormat="1" x14ac:dyDescent="0.25">
      <c r="B2306" s="9"/>
    </row>
    <row r="2307" spans="2:2" s="2" customFormat="1" x14ac:dyDescent="0.25">
      <c r="B2307" s="9"/>
    </row>
    <row r="2308" spans="2:2" s="2" customFormat="1" x14ac:dyDescent="0.25">
      <c r="B2308" s="9"/>
    </row>
    <row r="2309" spans="2:2" s="2" customFormat="1" x14ac:dyDescent="0.25">
      <c r="B2309" s="9"/>
    </row>
    <row r="2310" spans="2:2" s="2" customFormat="1" x14ac:dyDescent="0.25">
      <c r="B2310" s="9"/>
    </row>
    <row r="2311" spans="2:2" s="2" customFormat="1" x14ac:dyDescent="0.25">
      <c r="B2311" s="9"/>
    </row>
    <row r="2312" spans="2:2" s="2" customFormat="1" x14ac:dyDescent="0.25">
      <c r="B2312" s="9"/>
    </row>
    <row r="2313" spans="2:2" s="2" customFormat="1" x14ac:dyDescent="0.25">
      <c r="B2313" s="9"/>
    </row>
    <row r="2314" spans="2:2" s="2" customFormat="1" x14ac:dyDescent="0.25">
      <c r="B2314" s="9"/>
    </row>
    <row r="2315" spans="2:2" s="2" customFormat="1" x14ac:dyDescent="0.25">
      <c r="B2315" s="9"/>
    </row>
    <row r="2316" spans="2:2" s="2" customFormat="1" x14ac:dyDescent="0.25">
      <c r="B2316" s="9"/>
    </row>
    <row r="2317" spans="2:2" s="2" customFormat="1" x14ac:dyDescent="0.25">
      <c r="B2317" s="9"/>
    </row>
    <row r="2318" spans="2:2" s="2" customFormat="1" x14ac:dyDescent="0.25">
      <c r="B2318" s="9"/>
    </row>
    <row r="2319" spans="2:2" s="2" customFormat="1" x14ac:dyDescent="0.25">
      <c r="B2319" s="9"/>
    </row>
    <row r="2320" spans="2:2" s="2" customFormat="1" x14ac:dyDescent="0.25">
      <c r="B2320" s="9"/>
    </row>
    <row r="2321" spans="2:2" s="2" customFormat="1" x14ac:dyDescent="0.25">
      <c r="B2321" s="9"/>
    </row>
    <row r="2322" spans="2:2" s="2" customFormat="1" x14ac:dyDescent="0.25">
      <c r="B2322" s="9"/>
    </row>
    <row r="2323" spans="2:2" s="2" customFormat="1" x14ac:dyDescent="0.25">
      <c r="B2323" s="9"/>
    </row>
    <row r="2324" spans="2:2" s="2" customFormat="1" x14ac:dyDescent="0.25">
      <c r="B2324" s="9"/>
    </row>
    <row r="2325" spans="2:2" s="2" customFormat="1" x14ac:dyDescent="0.25">
      <c r="B2325" s="9"/>
    </row>
    <row r="2326" spans="2:2" s="2" customFormat="1" x14ac:dyDescent="0.25">
      <c r="B2326" s="9"/>
    </row>
    <row r="2327" spans="2:2" s="2" customFormat="1" x14ac:dyDescent="0.25">
      <c r="B2327" s="9"/>
    </row>
    <row r="2328" spans="2:2" s="2" customFormat="1" x14ac:dyDescent="0.25">
      <c r="B2328" s="9"/>
    </row>
    <row r="2329" spans="2:2" s="2" customFormat="1" x14ac:dyDescent="0.25">
      <c r="B2329" s="9"/>
    </row>
    <row r="2330" spans="2:2" s="2" customFormat="1" x14ac:dyDescent="0.25">
      <c r="B2330" s="9"/>
    </row>
    <row r="2331" spans="2:2" s="2" customFormat="1" x14ac:dyDescent="0.25">
      <c r="B2331" s="9"/>
    </row>
    <row r="2332" spans="2:2" s="2" customFormat="1" x14ac:dyDescent="0.25">
      <c r="B2332" s="9"/>
    </row>
    <row r="2333" spans="2:2" s="2" customFormat="1" x14ac:dyDescent="0.25">
      <c r="B2333" s="9"/>
    </row>
    <row r="2334" spans="2:2" s="2" customFormat="1" x14ac:dyDescent="0.25">
      <c r="B2334" s="9"/>
    </row>
    <row r="2335" spans="2:2" s="2" customFormat="1" x14ac:dyDescent="0.25">
      <c r="B2335" s="9"/>
    </row>
    <row r="2336" spans="2:2" s="2" customFormat="1" x14ac:dyDescent="0.25">
      <c r="B2336" s="9"/>
    </row>
    <row r="2337" spans="2:2" s="2" customFormat="1" x14ac:dyDescent="0.25">
      <c r="B2337" s="9"/>
    </row>
    <row r="2338" spans="2:2" s="2" customFormat="1" x14ac:dyDescent="0.25">
      <c r="B2338" s="9"/>
    </row>
    <row r="2339" spans="2:2" s="2" customFormat="1" x14ac:dyDescent="0.25">
      <c r="B2339" s="9"/>
    </row>
    <row r="2340" spans="2:2" s="2" customFormat="1" x14ac:dyDescent="0.25">
      <c r="B2340" s="9"/>
    </row>
    <row r="2341" spans="2:2" s="2" customFormat="1" x14ac:dyDescent="0.25">
      <c r="B2341" s="9"/>
    </row>
    <row r="2342" spans="2:2" s="2" customFormat="1" x14ac:dyDescent="0.25">
      <c r="B2342" s="9"/>
    </row>
    <row r="2343" spans="2:2" s="2" customFormat="1" x14ac:dyDescent="0.25">
      <c r="B2343" s="9"/>
    </row>
    <row r="2344" spans="2:2" s="2" customFormat="1" x14ac:dyDescent="0.25">
      <c r="B2344" s="9"/>
    </row>
    <row r="2345" spans="2:2" s="2" customFormat="1" x14ac:dyDescent="0.25">
      <c r="B2345" s="9"/>
    </row>
    <row r="2346" spans="2:2" s="2" customFormat="1" x14ac:dyDescent="0.25">
      <c r="B2346" s="9"/>
    </row>
    <row r="2347" spans="2:2" s="2" customFormat="1" x14ac:dyDescent="0.25">
      <c r="B2347" s="9"/>
    </row>
    <row r="2348" spans="2:2" s="2" customFormat="1" x14ac:dyDescent="0.25">
      <c r="B2348" s="9"/>
    </row>
    <row r="2349" spans="2:2" s="2" customFormat="1" x14ac:dyDescent="0.25">
      <c r="B2349" s="9"/>
    </row>
    <row r="2350" spans="2:2" s="2" customFormat="1" x14ac:dyDescent="0.25">
      <c r="B2350" s="9"/>
    </row>
    <row r="2351" spans="2:2" s="2" customFormat="1" x14ac:dyDescent="0.25">
      <c r="B2351" s="9"/>
    </row>
    <row r="2352" spans="2:2" s="2" customFormat="1" x14ac:dyDescent="0.25">
      <c r="B2352" s="9"/>
    </row>
    <row r="2353" spans="2:2" s="2" customFormat="1" x14ac:dyDescent="0.25">
      <c r="B2353" s="9"/>
    </row>
    <row r="2354" spans="2:2" s="2" customFormat="1" x14ac:dyDescent="0.25">
      <c r="B2354" s="9"/>
    </row>
    <row r="2355" spans="2:2" s="2" customFormat="1" x14ac:dyDescent="0.25">
      <c r="B2355" s="9"/>
    </row>
    <row r="2356" spans="2:2" s="2" customFormat="1" x14ac:dyDescent="0.25">
      <c r="B2356" s="9"/>
    </row>
    <row r="2357" spans="2:2" s="2" customFormat="1" x14ac:dyDescent="0.25">
      <c r="B2357" s="9"/>
    </row>
    <row r="2358" spans="2:2" s="2" customFormat="1" x14ac:dyDescent="0.25">
      <c r="B2358" s="9"/>
    </row>
    <row r="2359" spans="2:2" s="2" customFormat="1" x14ac:dyDescent="0.25">
      <c r="B2359" s="9"/>
    </row>
    <row r="2360" spans="2:2" s="2" customFormat="1" x14ac:dyDescent="0.25">
      <c r="B2360" s="9"/>
    </row>
    <row r="2361" spans="2:2" s="2" customFormat="1" x14ac:dyDescent="0.25">
      <c r="B2361" s="9"/>
    </row>
    <row r="2362" spans="2:2" s="2" customFormat="1" x14ac:dyDescent="0.25">
      <c r="B2362" s="9"/>
    </row>
    <row r="2363" spans="2:2" s="2" customFormat="1" x14ac:dyDescent="0.25">
      <c r="B2363" s="9"/>
    </row>
    <row r="2364" spans="2:2" s="2" customFormat="1" x14ac:dyDescent="0.25">
      <c r="B2364" s="9"/>
    </row>
    <row r="2365" spans="2:2" s="2" customFormat="1" x14ac:dyDescent="0.25">
      <c r="B2365" s="9"/>
    </row>
    <row r="2366" spans="2:2" s="2" customFormat="1" x14ac:dyDescent="0.25">
      <c r="B2366" s="9"/>
    </row>
    <row r="2367" spans="2:2" s="2" customFormat="1" x14ac:dyDescent="0.25">
      <c r="B2367" s="9"/>
    </row>
    <row r="2368" spans="2:2" s="2" customFormat="1" x14ac:dyDescent="0.25">
      <c r="B2368" s="9"/>
    </row>
    <row r="2369" spans="2:2" s="2" customFormat="1" x14ac:dyDescent="0.25">
      <c r="B2369" s="9"/>
    </row>
    <row r="2370" spans="2:2" s="2" customFormat="1" x14ac:dyDescent="0.25">
      <c r="B2370" s="9"/>
    </row>
    <row r="2371" spans="2:2" s="2" customFormat="1" x14ac:dyDescent="0.25">
      <c r="B2371" s="9"/>
    </row>
    <row r="2372" spans="2:2" s="2" customFormat="1" x14ac:dyDescent="0.25">
      <c r="B2372" s="9"/>
    </row>
    <row r="2373" spans="2:2" s="2" customFormat="1" x14ac:dyDescent="0.25">
      <c r="B2373" s="9"/>
    </row>
    <row r="2374" spans="2:2" s="2" customFormat="1" x14ac:dyDescent="0.25">
      <c r="B2374" s="9"/>
    </row>
    <row r="2375" spans="2:2" s="2" customFormat="1" x14ac:dyDescent="0.25">
      <c r="B2375" s="9"/>
    </row>
    <row r="2376" spans="2:2" s="2" customFormat="1" x14ac:dyDescent="0.25">
      <c r="B2376" s="9"/>
    </row>
    <row r="2377" spans="2:2" s="2" customFormat="1" x14ac:dyDescent="0.25">
      <c r="B2377" s="9"/>
    </row>
    <row r="2378" spans="2:2" s="2" customFormat="1" x14ac:dyDescent="0.25">
      <c r="B2378" s="9"/>
    </row>
    <row r="2379" spans="2:2" s="2" customFormat="1" x14ac:dyDescent="0.25">
      <c r="B2379" s="9"/>
    </row>
    <row r="2380" spans="2:2" s="2" customFormat="1" x14ac:dyDescent="0.25">
      <c r="B2380" s="9"/>
    </row>
    <row r="2381" spans="2:2" s="2" customFormat="1" x14ac:dyDescent="0.25">
      <c r="B2381" s="9"/>
    </row>
    <row r="2382" spans="2:2" s="2" customFormat="1" x14ac:dyDescent="0.25">
      <c r="B2382" s="9"/>
    </row>
    <row r="2383" spans="2:2" s="2" customFormat="1" x14ac:dyDescent="0.25">
      <c r="B2383" s="9"/>
    </row>
    <row r="2384" spans="2:2" s="2" customFormat="1" x14ac:dyDescent="0.25">
      <c r="B2384" s="9"/>
    </row>
    <row r="2385" spans="2:2" s="2" customFormat="1" x14ac:dyDescent="0.25">
      <c r="B2385" s="9"/>
    </row>
    <row r="2386" spans="2:2" s="2" customFormat="1" x14ac:dyDescent="0.25">
      <c r="B2386" s="9"/>
    </row>
    <row r="2387" spans="2:2" s="2" customFormat="1" x14ac:dyDescent="0.25">
      <c r="B2387" s="9"/>
    </row>
    <row r="2388" spans="2:2" s="2" customFormat="1" x14ac:dyDescent="0.25">
      <c r="B2388" s="9"/>
    </row>
    <row r="2389" spans="2:2" s="2" customFormat="1" x14ac:dyDescent="0.25">
      <c r="B2389" s="9"/>
    </row>
    <row r="2390" spans="2:2" s="2" customFormat="1" x14ac:dyDescent="0.25">
      <c r="B2390" s="9"/>
    </row>
    <row r="2391" spans="2:2" s="2" customFormat="1" x14ac:dyDescent="0.25">
      <c r="B2391" s="9"/>
    </row>
    <row r="2392" spans="2:2" s="2" customFormat="1" x14ac:dyDescent="0.25">
      <c r="B2392" s="9"/>
    </row>
    <row r="2393" spans="2:2" s="2" customFormat="1" x14ac:dyDescent="0.25">
      <c r="B2393" s="9"/>
    </row>
    <row r="2394" spans="2:2" s="2" customFormat="1" x14ac:dyDescent="0.25">
      <c r="B2394" s="9"/>
    </row>
    <row r="2395" spans="2:2" s="2" customFormat="1" x14ac:dyDescent="0.25">
      <c r="B2395" s="9"/>
    </row>
    <row r="2396" spans="2:2" s="2" customFormat="1" x14ac:dyDescent="0.25">
      <c r="B2396" s="9"/>
    </row>
    <row r="2397" spans="2:2" s="2" customFormat="1" x14ac:dyDescent="0.25">
      <c r="B2397" s="9"/>
    </row>
    <row r="2398" spans="2:2" s="2" customFormat="1" x14ac:dyDescent="0.25">
      <c r="B2398" s="9"/>
    </row>
    <row r="2399" spans="2:2" s="2" customFormat="1" x14ac:dyDescent="0.25">
      <c r="B2399" s="9"/>
    </row>
    <row r="2400" spans="2:2" s="2" customFormat="1" x14ac:dyDescent="0.25">
      <c r="B2400" s="9"/>
    </row>
    <row r="2401" spans="2:2" s="2" customFormat="1" x14ac:dyDescent="0.25">
      <c r="B2401" s="9"/>
    </row>
    <row r="2402" spans="2:2" s="2" customFormat="1" x14ac:dyDescent="0.25">
      <c r="B2402" s="9"/>
    </row>
    <row r="2403" spans="2:2" s="2" customFormat="1" x14ac:dyDescent="0.25">
      <c r="B2403" s="9"/>
    </row>
    <row r="2404" spans="2:2" s="2" customFormat="1" x14ac:dyDescent="0.25">
      <c r="B2404" s="9"/>
    </row>
    <row r="2405" spans="2:2" s="2" customFormat="1" x14ac:dyDescent="0.25">
      <c r="B2405" s="9"/>
    </row>
    <row r="2406" spans="2:2" s="2" customFormat="1" x14ac:dyDescent="0.25">
      <c r="B2406" s="9"/>
    </row>
    <row r="2407" spans="2:2" s="2" customFormat="1" x14ac:dyDescent="0.25">
      <c r="B2407" s="9"/>
    </row>
    <row r="2408" spans="2:2" s="2" customFormat="1" x14ac:dyDescent="0.25">
      <c r="B2408" s="9"/>
    </row>
    <row r="2409" spans="2:2" s="2" customFormat="1" x14ac:dyDescent="0.25">
      <c r="B2409" s="9"/>
    </row>
    <row r="2410" spans="2:2" s="2" customFormat="1" x14ac:dyDescent="0.25">
      <c r="B2410" s="9"/>
    </row>
    <row r="2411" spans="2:2" s="2" customFormat="1" x14ac:dyDescent="0.25">
      <c r="B2411" s="9"/>
    </row>
    <row r="2412" spans="2:2" s="2" customFormat="1" x14ac:dyDescent="0.25">
      <c r="B2412" s="9"/>
    </row>
    <row r="2413" spans="2:2" s="2" customFormat="1" x14ac:dyDescent="0.25">
      <c r="B2413" s="9"/>
    </row>
    <row r="2414" spans="2:2" s="2" customFormat="1" x14ac:dyDescent="0.25">
      <c r="B2414" s="9"/>
    </row>
    <row r="2415" spans="2:2" s="2" customFormat="1" x14ac:dyDescent="0.25">
      <c r="B2415" s="9"/>
    </row>
    <row r="2416" spans="2:2" s="2" customFormat="1" x14ac:dyDescent="0.25">
      <c r="B2416" s="9"/>
    </row>
    <row r="2417" spans="2:2" s="2" customFormat="1" x14ac:dyDescent="0.25">
      <c r="B2417" s="9"/>
    </row>
    <row r="2418" spans="2:2" s="2" customFormat="1" x14ac:dyDescent="0.25">
      <c r="B2418" s="9"/>
    </row>
    <row r="2419" spans="2:2" s="2" customFormat="1" x14ac:dyDescent="0.25">
      <c r="B2419" s="9"/>
    </row>
    <row r="2420" spans="2:2" s="2" customFormat="1" x14ac:dyDescent="0.25">
      <c r="B2420" s="9"/>
    </row>
    <row r="2421" spans="2:2" s="2" customFormat="1" x14ac:dyDescent="0.25">
      <c r="B2421" s="9"/>
    </row>
    <row r="2422" spans="2:2" s="2" customFormat="1" x14ac:dyDescent="0.25">
      <c r="B2422" s="9"/>
    </row>
    <row r="2423" spans="2:2" s="2" customFormat="1" x14ac:dyDescent="0.25">
      <c r="B2423" s="9"/>
    </row>
    <row r="2424" spans="2:2" s="2" customFormat="1" x14ac:dyDescent="0.25">
      <c r="B2424" s="9"/>
    </row>
    <row r="2425" spans="2:2" s="2" customFormat="1" x14ac:dyDescent="0.25">
      <c r="B2425" s="9"/>
    </row>
    <row r="2426" spans="2:2" s="2" customFormat="1" x14ac:dyDescent="0.25">
      <c r="B2426" s="9"/>
    </row>
    <row r="2427" spans="2:2" s="2" customFormat="1" x14ac:dyDescent="0.25">
      <c r="B2427" s="9"/>
    </row>
    <row r="2428" spans="2:2" s="2" customFormat="1" x14ac:dyDescent="0.25">
      <c r="B2428" s="9"/>
    </row>
    <row r="2429" spans="2:2" s="2" customFormat="1" x14ac:dyDescent="0.25">
      <c r="B2429" s="9"/>
    </row>
    <row r="2430" spans="2:2" s="2" customFormat="1" x14ac:dyDescent="0.25">
      <c r="B2430" s="9"/>
    </row>
    <row r="2431" spans="2:2" s="2" customFormat="1" x14ac:dyDescent="0.25">
      <c r="B2431" s="9"/>
    </row>
    <row r="2432" spans="2:2" s="2" customFormat="1" x14ac:dyDescent="0.25">
      <c r="B2432" s="9"/>
    </row>
    <row r="2433" spans="2:2" s="2" customFormat="1" x14ac:dyDescent="0.25">
      <c r="B2433" s="9"/>
    </row>
    <row r="2434" spans="2:2" s="2" customFormat="1" x14ac:dyDescent="0.25">
      <c r="B2434" s="9"/>
    </row>
    <row r="2435" spans="2:2" s="2" customFormat="1" x14ac:dyDescent="0.25">
      <c r="B2435" s="9"/>
    </row>
    <row r="2436" spans="2:2" s="2" customFormat="1" x14ac:dyDescent="0.25">
      <c r="B2436" s="9"/>
    </row>
    <row r="2437" spans="2:2" s="2" customFormat="1" x14ac:dyDescent="0.25">
      <c r="B2437" s="9"/>
    </row>
    <row r="2438" spans="2:2" s="2" customFormat="1" x14ac:dyDescent="0.25">
      <c r="B2438" s="9"/>
    </row>
    <row r="2439" spans="2:2" s="2" customFormat="1" x14ac:dyDescent="0.25">
      <c r="B2439" s="9"/>
    </row>
    <row r="2440" spans="2:2" s="2" customFormat="1" x14ac:dyDescent="0.25">
      <c r="B2440" s="9"/>
    </row>
    <row r="2441" spans="2:2" s="2" customFormat="1" x14ac:dyDescent="0.25">
      <c r="B2441" s="9"/>
    </row>
    <row r="2442" spans="2:2" s="2" customFormat="1" x14ac:dyDescent="0.25">
      <c r="B2442" s="9"/>
    </row>
    <row r="2443" spans="2:2" s="2" customFormat="1" x14ac:dyDescent="0.25">
      <c r="B2443" s="9"/>
    </row>
    <row r="2444" spans="2:2" s="2" customFormat="1" x14ac:dyDescent="0.25">
      <c r="B2444" s="9"/>
    </row>
    <row r="2445" spans="2:2" s="2" customFormat="1" x14ac:dyDescent="0.25">
      <c r="B2445" s="9"/>
    </row>
    <row r="2446" spans="2:2" s="2" customFormat="1" x14ac:dyDescent="0.25">
      <c r="B2446" s="9"/>
    </row>
    <row r="2447" spans="2:2" s="2" customFormat="1" x14ac:dyDescent="0.25">
      <c r="B2447" s="9"/>
    </row>
    <row r="2448" spans="2:2" s="2" customFormat="1" x14ac:dyDescent="0.25">
      <c r="B2448" s="9"/>
    </row>
    <row r="2449" spans="2:2" s="2" customFormat="1" x14ac:dyDescent="0.25">
      <c r="B2449" s="9"/>
    </row>
    <row r="2450" spans="2:2" s="2" customFormat="1" x14ac:dyDescent="0.25">
      <c r="B2450" s="9"/>
    </row>
    <row r="2451" spans="2:2" s="2" customFormat="1" x14ac:dyDescent="0.25">
      <c r="B2451" s="9"/>
    </row>
    <row r="2452" spans="2:2" s="2" customFormat="1" x14ac:dyDescent="0.25">
      <c r="B2452" s="9"/>
    </row>
    <row r="2453" spans="2:2" s="2" customFormat="1" x14ac:dyDescent="0.25">
      <c r="B2453" s="9"/>
    </row>
    <row r="2454" spans="2:2" s="2" customFormat="1" x14ac:dyDescent="0.25">
      <c r="B2454" s="9"/>
    </row>
    <row r="2455" spans="2:2" s="2" customFormat="1" x14ac:dyDescent="0.25">
      <c r="B2455" s="9"/>
    </row>
    <row r="2456" spans="2:2" s="2" customFormat="1" x14ac:dyDescent="0.25">
      <c r="B2456" s="9"/>
    </row>
    <row r="2457" spans="2:2" s="2" customFormat="1" x14ac:dyDescent="0.25">
      <c r="B2457" s="9"/>
    </row>
    <row r="2458" spans="2:2" s="2" customFormat="1" x14ac:dyDescent="0.25">
      <c r="B2458" s="9"/>
    </row>
    <row r="2459" spans="2:2" s="2" customFormat="1" x14ac:dyDescent="0.25">
      <c r="B2459" s="9"/>
    </row>
    <row r="2460" spans="2:2" s="2" customFormat="1" x14ac:dyDescent="0.25">
      <c r="B2460" s="9"/>
    </row>
    <row r="2461" spans="2:2" s="2" customFormat="1" x14ac:dyDescent="0.25">
      <c r="B2461" s="9"/>
    </row>
    <row r="2462" spans="2:2" s="2" customFormat="1" x14ac:dyDescent="0.25">
      <c r="B2462" s="9"/>
    </row>
    <row r="2463" spans="2:2" s="2" customFormat="1" x14ac:dyDescent="0.25">
      <c r="B2463" s="9"/>
    </row>
    <row r="2464" spans="2:2" s="2" customFormat="1" x14ac:dyDescent="0.25">
      <c r="B2464" s="9"/>
    </row>
    <row r="2465" spans="2:2" s="2" customFormat="1" x14ac:dyDescent="0.25">
      <c r="B2465" s="9"/>
    </row>
    <row r="2466" spans="2:2" s="2" customFormat="1" x14ac:dyDescent="0.25">
      <c r="B2466" s="9"/>
    </row>
    <row r="2467" spans="2:2" s="2" customFormat="1" x14ac:dyDescent="0.25">
      <c r="B2467" s="9"/>
    </row>
    <row r="2468" spans="2:2" s="2" customFormat="1" x14ac:dyDescent="0.25">
      <c r="B2468" s="9"/>
    </row>
    <row r="2469" spans="2:2" s="2" customFormat="1" x14ac:dyDescent="0.25">
      <c r="B2469" s="9"/>
    </row>
    <row r="2470" spans="2:2" s="2" customFormat="1" x14ac:dyDescent="0.25">
      <c r="B2470" s="9"/>
    </row>
    <row r="2471" spans="2:2" s="2" customFormat="1" x14ac:dyDescent="0.25">
      <c r="B2471" s="9"/>
    </row>
    <row r="2472" spans="2:2" s="2" customFormat="1" x14ac:dyDescent="0.25">
      <c r="B2472" s="9"/>
    </row>
    <row r="2473" spans="2:2" s="2" customFormat="1" x14ac:dyDescent="0.25">
      <c r="B2473" s="9"/>
    </row>
    <row r="2474" spans="2:2" s="2" customFormat="1" x14ac:dyDescent="0.25">
      <c r="B2474" s="9"/>
    </row>
    <row r="2475" spans="2:2" s="2" customFormat="1" x14ac:dyDescent="0.25">
      <c r="B2475" s="9"/>
    </row>
    <row r="2476" spans="2:2" s="2" customFormat="1" x14ac:dyDescent="0.25">
      <c r="B2476" s="9"/>
    </row>
    <row r="2477" spans="2:2" s="2" customFormat="1" x14ac:dyDescent="0.25">
      <c r="B2477" s="9"/>
    </row>
    <row r="2478" spans="2:2" s="2" customFormat="1" x14ac:dyDescent="0.25">
      <c r="B2478" s="9"/>
    </row>
    <row r="2479" spans="2:2" s="2" customFormat="1" x14ac:dyDescent="0.25">
      <c r="B2479" s="9"/>
    </row>
    <row r="2480" spans="2:2" s="2" customFormat="1" x14ac:dyDescent="0.25">
      <c r="B2480" s="9"/>
    </row>
    <row r="2481" spans="2:2" s="2" customFormat="1" x14ac:dyDescent="0.25">
      <c r="B2481" s="9"/>
    </row>
    <row r="2482" spans="2:2" s="2" customFormat="1" x14ac:dyDescent="0.25">
      <c r="B2482" s="9"/>
    </row>
    <row r="2483" spans="2:2" s="2" customFormat="1" x14ac:dyDescent="0.25">
      <c r="B2483" s="9"/>
    </row>
    <row r="2484" spans="2:2" s="2" customFormat="1" x14ac:dyDescent="0.25">
      <c r="B2484" s="9"/>
    </row>
    <row r="2485" spans="2:2" s="2" customFormat="1" x14ac:dyDescent="0.25">
      <c r="B2485" s="9"/>
    </row>
    <row r="2486" spans="2:2" s="2" customFormat="1" x14ac:dyDescent="0.25">
      <c r="B2486" s="9"/>
    </row>
    <row r="2487" spans="2:2" s="2" customFormat="1" x14ac:dyDescent="0.25">
      <c r="B2487" s="9"/>
    </row>
    <row r="2488" spans="2:2" s="2" customFormat="1" x14ac:dyDescent="0.25">
      <c r="B2488" s="9"/>
    </row>
    <row r="2489" spans="2:2" s="2" customFormat="1" x14ac:dyDescent="0.25">
      <c r="B2489" s="9"/>
    </row>
    <row r="2490" spans="2:2" s="2" customFormat="1" x14ac:dyDescent="0.25">
      <c r="B2490" s="9"/>
    </row>
    <row r="2491" spans="2:2" s="2" customFormat="1" x14ac:dyDescent="0.25">
      <c r="B2491" s="9"/>
    </row>
    <row r="2492" spans="2:2" s="2" customFormat="1" x14ac:dyDescent="0.25">
      <c r="B2492" s="9"/>
    </row>
    <row r="2493" spans="2:2" s="2" customFormat="1" x14ac:dyDescent="0.25">
      <c r="B2493" s="9"/>
    </row>
    <row r="2494" spans="2:2" s="2" customFormat="1" x14ac:dyDescent="0.25">
      <c r="B2494" s="9"/>
    </row>
    <row r="2495" spans="2:2" s="2" customFormat="1" x14ac:dyDescent="0.25">
      <c r="B2495" s="9"/>
    </row>
    <row r="2496" spans="2:2" s="2" customFormat="1" x14ac:dyDescent="0.25">
      <c r="B2496" s="9"/>
    </row>
    <row r="2497" spans="2:2" s="2" customFormat="1" x14ac:dyDescent="0.25">
      <c r="B2497" s="9"/>
    </row>
    <row r="2498" spans="2:2" s="2" customFormat="1" x14ac:dyDescent="0.25">
      <c r="B2498" s="9"/>
    </row>
    <row r="2499" spans="2:2" s="2" customFormat="1" x14ac:dyDescent="0.25">
      <c r="B2499" s="9"/>
    </row>
    <row r="2500" spans="2:2" s="2" customFormat="1" x14ac:dyDescent="0.25">
      <c r="B2500" s="9"/>
    </row>
    <row r="2501" spans="2:2" s="2" customFormat="1" x14ac:dyDescent="0.25">
      <c r="B2501" s="9"/>
    </row>
    <row r="2502" spans="2:2" s="2" customFormat="1" x14ac:dyDescent="0.25">
      <c r="B2502" s="9"/>
    </row>
    <row r="2503" spans="2:2" s="2" customFormat="1" x14ac:dyDescent="0.25">
      <c r="B2503" s="9"/>
    </row>
    <row r="2504" spans="2:2" s="2" customFormat="1" x14ac:dyDescent="0.25">
      <c r="B2504" s="9"/>
    </row>
    <row r="2505" spans="2:2" s="2" customFormat="1" x14ac:dyDescent="0.25">
      <c r="B2505" s="9"/>
    </row>
    <row r="2506" spans="2:2" s="2" customFormat="1" x14ac:dyDescent="0.25">
      <c r="B2506" s="9"/>
    </row>
    <row r="2507" spans="2:2" s="2" customFormat="1" x14ac:dyDescent="0.25">
      <c r="B2507" s="9"/>
    </row>
    <row r="2508" spans="2:2" s="2" customFormat="1" x14ac:dyDescent="0.25">
      <c r="B2508" s="9"/>
    </row>
    <row r="2509" spans="2:2" s="2" customFormat="1" x14ac:dyDescent="0.25">
      <c r="B2509" s="9"/>
    </row>
    <row r="2510" spans="2:2" s="2" customFormat="1" x14ac:dyDescent="0.25">
      <c r="B2510" s="9"/>
    </row>
    <row r="2511" spans="2:2" s="2" customFormat="1" x14ac:dyDescent="0.25">
      <c r="B2511" s="9"/>
    </row>
    <row r="2512" spans="2:2" s="2" customFormat="1" x14ac:dyDescent="0.25">
      <c r="B2512" s="9"/>
    </row>
    <row r="2513" spans="2:2" s="2" customFormat="1" x14ac:dyDescent="0.25">
      <c r="B2513" s="9"/>
    </row>
    <row r="2514" spans="2:2" s="2" customFormat="1" x14ac:dyDescent="0.25">
      <c r="B2514" s="9"/>
    </row>
    <row r="2515" spans="2:2" s="2" customFormat="1" x14ac:dyDescent="0.25">
      <c r="B2515" s="9"/>
    </row>
    <row r="2516" spans="2:2" s="2" customFormat="1" x14ac:dyDescent="0.25">
      <c r="B2516" s="9"/>
    </row>
    <row r="2517" spans="2:2" s="2" customFormat="1" x14ac:dyDescent="0.25">
      <c r="B2517" s="9"/>
    </row>
    <row r="2518" spans="2:2" s="2" customFormat="1" x14ac:dyDescent="0.25">
      <c r="B2518" s="9"/>
    </row>
    <row r="2519" spans="2:2" s="2" customFormat="1" x14ac:dyDescent="0.25">
      <c r="B2519" s="9"/>
    </row>
    <row r="2520" spans="2:2" s="2" customFormat="1" x14ac:dyDescent="0.25">
      <c r="B2520" s="9"/>
    </row>
    <row r="2521" spans="2:2" s="2" customFormat="1" x14ac:dyDescent="0.25">
      <c r="B2521" s="9"/>
    </row>
    <row r="2522" spans="2:2" s="2" customFormat="1" x14ac:dyDescent="0.25">
      <c r="B2522" s="9"/>
    </row>
    <row r="2523" spans="2:2" s="2" customFormat="1" x14ac:dyDescent="0.25">
      <c r="B2523" s="9"/>
    </row>
    <row r="2524" spans="2:2" s="2" customFormat="1" x14ac:dyDescent="0.25">
      <c r="B2524" s="9"/>
    </row>
    <row r="2525" spans="2:2" s="2" customFormat="1" x14ac:dyDescent="0.25">
      <c r="B2525" s="9"/>
    </row>
    <row r="2526" spans="2:2" s="2" customFormat="1" x14ac:dyDescent="0.25">
      <c r="B2526" s="9"/>
    </row>
    <row r="2527" spans="2:2" s="2" customFormat="1" x14ac:dyDescent="0.25">
      <c r="B2527" s="9"/>
    </row>
    <row r="2528" spans="2:2" s="2" customFormat="1" x14ac:dyDescent="0.25">
      <c r="B2528" s="9"/>
    </row>
    <row r="2529" spans="2:2" s="2" customFormat="1" x14ac:dyDescent="0.25">
      <c r="B2529" s="9"/>
    </row>
    <row r="2530" spans="2:2" s="2" customFormat="1" x14ac:dyDescent="0.25">
      <c r="B2530" s="9"/>
    </row>
    <row r="2531" spans="2:2" s="2" customFormat="1" x14ac:dyDescent="0.25">
      <c r="B2531" s="9"/>
    </row>
    <row r="2532" spans="2:2" s="2" customFormat="1" x14ac:dyDescent="0.25">
      <c r="B2532" s="9"/>
    </row>
    <row r="2533" spans="2:2" s="2" customFormat="1" x14ac:dyDescent="0.25">
      <c r="B2533" s="9"/>
    </row>
    <row r="2534" spans="2:2" s="2" customFormat="1" x14ac:dyDescent="0.25">
      <c r="B2534" s="9"/>
    </row>
    <row r="2535" spans="2:2" s="2" customFormat="1" x14ac:dyDescent="0.25">
      <c r="B2535" s="9"/>
    </row>
    <row r="2536" spans="2:2" s="2" customFormat="1" x14ac:dyDescent="0.25">
      <c r="B2536" s="9"/>
    </row>
    <row r="2537" spans="2:2" s="2" customFormat="1" x14ac:dyDescent="0.25">
      <c r="B2537" s="9"/>
    </row>
    <row r="2538" spans="2:2" s="2" customFormat="1" x14ac:dyDescent="0.25">
      <c r="B2538" s="9"/>
    </row>
    <row r="2539" spans="2:2" s="2" customFormat="1" x14ac:dyDescent="0.25">
      <c r="B2539" s="9"/>
    </row>
    <row r="2540" spans="2:2" s="2" customFormat="1" x14ac:dyDescent="0.25">
      <c r="B2540" s="9"/>
    </row>
    <row r="2541" spans="2:2" s="2" customFormat="1" x14ac:dyDescent="0.25">
      <c r="B2541" s="9"/>
    </row>
    <row r="2542" spans="2:2" s="2" customFormat="1" x14ac:dyDescent="0.25">
      <c r="B2542" s="9"/>
    </row>
    <row r="2543" spans="2:2" s="2" customFormat="1" x14ac:dyDescent="0.25">
      <c r="B2543" s="9"/>
    </row>
    <row r="2544" spans="2:2" s="2" customFormat="1" x14ac:dyDescent="0.25">
      <c r="B2544" s="9"/>
    </row>
    <row r="2545" spans="2:2" s="2" customFormat="1" x14ac:dyDescent="0.25">
      <c r="B2545" s="9"/>
    </row>
    <row r="2546" spans="2:2" s="2" customFormat="1" x14ac:dyDescent="0.25">
      <c r="B2546" s="9"/>
    </row>
    <row r="2547" spans="2:2" s="2" customFormat="1" x14ac:dyDescent="0.25">
      <c r="B2547" s="9"/>
    </row>
    <row r="2548" spans="2:2" s="2" customFormat="1" x14ac:dyDescent="0.25">
      <c r="B2548" s="9"/>
    </row>
    <row r="2549" spans="2:2" s="2" customFormat="1" x14ac:dyDescent="0.25">
      <c r="B2549" s="9"/>
    </row>
    <row r="2550" spans="2:2" s="2" customFormat="1" x14ac:dyDescent="0.25">
      <c r="B2550" s="9"/>
    </row>
    <row r="2551" spans="2:2" s="2" customFormat="1" x14ac:dyDescent="0.25">
      <c r="B2551" s="9"/>
    </row>
    <row r="2552" spans="2:2" s="2" customFormat="1" x14ac:dyDescent="0.25">
      <c r="B2552" s="9"/>
    </row>
    <row r="2553" spans="2:2" s="2" customFormat="1" x14ac:dyDescent="0.25">
      <c r="B2553" s="9"/>
    </row>
    <row r="2554" spans="2:2" s="2" customFormat="1" x14ac:dyDescent="0.25">
      <c r="B2554" s="9"/>
    </row>
    <row r="2555" spans="2:2" s="2" customFormat="1" x14ac:dyDescent="0.25">
      <c r="B2555" s="9"/>
    </row>
    <row r="2556" spans="2:2" s="2" customFormat="1" x14ac:dyDescent="0.25">
      <c r="B2556" s="9"/>
    </row>
    <row r="2557" spans="2:2" s="2" customFormat="1" x14ac:dyDescent="0.25">
      <c r="B2557" s="9"/>
    </row>
    <row r="2558" spans="2:2" s="2" customFormat="1" x14ac:dyDescent="0.25">
      <c r="B2558" s="9"/>
    </row>
    <row r="2559" spans="2:2" s="2" customFormat="1" x14ac:dyDescent="0.25">
      <c r="B2559" s="9"/>
    </row>
    <row r="2560" spans="2:2" s="2" customFormat="1" x14ac:dyDescent="0.25">
      <c r="B2560" s="9"/>
    </row>
    <row r="2561" spans="2:2" s="2" customFormat="1" x14ac:dyDescent="0.25">
      <c r="B2561" s="9"/>
    </row>
    <row r="2562" spans="2:2" s="2" customFormat="1" x14ac:dyDescent="0.25">
      <c r="B2562" s="9"/>
    </row>
    <row r="2563" spans="2:2" s="2" customFormat="1" x14ac:dyDescent="0.25">
      <c r="B2563" s="9"/>
    </row>
    <row r="2564" spans="2:2" s="2" customFormat="1" x14ac:dyDescent="0.25">
      <c r="B2564" s="9"/>
    </row>
    <row r="2565" spans="2:2" s="2" customFormat="1" x14ac:dyDescent="0.25">
      <c r="B2565" s="9"/>
    </row>
    <row r="2566" spans="2:2" s="2" customFormat="1" x14ac:dyDescent="0.25">
      <c r="B2566" s="9"/>
    </row>
    <row r="2567" spans="2:2" s="2" customFormat="1" x14ac:dyDescent="0.25">
      <c r="B2567" s="9"/>
    </row>
    <row r="2568" spans="2:2" s="2" customFormat="1" x14ac:dyDescent="0.25">
      <c r="B2568" s="9"/>
    </row>
    <row r="2569" spans="2:2" s="2" customFormat="1" x14ac:dyDescent="0.25">
      <c r="B2569" s="9"/>
    </row>
    <row r="2570" spans="2:2" s="2" customFormat="1" x14ac:dyDescent="0.25">
      <c r="B2570" s="9"/>
    </row>
    <row r="2571" spans="2:2" s="2" customFormat="1" x14ac:dyDescent="0.25">
      <c r="B2571" s="9"/>
    </row>
    <row r="2572" spans="2:2" s="2" customFormat="1" x14ac:dyDescent="0.25">
      <c r="B2572" s="9"/>
    </row>
    <row r="2573" spans="2:2" s="2" customFormat="1" x14ac:dyDescent="0.25">
      <c r="B2573" s="9"/>
    </row>
    <row r="2574" spans="2:2" s="2" customFormat="1" x14ac:dyDescent="0.25">
      <c r="B2574" s="9"/>
    </row>
    <row r="2575" spans="2:2" s="2" customFormat="1" x14ac:dyDescent="0.25">
      <c r="B2575" s="9"/>
    </row>
    <row r="2576" spans="2:2" s="2" customFormat="1" x14ac:dyDescent="0.25">
      <c r="B2576" s="9"/>
    </row>
    <row r="2577" spans="2:2" s="2" customFormat="1" x14ac:dyDescent="0.25">
      <c r="B2577" s="9"/>
    </row>
    <row r="2578" spans="2:2" s="2" customFormat="1" x14ac:dyDescent="0.25">
      <c r="B2578" s="9"/>
    </row>
    <row r="2579" spans="2:2" s="2" customFormat="1" x14ac:dyDescent="0.25">
      <c r="B2579" s="9"/>
    </row>
    <row r="2580" spans="2:2" s="2" customFormat="1" x14ac:dyDescent="0.25">
      <c r="B2580" s="9"/>
    </row>
    <row r="2581" spans="2:2" s="2" customFormat="1" x14ac:dyDescent="0.25">
      <c r="B2581" s="9"/>
    </row>
    <row r="2582" spans="2:2" s="2" customFormat="1" x14ac:dyDescent="0.25">
      <c r="B2582" s="9"/>
    </row>
    <row r="2583" spans="2:2" s="2" customFormat="1" x14ac:dyDescent="0.25">
      <c r="B2583" s="9"/>
    </row>
    <row r="2584" spans="2:2" s="2" customFormat="1" x14ac:dyDescent="0.25">
      <c r="B2584" s="9"/>
    </row>
    <row r="2585" spans="2:2" s="2" customFormat="1" x14ac:dyDescent="0.25">
      <c r="B2585" s="9"/>
    </row>
    <row r="2586" spans="2:2" s="2" customFormat="1" x14ac:dyDescent="0.25">
      <c r="B2586" s="9"/>
    </row>
    <row r="2587" spans="2:2" s="2" customFormat="1" x14ac:dyDescent="0.25">
      <c r="B2587" s="9"/>
    </row>
    <row r="2588" spans="2:2" s="2" customFormat="1" x14ac:dyDescent="0.25">
      <c r="B2588" s="9"/>
    </row>
    <row r="2589" spans="2:2" s="2" customFormat="1" x14ac:dyDescent="0.25">
      <c r="B2589" s="9"/>
    </row>
    <row r="2590" spans="2:2" s="2" customFormat="1" x14ac:dyDescent="0.25">
      <c r="B2590" s="9"/>
    </row>
    <row r="2591" spans="2:2" s="2" customFormat="1" x14ac:dyDescent="0.25">
      <c r="B2591" s="9"/>
    </row>
    <row r="2592" spans="2:2" s="2" customFormat="1" x14ac:dyDescent="0.25">
      <c r="B2592" s="9"/>
    </row>
    <row r="2593" spans="2:2" s="2" customFormat="1" x14ac:dyDescent="0.25">
      <c r="B2593" s="9"/>
    </row>
    <row r="2594" spans="2:2" s="2" customFormat="1" x14ac:dyDescent="0.25">
      <c r="B2594" s="9"/>
    </row>
    <row r="2595" spans="2:2" s="2" customFormat="1" x14ac:dyDescent="0.25">
      <c r="B2595" s="9"/>
    </row>
    <row r="2596" spans="2:2" s="2" customFormat="1" x14ac:dyDescent="0.25">
      <c r="B2596" s="9"/>
    </row>
    <row r="2597" spans="2:2" s="2" customFormat="1" x14ac:dyDescent="0.25">
      <c r="B2597" s="9"/>
    </row>
    <row r="2598" spans="2:2" s="2" customFormat="1" x14ac:dyDescent="0.25">
      <c r="B2598" s="9"/>
    </row>
    <row r="2599" spans="2:2" s="2" customFormat="1" x14ac:dyDescent="0.25">
      <c r="B2599" s="9"/>
    </row>
    <row r="2600" spans="2:2" s="2" customFormat="1" x14ac:dyDescent="0.25">
      <c r="B2600" s="9"/>
    </row>
    <row r="2601" spans="2:2" s="2" customFormat="1" x14ac:dyDescent="0.25">
      <c r="B2601" s="9"/>
    </row>
    <row r="2602" spans="2:2" s="2" customFormat="1" x14ac:dyDescent="0.25">
      <c r="B2602" s="9"/>
    </row>
    <row r="2603" spans="2:2" s="2" customFormat="1" x14ac:dyDescent="0.25">
      <c r="B2603" s="9"/>
    </row>
    <row r="2604" spans="2:2" s="2" customFormat="1" x14ac:dyDescent="0.25">
      <c r="B2604" s="9"/>
    </row>
    <row r="2605" spans="2:2" s="2" customFormat="1" x14ac:dyDescent="0.25">
      <c r="B2605" s="9"/>
    </row>
    <row r="2606" spans="2:2" s="2" customFormat="1" x14ac:dyDescent="0.25">
      <c r="B2606" s="9"/>
    </row>
    <row r="2607" spans="2:2" s="2" customFormat="1" x14ac:dyDescent="0.25">
      <c r="B2607" s="9"/>
    </row>
    <row r="2608" spans="2:2" s="2" customFormat="1" x14ac:dyDescent="0.25">
      <c r="B2608" s="9"/>
    </row>
    <row r="2609" spans="2:2" s="2" customFormat="1" x14ac:dyDescent="0.25">
      <c r="B2609" s="9"/>
    </row>
    <row r="2610" spans="2:2" s="2" customFormat="1" x14ac:dyDescent="0.25">
      <c r="B2610" s="9"/>
    </row>
    <row r="2611" spans="2:2" s="2" customFormat="1" x14ac:dyDescent="0.25">
      <c r="B2611" s="9"/>
    </row>
    <row r="2612" spans="2:2" s="2" customFormat="1" x14ac:dyDescent="0.25">
      <c r="B2612" s="9"/>
    </row>
    <row r="2613" spans="2:2" s="2" customFormat="1" x14ac:dyDescent="0.25">
      <c r="B2613" s="9"/>
    </row>
    <row r="2614" spans="2:2" s="2" customFormat="1" x14ac:dyDescent="0.25">
      <c r="B2614" s="9"/>
    </row>
    <row r="2615" spans="2:2" s="2" customFormat="1" x14ac:dyDescent="0.25">
      <c r="B2615" s="9"/>
    </row>
    <row r="2616" spans="2:2" s="2" customFormat="1" x14ac:dyDescent="0.25">
      <c r="B2616" s="9"/>
    </row>
    <row r="2617" spans="2:2" s="2" customFormat="1" x14ac:dyDescent="0.25">
      <c r="B2617" s="9"/>
    </row>
    <row r="2618" spans="2:2" s="2" customFormat="1" x14ac:dyDescent="0.25">
      <c r="B2618" s="9"/>
    </row>
    <row r="2619" spans="2:2" s="2" customFormat="1" x14ac:dyDescent="0.25">
      <c r="B2619" s="9"/>
    </row>
    <row r="2620" spans="2:2" s="2" customFormat="1" x14ac:dyDescent="0.25">
      <c r="B2620" s="9"/>
    </row>
    <row r="2621" spans="2:2" s="2" customFormat="1" x14ac:dyDescent="0.25">
      <c r="B2621" s="9"/>
    </row>
    <row r="2622" spans="2:2" s="2" customFormat="1" x14ac:dyDescent="0.25">
      <c r="B2622" s="9"/>
    </row>
    <row r="2623" spans="2:2" s="2" customFormat="1" x14ac:dyDescent="0.25">
      <c r="B2623" s="9"/>
    </row>
    <row r="2624" spans="2:2" s="2" customFormat="1" x14ac:dyDescent="0.25">
      <c r="B2624" s="9"/>
    </row>
    <row r="2625" spans="2:2" s="2" customFormat="1" x14ac:dyDescent="0.25">
      <c r="B2625" s="9"/>
    </row>
    <row r="2626" spans="2:2" s="2" customFormat="1" x14ac:dyDescent="0.25">
      <c r="B2626" s="9"/>
    </row>
    <row r="2627" spans="2:2" s="2" customFormat="1" x14ac:dyDescent="0.25">
      <c r="B2627" s="9"/>
    </row>
    <row r="2628" spans="2:2" s="2" customFormat="1" x14ac:dyDescent="0.25">
      <c r="B2628" s="9"/>
    </row>
    <row r="2629" spans="2:2" s="2" customFormat="1" x14ac:dyDescent="0.25">
      <c r="B2629" s="9"/>
    </row>
    <row r="2630" spans="2:2" s="2" customFormat="1" x14ac:dyDescent="0.25">
      <c r="B2630" s="9"/>
    </row>
    <row r="2631" spans="2:2" s="2" customFormat="1" x14ac:dyDescent="0.25">
      <c r="B2631" s="9"/>
    </row>
    <row r="2632" spans="2:2" s="2" customFormat="1" x14ac:dyDescent="0.25">
      <c r="B2632" s="9"/>
    </row>
    <row r="2633" spans="2:2" s="2" customFormat="1" x14ac:dyDescent="0.25">
      <c r="B2633" s="9"/>
    </row>
    <row r="2634" spans="2:2" s="2" customFormat="1" x14ac:dyDescent="0.25">
      <c r="B2634" s="9"/>
    </row>
    <row r="2635" spans="2:2" s="2" customFormat="1" x14ac:dyDescent="0.25">
      <c r="B2635" s="9"/>
    </row>
    <row r="2636" spans="2:2" s="2" customFormat="1" x14ac:dyDescent="0.25">
      <c r="B2636" s="9"/>
    </row>
    <row r="2637" spans="2:2" s="2" customFormat="1" x14ac:dyDescent="0.25">
      <c r="B2637" s="9"/>
    </row>
    <row r="2638" spans="2:2" s="2" customFormat="1" x14ac:dyDescent="0.25">
      <c r="B2638" s="9"/>
    </row>
    <row r="2639" spans="2:2" s="2" customFormat="1" x14ac:dyDescent="0.25">
      <c r="B2639" s="9"/>
    </row>
    <row r="2640" spans="2:2" s="2" customFormat="1" x14ac:dyDescent="0.25">
      <c r="B2640" s="9"/>
    </row>
    <row r="2641" spans="2:2" s="2" customFormat="1" x14ac:dyDescent="0.25">
      <c r="B2641" s="9"/>
    </row>
    <row r="2642" spans="2:2" s="2" customFormat="1" x14ac:dyDescent="0.25">
      <c r="B2642" s="9"/>
    </row>
    <row r="2643" spans="2:2" s="2" customFormat="1" x14ac:dyDescent="0.25">
      <c r="B2643" s="9"/>
    </row>
    <row r="2644" spans="2:2" s="2" customFormat="1" x14ac:dyDescent="0.25">
      <c r="B2644" s="9"/>
    </row>
    <row r="2645" spans="2:2" s="2" customFormat="1" x14ac:dyDescent="0.25">
      <c r="B2645" s="9"/>
    </row>
    <row r="2646" spans="2:2" s="2" customFormat="1" x14ac:dyDescent="0.25">
      <c r="B2646" s="9"/>
    </row>
    <row r="2647" spans="2:2" s="2" customFormat="1" x14ac:dyDescent="0.25">
      <c r="B2647" s="9"/>
    </row>
    <row r="2648" spans="2:2" s="2" customFormat="1" x14ac:dyDescent="0.25">
      <c r="B2648" s="9"/>
    </row>
    <row r="2649" spans="2:2" s="2" customFormat="1" x14ac:dyDescent="0.25">
      <c r="B2649" s="9"/>
    </row>
    <row r="2650" spans="2:2" s="2" customFormat="1" x14ac:dyDescent="0.25">
      <c r="B2650" s="9"/>
    </row>
    <row r="2651" spans="2:2" s="2" customFormat="1" x14ac:dyDescent="0.25">
      <c r="B2651" s="9"/>
    </row>
    <row r="2652" spans="2:2" s="2" customFormat="1" x14ac:dyDescent="0.25">
      <c r="B2652" s="9"/>
    </row>
    <row r="2653" spans="2:2" s="2" customFormat="1" x14ac:dyDescent="0.25">
      <c r="B2653" s="9"/>
    </row>
    <row r="2654" spans="2:2" s="2" customFormat="1" x14ac:dyDescent="0.25">
      <c r="B2654" s="9"/>
    </row>
    <row r="2655" spans="2:2" s="2" customFormat="1" x14ac:dyDescent="0.25">
      <c r="B2655" s="9"/>
    </row>
    <row r="2656" spans="2:2" s="2" customFormat="1" x14ac:dyDescent="0.25">
      <c r="B2656" s="9"/>
    </row>
    <row r="2657" spans="2:2" s="2" customFormat="1" x14ac:dyDescent="0.25">
      <c r="B2657" s="9"/>
    </row>
    <row r="2658" spans="2:2" s="2" customFormat="1" x14ac:dyDescent="0.25">
      <c r="B2658" s="9"/>
    </row>
    <row r="2659" spans="2:2" s="2" customFormat="1" x14ac:dyDescent="0.25">
      <c r="B2659" s="9"/>
    </row>
    <row r="2660" spans="2:2" s="2" customFormat="1" x14ac:dyDescent="0.25">
      <c r="B2660" s="9"/>
    </row>
    <row r="2661" spans="2:2" s="2" customFormat="1" x14ac:dyDescent="0.25">
      <c r="B2661" s="9"/>
    </row>
    <row r="2662" spans="2:2" s="2" customFormat="1" x14ac:dyDescent="0.25">
      <c r="B2662" s="9"/>
    </row>
    <row r="2663" spans="2:2" s="2" customFormat="1" x14ac:dyDescent="0.25">
      <c r="B2663" s="9"/>
    </row>
    <row r="2664" spans="2:2" s="2" customFormat="1" x14ac:dyDescent="0.25">
      <c r="B2664" s="9"/>
    </row>
    <row r="2665" spans="2:2" s="2" customFormat="1" x14ac:dyDescent="0.25">
      <c r="B2665" s="9"/>
    </row>
    <row r="2666" spans="2:2" s="2" customFormat="1" x14ac:dyDescent="0.25">
      <c r="B2666" s="9"/>
    </row>
    <row r="2667" spans="2:2" s="2" customFormat="1" x14ac:dyDescent="0.25">
      <c r="B2667" s="9"/>
    </row>
    <row r="2668" spans="2:2" s="2" customFormat="1" x14ac:dyDescent="0.25">
      <c r="B2668" s="9"/>
    </row>
    <row r="2669" spans="2:2" s="2" customFormat="1" x14ac:dyDescent="0.25">
      <c r="B2669" s="9"/>
    </row>
    <row r="2670" spans="2:2" s="2" customFormat="1" x14ac:dyDescent="0.25">
      <c r="B2670" s="9"/>
    </row>
    <row r="2671" spans="2:2" s="2" customFormat="1" x14ac:dyDescent="0.25">
      <c r="B2671" s="9"/>
    </row>
    <row r="2672" spans="2:2" s="2" customFormat="1" x14ac:dyDescent="0.25">
      <c r="B2672" s="9"/>
    </row>
    <row r="2673" spans="2:2" s="2" customFormat="1" x14ac:dyDescent="0.25">
      <c r="B2673" s="9"/>
    </row>
    <row r="2674" spans="2:2" s="2" customFormat="1" x14ac:dyDescent="0.25">
      <c r="B2674" s="9"/>
    </row>
    <row r="2675" spans="2:2" s="2" customFormat="1" x14ac:dyDescent="0.25">
      <c r="B2675" s="9"/>
    </row>
    <row r="2676" spans="2:2" s="2" customFormat="1" x14ac:dyDescent="0.25">
      <c r="B2676" s="9"/>
    </row>
    <row r="2677" spans="2:2" s="2" customFormat="1" x14ac:dyDescent="0.25">
      <c r="B2677" s="9"/>
    </row>
    <row r="2678" spans="2:2" s="2" customFormat="1" x14ac:dyDescent="0.25">
      <c r="B2678" s="9"/>
    </row>
    <row r="2679" spans="2:2" s="2" customFormat="1" x14ac:dyDescent="0.25">
      <c r="B2679" s="9"/>
    </row>
    <row r="2680" spans="2:2" s="2" customFormat="1" x14ac:dyDescent="0.25">
      <c r="B2680" s="9"/>
    </row>
    <row r="2681" spans="2:2" s="2" customFormat="1" x14ac:dyDescent="0.25">
      <c r="B2681" s="9"/>
    </row>
    <row r="2682" spans="2:2" s="2" customFormat="1" x14ac:dyDescent="0.25">
      <c r="B2682" s="9"/>
    </row>
    <row r="2683" spans="2:2" s="2" customFormat="1" x14ac:dyDescent="0.25">
      <c r="B2683" s="9"/>
    </row>
    <row r="2684" spans="2:2" s="2" customFormat="1" x14ac:dyDescent="0.25">
      <c r="B2684" s="9"/>
    </row>
    <row r="2685" spans="2:2" s="2" customFormat="1" x14ac:dyDescent="0.25">
      <c r="B2685" s="9"/>
    </row>
    <row r="2686" spans="2:2" s="2" customFormat="1" x14ac:dyDescent="0.25">
      <c r="B2686" s="9"/>
    </row>
    <row r="2687" spans="2:2" s="2" customFormat="1" x14ac:dyDescent="0.25">
      <c r="B2687" s="9"/>
    </row>
    <row r="2688" spans="2:2" s="2" customFormat="1" x14ac:dyDescent="0.25">
      <c r="B2688" s="9"/>
    </row>
    <row r="2689" spans="2:2" s="2" customFormat="1" x14ac:dyDescent="0.25">
      <c r="B2689" s="9"/>
    </row>
    <row r="2690" spans="2:2" s="2" customFormat="1" x14ac:dyDescent="0.25">
      <c r="B2690" s="9"/>
    </row>
    <row r="2691" spans="2:2" s="2" customFormat="1" x14ac:dyDescent="0.25">
      <c r="B2691" s="9"/>
    </row>
    <row r="2692" spans="2:2" s="2" customFormat="1" x14ac:dyDescent="0.25">
      <c r="B2692" s="9"/>
    </row>
    <row r="2693" spans="2:2" s="2" customFormat="1" x14ac:dyDescent="0.25">
      <c r="B2693" s="9"/>
    </row>
    <row r="2694" spans="2:2" s="2" customFormat="1" x14ac:dyDescent="0.25">
      <c r="B2694" s="9"/>
    </row>
    <row r="2695" spans="2:2" s="2" customFormat="1" x14ac:dyDescent="0.25">
      <c r="B2695" s="9"/>
    </row>
    <row r="2696" spans="2:2" s="2" customFormat="1" x14ac:dyDescent="0.25">
      <c r="B2696" s="9"/>
    </row>
    <row r="2697" spans="2:2" s="2" customFormat="1" x14ac:dyDescent="0.25">
      <c r="B2697" s="9"/>
    </row>
    <row r="2698" spans="2:2" s="2" customFormat="1" x14ac:dyDescent="0.25">
      <c r="B2698" s="9"/>
    </row>
    <row r="2699" spans="2:2" s="2" customFormat="1" x14ac:dyDescent="0.25">
      <c r="B2699" s="9"/>
    </row>
    <row r="2700" spans="2:2" s="2" customFormat="1" x14ac:dyDescent="0.25">
      <c r="B2700" s="9"/>
    </row>
    <row r="2701" spans="2:2" s="2" customFormat="1" x14ac:dyDescent="0.25">
      <c r="B2701" s="9"/>
    </row>
    <row r="2702" spans="2:2" s="2" customFormat="1" x14ac:dyDescent="0.25">
      <c r="B2702" s="9"/>
    </row>
    <row r="2703" spans="2:2" s="2" customFormat="1" x14ac:dyDescent="0.25">
      <c r="B2703" s="9"/>
    </row>
    <row r="2704" spans="2:2" s="2" customFormat="1" x14ac:dyDescent="0.25">
      <c r="B2704" s="9"/>
    </row>
    <row r="2705" spans="2:2" s="2" customFormat="1" x14ac:dyDescent="0.25">
      <c r="B2705" s="9"/>
    </row>
    <row r="2706" spans="2:2" s="2" customFormat="1" x14ac:dyDescent="0.25">
      <c r="B2706" s="9"/>
    </row>
    <row r="2707" spans="2:2" s="2" customFormat="1" x14ac:dyDescent="0.25">
      <c r="B2707" s="9"/>
    </row>
    <row r="2708" spans="2:2" s="2" customFormat="1" x14ac:dyDescent="0.25">
      <c r="B2708" s="9"/>
    </row>
    <row r="2709" spans="2:2" s="2" customFormat="1" x14ac:dyDescent="0.25">
      <c r="B2709" s="9"/>
    </row>
    <row r="2710" spans="2:2" s="2" customFormat="1" x14ac:dyDescent="0.25">
      <c r="B2710" s="9"/>
    </row>
    <row r="2711" spans="2:2" s="2" customFormat="1" x14ac:dyDescent="0.25">
      <c r="B2711" s="9"/>
    </row>
    <row r="2712" spans="2:2" s="2" customFormat="1" x14ac:dyDescent="0.25">
      <c r="B2712" s="9"/>
    </row>
    <row r="2713" spans="2:2" s="2" customFormat="1" x14ac:dyDescent="0.25">
      <c r="B2713" s="9"/>
    </row>
    <row r="2714" spans="2:2" s="2" customFormat="1" x14ac:dyDescent="0.25">
      <c r="B2714" s="9"/>
    </row>
    <row r="2715" spans="2:2" s="2" customFormat="1" x14ac:dyDescent="0.25">
      <c r="B2715" s="9"/>
    </row>
    <row r="2716" spans="2:2" s="2" customFormat="1" x14ac:dyDescent="0.25">
      <c r="B2716" s="9"/>
    </row>
    <row r="2717" spans="2:2" s="2" customFormat="1" x14ac:dyDescent="0.25">
      <c r="B2717" s="9"/>
    </row>
    <row r="2718" spans="2:2" s="2" customFormat="1" x14ac:dyDescent="0.25">
      <c r="B2718" s="9"/>
    </row>
    <row r="2719" spans="2:2" s="2" customFormat="1" x14ac:dyDescent="0.25">
      <c r="B2719" s="9"/>
    </row>
    <row r="2720" spans="2:2" s="2" customFormat="1" x14ac:dyDescent="0.25">
      <c r="B2720" s="9"/>
    </row>
    <row r="2721" spans="2:2" s="2" customFormat="1" x14ac:dyDescent="0.25">
      <c r="B2721" s="9"/>
    </row>
    <row r="2722" spans="2:2" s="2" customFormat="1" x14ac:dyDescent="0.25">
      <c r="B2722" s="9"/>
    </row>
    <row r="2723" spans="2:2" s="2" customFormat="1" x14ac:dyDescent="0.25">
      <c r="B2723" s="9"/>
    </row>
    <row r="2724" spans="2:2" s="2" customFormat="1" x14ac:dyDescent="0.25">
      <c r="B2724" s="9"/>
    </row>
    <row r="2725" spans="2:2" s="2" customFormat="1" x14ac:dyDescent="0.25">
      <c r="B2725" s="9"/>
    </row>
    <row r="2726" spans="2:2" s="2" customFormat="1" x14ac:dyDescent="0.25">
      <c r="B2726" s="9"/>
    </row>
    <row r="2727" spans="2:2" s="2" customFormat="1" x14ac:dyDescent="0.25">
      <c r="B2727" s="9"/>
    </row>
    <row r="2728" spans="2:2" s="2" customFormat="1" x14ac:dyDescent="0.25">
      <c r="B2728" s="9"/>
    </row>
    <row r="2729" spans="2:2" s="2" customFormat="1" x14ac:dyDescent="0.25">
      <c r="B2729" s="9"/>
    </row>
    <row r="2730" spans="2:2" s="2" customFormat="1" x14ac:dyDescent="0.25">
      <c r="B2730" s="9"/>
    </row>
    <row r="2731" spans="2:2" s="2" customFormat="1" x14ac:dyDescent="0.25">
      <c r="B2731" s="9"/>
    </row>
    <row r="2732" spans="2:2" s="2" customFormat="1" x14ac:dyDescent="0.25">
      <c r="B2732" s="9"/>
    </row>
    <row r="2733" spans="2:2" s="2" customFormat="1" x14ac:dyDescent="0.25">
      <c r="B2733" s="9"/>
    </row>
    <row r="2734" spans="2:2" s="2" customFormat="1" x14ac:dyDescent="0.25">
      <c r="B2734" s="9"/>
    </row>
    <row r="2735" spans="2:2" s="2" customFormat="1" x14ac:dyDescent="0.25">
      <c r="B2735" s="9"/>
    </row>
    <row r="2736" spans="2:2" s="2" customFormat="1" x14ac:dyDescent="0.25">
      <c r="B2736" s="9"/>
    </row>
    <row r="2737" spans="2:2" s="2" customFormat="1" x14ac:dyDescent="0.25">
      <c r="B2737" s="9"/>
    </row>
    <row r="2738" spans="2:2" s="2" customFormat="1" x14ac:dyDescent="0.25">
      <c r="B2738" s="9"/>
    </row>
    <row r="2739" spans="2:2" s="2" customFormat="1" x14ac:dyDescent="0.25">
      <c r="B2739" s="9"/>
    </row>
    <row r="2740" spans="2:2" s="2" customFormat="1" x14ac:dyDescent="0.25">
      <c r="B2740" s="9"/>
    </row>
    <row r="2741" spans="2:2" s="2" customFormat="1" x14ac:dyDescent="0.25">
      <c r="B2741" s="9"/>
    </row>
    <row r="2742" spans="2:2" s="2" customFormat="1" x14ac:dyDescent="0.25">
      <c r="B2742" s="9"/>
    </row>
    <row r="2743" spans="2:2" s="2" customFormat="1" x14ac:dyDescent="0.25">
      <c r="B2743" s="9"/>
    </row>
    <row r="2744" spans="2:2" s="2" customFormat="1" x14ac:dyDescent="0.25">
      <c r="B2744" s="9"/>
    </row>
    <row r="2745" spans="2:2" s="2" customFormat="1" x14ac:dyDescent="0.25">
      <c r="B2745" s="9"/>
    </row>
    <row r="2746" spans="2:2" s="2" customFormat="1" x14ac:dyDescent="0.25">
      <c r="B2746" s="9"/>
    </row>
    <row r="2747" spans="2:2" s="2" customFormat="1" x14ac:dyDescent="0.25">
      <c r="B2747" s="9"/>
    </row>
    <row r="2748" spans="2:2" s="2" customFormat="1" x14ac:dyDescent="0.25">
      <c r="B2748" s="9"/>
    </row>
    <row r="2749" spans="2:2" s="2" customFormat="1" x14ac:dyDescent="0.25">
      <c r="B2749" s="9"/>
    </row>
    <row r="2750" spans="2:2" s="2" customFormat="1" x14ac:dyDescent="0.25">
      <c r="B2750" s="9"/>
    </row>
    <row r="2751" spans="2:2" s="2" customFormat="1" x14ac:dyDescent="0.25">
      <c r="B2751" s="9"/>
    </row>
    <row r="2752" spans="2:2" s="2" customFormat="1" x14ac:dyDescent="0.25">
      <c r="B2752" s="9"/>
    </row>
    <row r="2753" spans="2:2" s="2" customFormat="1" x14ac:dyDescent="0.25">
      <c r="B2753" s="9"/>
    </row>
    <row r="2754" spans="2:2" s="2" customFormat="1" x14ac:dyDescent="0.25">
      <c r="B2754" s="9"/>
    </row>
    <row r="2755" spans="2:2" s="2" customFormat="1" x14ac:dyDescent="0.25">
      <c r="B2755" s="9"/>
    </row>
    <row r="2756" spans="2:2" s="2" customFormat="1" x14ac:dyDescent="0.25">
      <c r="B2756" s="9"/>
    </row>
    <row r="2757" spans="2:2" s="2" customFormat="1" x14ac:dyDescent="0.25">
      <c r="B2757" s="9"/>
    </row>
    <row r="2758" spans="2:2" s="2" customFormat="1" x14ac:dyDescent="0.25">
      <c r="B2758" s="9"/>
    </row>
    <row r="2759" spans="2:2" s="2" customFormat="1" x14ac:dyDescent="0.25">
      <c r="B2759" s="9"/>
    </row>
    <row r="2760" spans="2:2" s="2" customFormat="1" x14ac:dyDescent="0.25">
      <c r="B2760" s="9"/>
    </row>
    <row r="2761" spans="2:2" s="2" customFormat="1" x14ac:dyDescent="0.25">
      <c r="B2761" s="9"/>
    </row>
    <row r="2762" spans="2:2" s="2" customFormat="1" x14ac:dyDescent="0.25">
      <c r="B2762" s="9"/>
    </row>
    <row r="2763" spans="2:2" s="2" customFormat="1" x14ac:dyDescent="0.25">
      <c r="B2763" s="9"/>
    </row>
    <row r="2764" spans="2:2" s="2" customFormat="1" x14ac:dyDescent="0.25">
      <c r="B2764" s="9"/>
    </row>
    <row r="2765" spans="2:2" s="2" customFormat="1" x14ac:dyDescent="0.25">
      <c r="B2765" s="9"/>
    </row>
    <row r="2766" spans="2:2" s="2" customFormat="1" x14ac:dyDescent="0.25">
      <c r="B2766" s="9"/>
    </row>
    <row r="2767" spans="2:2" s="2" customFormat="1" x14ac:dyDescent="0.25">
      <c r="B2767" s="9"/>
    </row>
    <row r="2768" spans="2:2" s="2" customFormat="1" x14ac:dyDescent="0.25">
      <c r="B2768" s="9"/>
    </row>
    <row r="2769" spans="2:2" s="2" customFormat="1" x14ac:dyDescent="0.25">
      <c r="B2769" s="9"/>
    </row>
    <row r="2770" spans="2:2" s="2" customFormat="1" x14ac:dyDescent="0.25">
      <c r="B2770" s="9"/>
    </row>
    <row r="2771" spans="2:2" s="2" customFormat="1" x14ac:dyDescent="0.25">
      <c r="B2771" s="9"/>
    </row>
    <row r="2772" spans="2:2" s="2" customFormat="1" x14ac:dyDescent="0.25">
      <c r="B2772" s="9"/>
    </row>
    <row r="2773" spans="2:2" s="2" customFormat="1" x14ac:dyDescent="0.25">
      <c r="B2773" s="9"/>
    </row>
    <row r="2774" spans="2:2" s="2" customFormat="1" x14ac:dyDescent="0.25">
      <c r="B2774" s="9"/>
    </row>
    <row r="2775" spans="2:2" s="2" customFormat="1" x14ac:dyDescent="0.25">
      <c r="B2775" s="9"/>
    </row>
    <row r="2776" spans="2:2" s="2" customFormat="1" x14ac:dyDescent="0.25">
      <c r="B2776" s="9"/>
    </row>
    <row r="2777" spans="2:2" s="2" customFormat="1" x14ac:dyDescent="0.25">
      <c r="B2777" s="9"/>
    </row>
    <row r="2778" spans="2:2" s="2" customFormat="1" x14ac:dyDescent="0.25">
      <c r="B2778" s="9"/>
    </row>
    <row r="2779" spans="2:2" s="2" customFormat="1" x14ac:dyDescent="0.25">
      <c r="B2779" s="9"/>
    </row>
    <row r="2780" spans="2:2" s="2" customFormat="1" x14ac:dyDescent="0.25">
      <c r="B2780" s="9"/>
    </row>
    <row r="2781" spans="2:2" s="2" customFormat="1" x14ac:dyDescent="0.25">
      <c r="B2781" s="9"/>
    </row>
    <row r="2782" spans="2:2" s="2" customFormat="1" x14ac:dyDescent="0.25">
      <c r="B2782" s="9"/>
    </row>
    <row r="2783" spans="2:2" s="2" customFormat="1" x14ac:dyDescent="0.25">
      <c r="B2783" s="9"/>
    </row>
    <row r="2784" spans="2:2" s="2" customFormat="1" x14ac:dyDescent="0.25">
      <c r="B2784" s="9"/>
    </row>
    <row r="2785" spans="2:2" s="2" customFormat="1" x14ac:dyDescent="0.25">
      <c r="B2785" s="9"/>
    </row>
    <row r="2786" spans="2:2" s="2" customFormat="1" x14ac:dyDescent="0.25">
      <c r="B2786" s="9"/>
    </row>
    <row r="2787" spans="2:2" s="2" customFormat="1" x14ac:dyDescent="0.25">
      <c r="B2787" s="9"/>
    </row>
    <row r="2788" spans="2:2" s="2" customFormat="1" x14ac:dyDescent="0.25">
      <c r="B2788" s="9"/>
    </row>
    <row r="2789" spans="2:2" s="2" customFormat="1" x14ac:dyDescent="0.25">
      <c r="B2789" s="9"/>
    </row>
    <row r="2790" spans="2:2" s="2" customFormat="1" x14ac:dyDescent="0.25">
      <c r="B2790" s="9"/>
    </row>
    <row r="2791" spans="2:2" s="2" customFormat="1" x14ac:dyDescent="0.25">
      <c r="B2791" s="9"/>
    </row>
    <row r="2792" spans="2:2" s="2" customFormat="1" x14ac:dyDescent="0.25">
      <c r="B2792" s="9"/>
    </row>
    <row r="2793" spans="2:2" s="2" customFormat="1" x14ac:dyDescent="0.25">
      <c r="B2793" s="9"/>
    </row>
    <row r="2794" spans="2:2" s="2" customFormat="1" x14ac:dyDescent="0.25">
      <c r="B2794" s="9"/>
    </row>
    <row r="2795" spans="2:2" s="2" customFormat="1" x14ac:dyDescent="0.25">
      <c r="B2795" s="9"/>
    </row>
    <row r="2796" spans="2:2" s="2" customFormat="1" x14ac:dyDescent="0.25">
      <c r="B2796" s="9"/>
    </row>
    <row r="2797" spans="2:2" s="2" customFormat="1" x14ac:dyDescent="0.25">
      <c r="B2797" s="9"/>
    </row>
    <row r="2798" spans="2:2" s="2" customFormat="1" x14ac:dyDescent="0.25">
      <c r="B2798" s="9"/>
    </row>
    <row r="2799" spans="2:2" s="2" customFormat="1" x14ac:dyDescent="0.25">
      <c r="B2799" s="9"/>
    </row>
    <row r="2800" spans="2:2" s="2" customFormat="1" x14ac:dyDescent="0.25">
      <c r="B2800" s="9"/>
    </row>
    <row r="2801" spans="2:2" s="2" customFormat="1" x14ac:dyDescent="0.25">
      <c r="B2801" s="9"/>
    </row>
    <row r="2802" spans="2:2" s="2" customFormat="1" x14ac:dyDescent="0.25">
      <c r="B2802" s="9"/>
    </row>
    <row r="2803" spans="2:2" s="2" customFormat="1" x14ac:dyDescent="0.25">
      <c r="B2803" s="9"/>
    </row>
    <row r="2804" spans="2:2" s="2" customFormat="1" x14ac:dyDescent="0.25">
      <c r="B2804" s="9"/>
    </row>
    <row r="2805" spans="2:2" s="2" customFormat="1" x14ac:dyDescent="0.25">
      <c r="B2805" s="9"/>
    </row>
    <row r="2806" spans="2:2" s="2" customFormat="1" x14ac:dyDescent="0.25">
      <c r="B2806" s="9"/>
    </row>
    <row r="2807" spans="2:2" s="2" customFormat="1" x14ac:dyDescent="0.25">
      <c r="B2807" s="9"/>
    </row>
    <row r="2808" spans="2:2" s="2" customFormat="1" x14ac:dyDescent="0.25">
      <c r="B2808" s="9"/>
    </row>
    <row r="2809" spans="2:2" s="2" customFormat="1" x14ac:dyDescent="0.25">
      <c r="B2809" s="9"/>
    </row>
    <row r="2810" spans="2:2" s="2" customFormat="1" x14ac:dyDescent="0.25">
      <c r="B2810" s="9"/>
    </row>
    <row r="2811" spans="2:2" s="2" customFormat="1" x14ac:dyDescent="0.25">
      <c r="B2811" s="9"/>
    </row>
    <row r="2812" spans="2:2" s="2" customFormat="1" x14ac:dyDescent="0.25">
      <c r="B2812" s="9"/>
    </row>
    <row r="2813" spans="2:2" s="2" customFormat="1" x14ac:dyDescent="0.25">
      <c r="B2813" s="9"/>
    </row>
    <row r="2814" spans="2:2" s="2" customFormat="1" x14ac:dyDescent="0.25">
      <c r="B2814" s="9"/>
    </row>
    <row r="2815" spans="2:2" s="2" customFormat="1" x14ac:dyDescent="0.25">
      <c r="B2815" s="9"/>
    </row>
    <row r="2816" spans="2:2" s="2" customFormat="1" x14ac:dyDescent="0.25">
      <c r="B2816" s="9"/>
    </row>
    <row r="2817" spans="2:2" s="2" customFormat="1" x14ac:dyDescent="0.25">
      <c r="B2817" s="9"/>
    </row>
    <row r="2818" spans="2:2" s="2" customFormat="1" x14ac:dyDescent="0.25">
      <c r="B2818" s="9"/>
    </row>
    <row r="2819" spans="2:2" s="2" customFormat="1" x14ac:dyDescent="0.25">
      <c r="B2819" s="9"/>
    </row>
    <row r="2820" spans="2:2" s="2" customFormat="1" x14ac:dyDescent="0.25">
      <c r="B2820" s="9"/>
    </row>
    <row r="2821" spans="2:2" s="2" customFormat="1" x14ac:dyDescent="0.25">
      <c r="B2821" s="9"/>
    </row>
    <row r="2822" spans="2:2" s="2" customFormat="1" x14ac:dyDescent="0.25">
      <c r="B2822" s="9"/>
    </row>
    <row r="2823" spans="2:2" s="2" customFormat="1" x14ac:dyDescent="0.25">
      <c r="B2823" s="9"/>
    </row>
    <row r="2824" spans="2:2" s="2" customFormat="1" x14ac:dyDescent="0.25">
      <c r="B2824" s="9"/>
    </row>
    <row r="2825" spans="2:2" s="2" customFormat="1" x14ac:dyDescent="0.25">
      <c r="B2825" s="9"/>
    </row>
    <row r="2826" spans="2:2" s="2" customFormat="1" x14ac:dyDescent="0.25">
      <c r="B2826" s="9"/>
    </row>
    <row r="2827" spans="2:2" s="2" customFormat="1" x14ac:dyDescent="0.25">
      <c r="B2827" s="9"/>
    </row>
    <row r="2828" spans="2:2" s="2" customFormat="1" x14ac:dyDescent="0.25">
      <c r="B2828" s="9"/>
    </row>
    <row r="2829" spans="2:2" s="2" customFormat="1" x14ac:dyDescent="0.25">
      <c r="B2829" s="9"/>
    </row>
    <row r="2830" spans="2:2" s="2" customFormat="1" x14ac:dyDescent="0.25">
      <c r="B2830" s="9"/>
    </row>
    <row r="2831" spans="2:2" s="2" customFormat="1" x14ac:dyDescent="0.25">
      <c r="B2831" s="9"/>
    </row>
    <row r="2832" spans="2:2" s="2" customFormat="1" x14ac:dyDescent="0.25">
      <c r="B2832" s="9"/>
    </row>
    <row r="2833" spans="2:2" s="2" customFormat="1" x14ac:dyDescent="0.25">
      <c r="B2833" s="9"/>
    </row>
    <row r="2834" spans="2:2" s="2" customFormat="1" x14ac:dyDescent="0.25">
      <c r="B2834" s="9"/>
    </row>
    <row r="2835" spans="2:2" s="2" customFormat="1" x14ac:dyDescent="0.25">
      <c r="B2835" s="9"/>
    </row>
    <row r="2836" spans="2:2" s="2" customFormat="1" x14ac:dyDescent="0.25">
      <c r="B2836" s="9"/>
    </row>
    <row r="2837" spans="2:2" s="2" customFormat="1" x14ac:dyDescent="0.25">
      <c r="B2837" s="9"/>
    </row>
    <row r="2838" spans="2:2" s="2" customFormat="1" x14ac:dyDescent="0.25">
      <c r="B2838" s="9"/>
    </row>
    <row r="2839" spans="2:2" s="2" customFormat="1" x14ac:dyDescent="0.25">
      <c r="B2839" s="9"/>
    </row>
    <row r="2840" spans="2:2" s="2" customFormat="1" x14ac:dyDescent="0.25">
      <c r="B2840" s="9"/>
    </row>
    <row r="2841" spans="2:2" s="2" customFormat="1" x14ac:dyDescent="0.25">
      <c r="B2841" s="9"/>
    </row>
    <row r="2842" spans="2:2" s="2" customFormat="1" x14ac:dyDescent="0.25">
      <c r="B2842" s="9"/>
    </row>
    <row r="2843" spans="2:2" s="2" customFormat="1" x14ac:dyDescent="0.25">
      <c r="B2843" s="9"/>
    </row>
    <row r="2844" spans="2:2" s="2" customFormat="1" x14ac:dyDescent="0.25">
      <c r="B2844" s="9"/>
    </row>
    <row r="2845" spans="2:2" s="2" customFormat="1" x14ac:dyDescent="0.25">
      <c r="B2845" s="9"/>
    </row>
    <row r="2846" spans="2:2" s="2" customFormat="1" x14ac:dyDescent="0.25">
      <c r="B2846" s="9"/>
    </row>
    <row r="2847" spans="2:2" s="2" customFormat="1" x14ac:dyDescent="0.25">
      <c r="B2847" s="9"/>
    </row>
    <row r="2848" spans="2:2" s="2" customFormat="1" x14ac:dyDescent="0.25">
      <c r="B2848" s="9"/>
    </row>
    <row r="2849" spans="2:2" s="2" customFormat="1" x14ac:dyDescent="0.25">
      <c r="B2849" s="9"/>
    </row>
    <row r="2850" spans="2:2" s="2" customFormat="1" x14ac:dyDescent="0.25">
      <c r="B2850" s="9"/>
    </row>
    <row r="2851" spans="2:2" s="2" customFormat="1" x14ac:dyDescent="0.25">
      <c r="B2851" s="9"/>
    </row>
    <row r="2852" spans="2:2" s="2" customFormat="1" x14ac:dyDescent="0.25">
      <c r="B2852" s="9"/>
    </row>
    <row r="2853" spans="2:2" s="2" customFormat="1" x14ac:dyDescent="0.25">
      <c r="B2853" s="9"/>
    </row>
    <row r="2854" spans="2:2" s="2" customFormat="1" x14ac:dyDescent="0.25">
      <c r="B2854" s="9"/>
    </row>
    <row r="2855" spans="2:2" s="2" customFormat="1" x14ac:dyDescent="0.25">
      <c r="B2855" s="9"/>
    </row>
    <row r="2856" spans="2:2" s="2" customFormat="1" x14ac:dyDescent="0.25">
      <c r="B2856" s="9"/>
    </row>
    <row r="2857" spans="2:2" s="2" customFormat="1" x14ac:dyDescent="0.25">
      <c r="B2857" s="9"/>
    </row>
    <row r="2858" spans="2:2" s="2" customFormat="1" x14ac:dyDescent="0.25">
      <c r="B2858" s="9"/>
    </row>
    <row r="2859" spans="2:2" s="2" customFormat="1" x14ac:dyDescent="0.25">
      <c r="B2859" s="9"/>
    </row>
    <row r="2860" spans="2:2" s="2" customFormat="1" x14ac:dyDescent="0.25">
      <c r="B2860" s="9"/>
    </row>
    <row r="2861" spans="2:2" s="2" customFormat="1" x14ac:dyDescent="0.25">
      <c r="B2861" s="9"/>
    </row>
    <row r="2862" spans="2:2" s="2" customFormat="1" x14ac:dyDescent="0.25">
      <c r="B2862" s="9"/>
    </row>
    <row r="2863" spans="2:2" s="2" customFormat="1" x14ac:dyDescent="0.25">
      <c r="B2863" s="9"/>
    </row>
    <row r="2864" spans="2:2" s="2" customFormat="1" x14ac:dyDescent="0.25">
      <c r="B2864" s="9"/>
    </row>
    <row r="2865" spans="2:2" s="2" customFormat="1" x14ac:dyDescent="0.25">
      <c r="B2865" s="9"/>
    </row>
    <row r="2866" spans="2:2" s="2" customFormat="1" x14ac:dyDescent="0.25">
      <c r="B2866" s="9"/>
    </row>
    <row r="2867" spans="2:2" s="2" customFormat="1" x14ac:dyDescent="0.25">
      <c r="B2867" s="9"/>
    </row>
    <row r="2868" spans="2:2" s="2" customFormat="1" x14ac:dyDescent="0.25">
      <c r="B2868" s="9"/>
    </row>
    <row r="2869" spans="2:2" s="2" customFormat="1" x14ac:dyDescent="0.25">
      <c r="B2869" s="9"/>
    </row>
    <row r="2870" spans="2:2" s="2" customFormat="1" x14ac:dyDescent="0.25">
      <c r="B2870" s="9"/>
    </row>
    <row r="2871" spans="2:2" s="2" customFormat="1" x14ac:dyDescent="0.25">
      <c r="B2871" s="9"/>
    </row>
    <row r="2872" spans="2:2" s="2" customFormat="1" x14ac:dyDescent="0.25">
      <c r="B2872" s="9"/>
    </row>
    <row r="2873" spans="2:2" s="2" customFormat="1" x14ac:dyDescent="0.25">
      <c r="B2873" s="9"/>
    </row>
    <row r="2874" spans="2:2" s="2" customFormat="1" x14ac:dyDescent="0.25">
      <c r="B2874" s="9"/>
    </row>
    <row r="2875" spans="2:2" s="2" customFormat="1" x14ac:dyDescent="0.25">
      <c r="B2875" s="9"/>
    </row>
    <row r="2876" spans="2:2" s="2" customFormat="1" x14ac:dyDescent="0.25">
      <c r="B2876" s="9"/>
    </row>
    <row r="2877" spans="2:2" s="2" customFormat="1" x14ac:dyDescent="0.25">
      <c r="B2877" s="9"/>
    </row>
    <row r="2878" spans="2:2" s="2" customFormat="1" x14ac:dyDescent="0.25">
      <c r="B2878" s="9"/>
    </row>
    <row r="2879" spans="2:2" s="2" customFormat="1" x14ac:dyDescent="0.25">
      <c r="B2879" s="9"/>
    </row>
    <row r="2880" spans="2:2" s="2" customFormat="1" x14ac:dyDescent="0.25">
      <c r="B2880" s="9"/>
    </row>
    <row r="2881" spans="2:2" s="2" customFormat="1" x14ac:dyDescent="0.25">
      <c r="B2881" s="9"/>
    </row>
    <row r="2882" spans="2:2" s="2" customFormat="1" x14ac:dyDescent="0.25">
      <c r="B2882" s="9"/>
    </row>
    <row r="2883" spans="2:2" s="2" customFormat="1" x14ac:dyDescent="0.25">
      <c r="B2883" s="9"/>
    </row>
    <row r="2884" spans="2:2" s="2" customFormat="1" x14ac:dyDescent="0.25">
      <c r="B2884" s="9"/>
    </row>
    <row r="2885" spans="2:2" s="2" customFormat="1" x14ac:dyDescent="0.25">
      <c r="B2885" s="9"/>
    </row>
    <row r="2886" spans="2:2" s="2" customFormat="1" x14ac:dyDescent="0.25">
      <c r="B2886" s="9"/>
    </row>
    <row r="2887" spans="2:2" s="2" customFormat="1" x14ac:dyDescent="0.25">
      <c r="B2887" s="9"/>
    </row>
    <row r="2888" spans="2:2" s="2" customFormat="1" x14ac:dyDescent="0.25">
      <c r="B2888" s="9"/>
    </row>
    <row r="2889" spans="2:2" s="2" customFormat="1" x14ac:dyDescent="0.25">
      <c r="B2889" s="9"/>
    </row>
    <row r="2890" spans="2:2" s="2" customFormat="1" x14ac:dyDescent="0.25">
      <c r="B2890" s="9"/>
    </row>
    <row r="2891" spans="2:2" s="2" customFormat="1" x14ac:dyDescent="0.25">
      <c r="B2891" s="9"/>
    </row>
    <row r="2892" spans="2:2" s="2" customFormat="1" x14ac:dyDescent="0.25">
      <c r="B2892" s="9"/>
    </row>
    <row r="2893" spans="2:2" s="2" customFormat="1" x14ac:dyDescent="0.25">
      <c r="B2893" s="9"/>
    </row>
    <row r="2894" spans="2:2" s="2" customFormat="1" x14ac:dyDescent="0.25">
      <c r="B2894" s="9"/>
    </row>
    <row r="2895" spans="2:2" s="2" customFormat="1" x14ac:dyDescent="0.25">
      <c r="B2895" s="9"/>
    </row>
    <row r="2896" spans="2:2" s="2" customFormat="1" x14ac:dyDescent="0.25">
      <c r="B2896" s="9"/>
    </row>
    <row r="2897" spans="2:2" s="2" customFormat="1" x14ac:dyDescent="0.25">
      <c r="B2897" s="9"/>
    </row>
    <row r="2898" spans="2:2" s="2" customFormat="1" x14ac:dyDescent="0.25">
      <c r="B2898" s="9"/>
    </row>
    <row r="2899" spans="2:2" s="2" customFormat="1" x14ac:dyDescent="0.25">
      <c r="B2899" s="9"/>
    </row>
    <row r="2900" spans="2:2" s="2" customFormat="1" x14ac:dyDescent="0.25">
      <c r="B2900" s="9"/>
    </row>
    <row r="2901" spans="2:2" s="2" customFormat="1" x14ac:dyDescent="0.25">
      <c r="B2901" s="9"/>
    </row>
    <row r="2902" spans="2:2" s="2" customFormat="1" x14ac:dyDescent="0.25">
      <c r="B2902" s="9"/>
    </row>
    <row r="2903" spans="2:2" s="2" customFormat="1" x14ac:dyDescent="0.25">
      <c r="B2903" s="9"/>
    </row>
    <row r="2904" spans="2:2" s="2" customFormat="1" x14ac:dyDescent="0.25">
      <c r="B2904" s="9"/>
    </row>
    <row r="2905" spans="2:2" s="2" customFormat="1" x14ac:dyDescent="0.25">
      <c r="B2905" s="9"/>
    </row>
    <row r="2906" spans="2:2" s="2" customFormat="1" x14ac:dyDescent="0.25">
      <c r="B2906" s="9"/>
    </row>
    <row r="2907" spans="2:2" s="2" customFormat="1" x14ac:dyDescent="0.25">
      <c r="B2907" s="9"/>
    </row>
    <row r="2908" spans="2:2" s="2" customFormat="1" x14ac:dyDescent="0.25">
      <c r="B2908" s="9"/>
    </row>
    <row r="2909" spans="2:2" s="2" customFormat="1" x14ac:dyDescent="0.25">
      <c r="B2909" s="9"/>
    </row>
    <row r="2910" spans="2:2" s="2" customFormat="1" x14ac:dyDescent="0.25">
      <c r="B2910" s="9"/>
    </row>
    <row r="2911" spans="2:2" s="2" customFormat="1" x14ac:dyDescent="0.25">
      <c r="B2911" s="9"/>
    </row>
    <row r="2912" spans="2:2" s="2" customFormat="1" x14ac:dyDescent="0.25">
      <c r="B2912" s="9"/>
    </row>
    <row r="2913" spans="2:2" s="2" customFormat="1" x14ac:dyDescent="0.25">
      <c r="B2913" s="9"/>
    </row>
    <row r="2914" spans="2:2" s="2" customFormat="1" x14ac:dyDescent="0.25">
      <c r="B2914" s="9"/>
    </row>
    <row r="2915" spans="2:2" s="2" customFormat="1" x14ac:dyDescent="0.25">
      <c r="B2915" s="9"/>
    </row>
    <row r="2916" spans="2:2" s="2" customFormat="1" x14ac:dyDescent="0.25">
      <c r="B2916" s="9"/>
    </row>
    <row r="2917" spans="2:2" s="2" customFormat="1" x14ac:dyDescent="0.25">
      <c r="B2917" s="9"/>
    </row>
    <row r="2918" spans="2:2" s="2" customFormat="1" x14ac:dyDescent="0.25">
      <c r="B2918" s="9"/>
    </row>
    <row r="2919" spans="2:2" s="2" customFormat="1" x14ac:dyDescent="0.25">
      <c r="B2919" s="9"/>
    </row>
    <row r="2920" spans="2:2" s="2" customFormat="1" x14ac:dyDescent="0.25">
      <c r="B2920" s="9"/>
    </row>
    <row r="2921" spans="2:2" s="2" customFormat="1" x14ac:dyDescent="0.25">
      <c r="B2921" s="9"/>
    </row>
    <row r="2922" spans="2:2" s="2" customFormat="1" x14ac:dyDescent="0.25">
      <c r="B2922" s="9"/>
    </row>
    <row r="2923" spans="2:2" s="2" customFormat="1" x14ac:dyDescent="0.25">
      <c r="B2923" s="9"/>
    </row>
    <row r="2924" spans="2:2" s="2" customFormat="1" x14ac:dyDescent="0.25">
      <c r="B2924" s="9"/>
    </row>
    <row r="2925" spans="2:2" s="2" customFormat="1" x14ac:dyDescent="0.25">
      <c r="B2925" s="9"/>
    </row>
    <row r="2926" spans="2:2" s="2" customFormat="1" x14ac:dyDescent="0.25">
      <c r="B2926" s="9"/>
    </row>
    <row r="2927" spans="2:2" s="2" customFormat="1" x14ac:dyDescent="0.25">
      <c r="B2927" s="9"/>
    </row>
    <row r="2928" spans="2:2" s="2" customFormat="1" x14ac:dyDescent="0.25">
      <c r="B2928" s="9"/>
    </row>
    <row r="2929" spans="2:2" s="2" customFormat="1" x14ac:dyDescent="0.25">
      <c r="B2929" s="9"/>
    </row>
    <row r="2930" spans="2:2" s="2" customFormat="1" x14ac:dyDescent="0.25">
      <c r="B2930" s="9"/>
    </row>
    <row r="2931" spans="2:2" s="2" customFormat="1" x14ac:dyDescent="0.25">
      <c r="B2931" s="9"/>
    </row>
    <row r="2932" spans="2:2" s="2" customFormat="1" x14ac:dyDescent="0.25">
      <c r="B2932" s="9"/>
    </row>
    <row r="2933" spans="2:2" s="2" customFormat="1" x14ac:dyDescent="0.25">
      <c r="B2933" s="9"/>
    </row>
    <row r="2934" spans="2:2" s="2" customFormat="1" x14ac:dyDescent="0.25">
      <c r="B2934" s="9"/>
    </row>
    <row r="2935" spans="2:2" s="2" customFormat="1" x14ac:dyDescent="0.25">
      <c r="B2935" s="9"/>
    </row>
    <row r="2936" spans="2:2" s="2" customFormat="1" x14ac:dyDescent="0.25">
      <c r="B2936" s="9"/>
    </row>
    <row r="2937" spans="2:2" s="2" customFormat="1" x14ac:dyDescent="0.25">
      <c r="B2937" s="9"/>
    </row>
    <row r="2938" spans="2:2" s="2" customFormat="1" x14ac:dyDescent="0.25">
      <c r="B2938" s="9"/>
    </row>
    <row r="2939" spans="2:2" s="2" customFormat="1" x14ac:dyDescent="0.25">
      <c r="B2939" s="9"/>
    </row>
    <row r="2940" spans="2:2" s="2" customFormat="1" x14ac:dyDescent="0.25">
      <c r="B2940" s="9"/>
    </row>
    <row r="2941" spans="2:2" s="2" customFormat="1" x14ac:dyDescent="0.25">
      <c r="B2941" s="9"/>
    </row>
    <row r="2942" spans="2:2" s="2" customFormat="1" x14ac:dyDescent="0.25">
      <c r="B2942" s="9"/>
    </row>
    <row r="2943" spans="2:2" s="2" customFormat="1" x14ac:dyDescent="0.25">
      <c r="B2943" s="9"/>
    </row>
    <row r="2944" spans="2:2" s="2" customFormat="1" x14ac:dyDescent="0.25">
      <c r="B2944" s="9"/>
    </row>
    <row r="2945" spans="2:2" s="2" customFormat="1" x14ac:dyDescent="0.25">
      <c r="B2945" s="9"/>
    </row>
    <row r="2946" spans="2:2" s="2" customFormat="1" x14ac:dyDescent="0.25">
      <c r="B2946" s="9"/>
    </row>
    <row r="2947" spans="2:2" s="2" customFormat="1" x14ac:dyDescent="0.25">
      <c r="B2947" s="9"/>
    </row>
    <row r="2948" spans="2:2" s="2" customFormat="1" x14ac:dyDescent="0.25">
      <c r="B2948" s="9"/>
    </row>
    <row r="2949" spans="2:2" s="2" customFormat="1" x14ac:dyDescent="0.25">
      <c r="B2949" s="9"/>
    </row>
    <row r="2950" spans="2:2" s="2" customFormat="1" x14ac:dyDescent="0.25">
      <c r="B2950" s="9"/>
    </row>
    <row r="2951" spans="2:2" s="2" customFormat="1" x14ac:dyDescent="0.25">
      <c r="B2951" s="9"/>
    </row>
    <row r="2952" spans="2:2" s="2" customFormat="1" x14ac:dyDescent="0.25">
      <c r="B2952" s="9"/>
    </row>
    <row r="2953" spans="2:2" s="2" customFormat="1" x14ac:dyDescent="0.25">
      <c r="B2953" s="9"/>
    </row>
    <row r="2954" spans="2:2" s="2" customFormat="1" x14ac:dyDescent="0.25">
      <c r="B2954" s="9"/>
    </row>
    <row r="2955" spans="2:2" s="2" customFormat="1" x14ac:dyDescent="0.25">
      <c r="B2955" s="9"/>
    </row>
    <row r="2956" spans="2:2" s="2" customFormat="1" x14ac:dyDescent="0.25">
      <c r="B2956" s="9"/>
    </row>
    <row r="2957" spans="2:2" s="2" customFormat="1" x14ac:dyDescent="0.25">
      <c r="B2957" s="9"/>
    </row>
    <row r="2958" spans="2:2" s="2" customFormat="1" x14ac:dyDescent="0.25">
      <c r="B2958" s="9"/>
    </row>
    <row r="2959" spans="2:2" s="2" customFormat="1" x14ac:dyDescent="0.25">
      <c r="B2959" s="9"/>
    </row>
    <row r="2960" spans="2:2" s="2" customFormat="1" x14ac:dyDescent="0.25">
      <c r="B2960" s="9"/>
    </row>
    <row r="2961" spans="2:2" s="2" customFormat="1" x14ac:dyDescent="0.25">
      <c r="B2961" s="9"/>
    </row>
    <row r="2962" spans="2:2" s="2" customFormat="1" x14ac:dyDescent="0.25">
      <c r="B2962" s="9"/>
    </row>
    <row r="2963" spans="2:2" s="2" customFormat="1" x14ac:dyDescent="0.25">
      <c r="B2963" s="9"/>
    </row>
    <row r="2964" spans="2:2" s="2" customFormat="1" x14ac:dyDescent="0.25">
      <c r="B2964" s="9"/>
    </row>
    <row r="2965" spans="2:2" s="2" customFormat="1" x14ac:dyDescent="0.25">
      <c r="B2965" s="9"/>
    </row>
    <row r="2966" spans="2:2" s="2" customFormat="1" x14ac:dyDescent="0.25">
      <c r="B2966" s="9"/>
    </row>
    <row r="2967" spans="2:2" s="2" customFormat="1" x14ac:dyDescent="0.25">
      <c r="B2967" s="9"/>
    </row>
    <row r="2968" spans="2:2" s="2" customFormat="1" x14ac:dyDescent="0.25">
      <c r="B2968" s="9"/>
    </row>
    <row r="2969" spans="2:2" s="2" customFormat="1" x14ac:dyDescent="0.25">
      <c r="B2969" s="9"/>
    </row>
    <row r="2970" spans="2:2" s="2" customFormat="1" x14ac:dyDescent="0.25">
      <c r="B2970" s="9"/>
    </row>
    <row r="2971" spans="2:2" s="2" customFormat="1" x14ac:dyDescent="0.25">
      <c r="B2971" s="9"/>
    </row>
    <row r="2972" spans="2:2" s="2" customFormat="1" x14ac:dyDescent="0.25">
      <c r="B2972" s="9"/>
    </row>
    <row r="2973" spans="2:2" s="2" customFormat="1" x14ac:dyDescent="0.25">
      <c r="B2973" s="9"/>
    </row>
    <row r="2974" spans="2:2" s="2" customFormat="1" x14ac:dyDescent="0.25">
      <c r="B2974" s="9"/>
    </row>
    <row r="2975" spans="2:2" s="2" customFormat="1" x14ac:dyDescent="0.25">
      <c r="B2975" s="9"/>
    </row>
    <row r="2976" spans="2:2" s="2" customFormat="1" x14ac:dyDescent="0.25">
      <c r="B2976" s="9"/>
    </row>
    <row r="2977" spans="2:2" s="2" customFormat="1" x14ac:dyDescent="0.25">
      <c r="B2977" s="9"/>
    </row>
    <row r="2978" spans="2:2" s="2" customFormat="1" x14ac:dyDescent="0.25">
      <c r="B2978" s="9"/>
    </row>
    <row r="2979" spans="2:2" s="2" customFormat="1" x14ac:dyDescent="0.25">
      <c r="B2979" s="9"/>
    </row>
    <row r="2980" spans="2:2" s="2" customFormat="1" x14ac:dyDescent="0.25">
      <c r="B2980" s="9"/>
    </row>
    <row r="2981" spans="2:2" s="2" customFormat="1" x14ac:dyDescent="0.25">
      <c r="B2981" s="9"/>
    </row>
    <row r="2982" spans="2:2" s="2" customFormat="1" x14ac:dyDescent="0.25">
      <c r="B2982" s="9"/>
    </row>
    <row r="2983" spans="2:2" s="2" customFormat="1" x14ac:dyDescent="0.25">
      <c r="B2983" s="9"/>
    </row>
    <row r="2984" spans="2:2" s="2" customFormat="1" x14ac:dyDescent="0.25">
      <c r="B2984" s="9"/>
    </row>
    <row r="2985" spans="2:2" s="2" customFormat="1" x14ac:dyDescent="0.25">
      <c r="B2985" s="9"/>
    </row>
    <row r="2986" spans="2:2" s="2" customFormat="1" x14ac:dyDescent="0.25">
      <c r="B2986" s="9"/>
    </row>
    <row r="2987" spans="2:2" s="2" customFormat="1" x14ac:dyDescent="0.25">
      <c r="B2987" s="9"/>
    </row>
    <row r="2988" spans="2:2" s="2" customFormat="1" x14ac:dyDescent="0.25">
      <c r="B2988" s="9"/>
    </row>
    <row r="2989" spans="2:2" s="2" customFormat="1" x14ac:dyDescent="0.25">
      <c r="B2989" s="9"/>
    </row>
    <row r="2990" spans="2:2" s="2" customFormat="1" x14ac:dyDescent="0.25">
      <c r="B2990" s="9"/>
    </row>
    <row r="2991" spans="2:2" s="2" customFormat="1" x14ac:dyDescent="0.25">
      <c r="B2991" s="9"/>
    </row>
    <row r="2992" spans="2:2" s="2" customFormat="1" x14ac:dyDescent="0.25">
      <c r="B2992" s="9"/>
    </row>
    <row r="2993" spans="2:2" s="2" customFormat="1" x14ac:dyDescent="0.25">
      <c r="B2993" s="9"/>
    </row>
    <row r="2994" spans="2:2" s="2" customFormat="1" x14ac:dyDescent="0.25">
      <c r="B2994" s="9"/>
    </row>
    <row r="2995" spans="2:2" s="2" customFormat="1" x14ac:dyDescent="0.25">
      <c r="B2995" s="9"/>
    </row>
    <row r="2996" spans="2:2" s="2" customFormat="1" x14ac:dyDescent="0.25">
      <c r="B2996" s="9"/>
    </row>
    <row r="2997" spans="2:2" s="2" customFormat="1" x14ac:dyDescent="0.25">
      <c r="B2997" s="9"/>
    </row>
    <row r="2998" spans="2:2" s="2" customFormat="1" x14ac:dyDescent="0.25">
      <c r="B2998" s="9"/>
    </row>
    <row r="2999" spans="2:2" s="2" customFormat="1" x14ac:dyDescent="0.25">
      <c r="B2999" s="9"/>
    </row>
    <row r="3000" spans="2:2" s="2" customFormat="1" x14ac:dyDescent="0.25">
      <c r="B3000" s="9"/>
    </row>
    <row r="3001" spans="2:2" s="2" customFormat="1" x14ac:dyDescent="0.25">
      <c r="B3001" s="9"/>
    </row>
    <row r="3002" spans="2:2" s="2" customFormat="1" x14ac:dyDescent="0.25">
      <c r="B3002" s="9"/>
    </row>
    <row r="3003" spans="2:2" s="2" customFormat="1" x14ac:dyDescent="0.25">
      <c r="B3003" s="9"/>
    </row>
    <row r="3004" spans="2:2" s="2" customFormat="1" x14ac:dyDescent="0.25">
      <c r="B3004" s="9"/>
    </row>
    <row r="3005" spans="2:2" s="2" customFormat="1" x14ac:dyDescent="0.25">
      <c r="B3005" s="9"/>
    </row>
    <row r="3006" spans="2:2" s="2" customFormat="1" x14ac:dyDescent="0.25">
      <c r="B3006" s="9"/>
    </row>
    <row r="3007" spans="2:2" s="2" customFormat="1" x14ac:dyDescent="0.25">
      <c r="B3007" s="9"/>
    </row>
    <row r="3008" spans="2:2" s="2" customFormat="1" x14ac:dyDescent="0.25">
      <c r="B3008" s="9"/>
    </row>
    <row r="3009" spans="2:2" s="2" customFormat="1" x14ac:dyDescent="0.25">
      <c r="B3009" s="9"/>
    </row>
    <row r="3010" spans="2:2" s="2" customFormat="1" x14ac:dyDescent="0.25">
      <c r="B3010" s="9"/>
    </row>
    <row r="3011" spans="2:2" s="2" customFormat="1" x14ac:dyDescent="0.25">
      <c r="B3011" s="9"/>
    </row>
    <row r="3012" spans="2:2" s="2" customFormat="1" x14ac:dyDescent="0.25">
      <c r="B3012" s="9"/>
    </row>
    <row r="3013" spans="2:2" s="2" customFormat="1" x14ac:dyDescent="0.25">
      <c r="B3013" s="9"/>
    </row>
    <row r="3014" spans="2:2" s="2" customFormat="1" x14ac:dyDescent="0.25">
      <c r="B3014" s="9"/>
    </row>
    <row r="3015" spans="2:2" s="2" customFormat="1" x14ac:dyDescent="0.25">
      <c r="B3015" s="9"/>
    </row>
    <row r="3016" spans="2:2" s="2" customFormat="1" x14ac:dyDescent="0.25">
      <c r="B3016" s="9"/>
    </row>
    <row r="3017" spans="2:2" s="2" customFormat="1" x14ac:dyDescent="0.25">
      <c r="B3017" s="9"/>
    </row>
    <row r="3018" spans="2:2" s="2" customFormat="1" x14ac:dyDescent="0.25">
      <c r="B3018" s="9"/>
    </row>
    <row r="3019" spans="2:2" s="2" customFormat="1" x14ac:dyDescent="0.25">
      <c r="B3019" s="9"/>
    </row>
    <row r="3020" spans="2:2" s="2" customFormat="1" x14ac:dyDescent="0.25">
      <c r="B3020" s="9"/>
    </row>
    <row r="3021" spans="2:2" s="2" customFormat="1" x14ac:dyDescent="0.25">
      <c r="B3021" s="9"/>
    </row>
    <row r="3022" spans="2:2" s="2" customFormat="1" x14ac:dyDescent="0.25">
      <c r="B3022" s="9"/>
    </row>
    <row r="3023" spans="2:2" s="2" customFormat="1" x14ac:dyDescent="0.25">
      <c r="B3023" s="9"/>
    </row>
    <row r="3024" spans="2:2" s="2" customFormat="1" x14ac:dyDescent="0.25">
      <c r="B3024" s="9"/>
    </row>
    <row r="3025" spans="2:2" s="2" customFormat="1" x14ac:dyDescent="0.25">
      <c r="B3025" s="9"/>
    </row>
    <row r="3026" spans="2:2" s="2" customFormat="1" x14ac:dyDescent="0.25">
      <c r="B3026" s="9"/>
    </row>
    <row r="3027" spans="2:2" s="2" customFormat="1" x14ac:dyDescent="0.25">
      <c r="B3027" s="9"/>
    </row>
    <row r="3028" spans="2:2" s="2" customFormat="1" x14ac:dyDescent="0.25">
      <c r="B3028" s="9"/>
    </row>
    <row r="3029" spans="2:2" s="2" customFormat="1" x14ac:dyDescent="0.25">
      <c r="B3029" s="9"/>
    </row>
    <row r="3030" spans="2:2" s="2" customFormat="1" x14ac:dyDescent="0.25">
      <c r="B3030" s="9"/>
    </row>
    <row r="3031" spans="2:2" s="2" customFormat="1" x14ac:dyDescent="0.25">
      <c r="B3031" s="9"/>
    </row>
    <row r="3032" spans="2:2" s="2" customFormat="1" x14ac:dyDescent="0.25">
      <c r="B3032" s="9"/>
    </row>
    <row r="3033" spans="2:2" s="2" customFormat="1" x14ac:dyDescent="0.25">
      <c r="B3033" s="9"/>
    </row>
    <row r="3034" spans="2:2" s="2" customFormat="1" x14ac:dyDescent="0.25">
      <c r="B3034" s="9"/>
    </row>
    <row r="3035" spans="2:2" s="2" customFormat="1" x14ac:dyDescent="0.25">
      <c r="B3035" s="9"/>
    </row>
    <row r="3036" spans="2:2" s="2" customFormat="1" x14ac:dyDescent="0.25">
      <c r="B3036" s="9"/>
    </row>
    <row r="3037" spans="2:2" s="2" customFormat="1" x14ac:dyDescent="0.25">
      <c r="B3037" s="9"/>
    </row>
    <row r="3038" spans="2:2" s="2" customFormat="1" x14ac:dyDescent="0.25">
      <c r="B3038" s="9"/>
    </row>
    <row r="3039" spans="2:2" s="2" customFormat="1" x14ac:dyDescent="0.25">
      <c r="B3039" s="9"/>
    </row>
    <row r="3040" spans="2:2" s="2" customFormat="1" x14ac:dyDescent="0.25">
      <c r="B3040" s="9"/>
    </row>
    <row r="3041" spans="2:2" s="2" customFormat="1" x14ac:dyDescent="0.25">
      <c r="B3041" s="9"/>
    </row>
    <row r="3042" spans="2:2" s="2" customFormat="1" x14ac:dyDescent="0.25">
      <c r="B3042" s="9"/>
    </row>
    <row r="3043" spans="2:2" s="2" customFormat="1" x14ac:dyDescent="0.25">
      <c r="B3043" s="9"/>
    </row>
    <row r="3044" spans="2:2" s="2" customFormat="1" x14ac:dyDescent="0.25">
      <c r="B3044" s="9"/>
    </row>
    <row r="3045" spans="2:2" s="2" customFormat="1" x14ac:dyDescent="0.25">
      <c r="B3045" s="9"/>
    </row>
    <row r="3046" spans="2:2" s="2" customFormat="1" x14ac:dyDescent="0.25">
      <c r="B3046" s="9"/>
    </row>
    <row r="3047" spans="2:2" s="2" customFormat="1" x14ac:dyDescent="0.25">
      <c r="B3047" s="9"/>
    </row>
    <row r="3048" spans="2:2" s="2" customFormat="1" x14ac:dyDescent="0.25">
      <c r="B3048" s="9"/>
    </row>
    <row r="3049" spans="2:2" s="2" customFormat="1" x14ac:dyDescent="0.25">
      <c r="B3049" s="9"/>
    </row>
    <row r="3050" spans="2:2" s="2" customFormat="1" x14ac:dyDescent="0.25">
      <c r="B3050" s="9"/>
    </row>
    <row r="3051" spans="2:2" s="2" customFormat="1" x14ac:dyDescent="0.25">
      <c r="B3051" s="9"/>
    </row>
    <row r="3052" spans="2:2" s="2" customFormat="1" x14ac:dyDescent="0.25">
      <c r="B3052" s="9"/>
    </row>
    <row r="3053" spans="2:2" s="2" customFormat="1" x14ac:dyDescent="0.25">
      <c r="B3053" s="9"/>
    </row>
    <row r="3054" spans="2:2" s="2" customFormat="1" x14ac:dyDescent="0.25">
      <c r="B3054" s="9"/>
    </row>
    <row r="3055" spans="2:2" s="2" customFormat="1" x14ac:dyDescent="0.25">
      <c r="B3055" s="9"/>
    </row>
    <row r="3056" spans="2:2" s="2" customFormat="1" x14ac:dyDescent="0.25">
      <c r="B3056" s="9"/>
    </row>
    <row r="3057" spans="2:2" s="2" customFormat="1" x14ac:dyDescent="0.25">
      <c r="B3057" s="9"/>
    </row>
    <row r="3058" spans="2:2" s="2" customFormat="1" x14ac:dyDescent="0.25">
      <c r="B3058" s="9"/>
    </row>
    <row r="3059" spans="2:2" s="2" customFormat="1" x14ac:dyDescent="0.25">
      <c r="B3059" s="9"/>
    </row>
    <row r="3060" spans="2:2" s="2" customFormat="1" x14ac:dyDescent="0.25">
      <c r="B3060" s="9"/>
    </row>
    <row r="3061" spans="2:2" s="2" customFormat="1" x14ac:dyDescent="0.25">
      <c r="B3061" s="9"/>
    </row>
    <row r="3062" spans="2:2" s="2" customFormat="1" x14ac:dyDescent="0.25">
      <c r="B3062" s="9"/>
    </row>
    <row r="3063" spans="2:2" s="2" customFormat="1" x14ac:dyDescent="0.25">
      <c r="B3063" s="9"/>
    </row>
    <row r="3064" spans="2:2" s="2" customFormat="1" x14ac:dyDescent="0.25">
      <c r="B3064" s="9"/>
    </row>
    <row r="3065" spans="2:2" s="2" customFormat="1" x14ac:dyDescent="0.25">
      <c r="B3065" s="9"/>
    </row>
    <row r="3066" spans="2:2" s="2" customFormat="1" x14ac:dyDescent="0.25">
      <c r="B3066" s="9"/>
    </row>
    <row r="3067" spans="2:2" s="2" customFormat="1" x14ac:dyDescent="0.25">
      <c r="B3067" s="9"/>
    </row>
    <row r="3068" spans="2:2" s="2" customFormat="1" x14ac:dyDescent="0.25">
      <c r="B3068" s="9"/>
    </row>
    <row r="3069" spans="2:2" s="2" customFormat="1" x14ac:dyDescent="0.25">
      <c r="B3069" s="9"/>
    </row>
    <row r="3070" spans="2:2" s="2" customFormat="1" x14ac:dyDescent="0.25">
      <c r="B3070" s="9"/>
    </row>
    <row r="3071" spans="2:2" s="2" customFormat="1" x14ac:dyDescent="0.25">
      <c r="B3071" s="9"/>
    </row>
    <row r="3072" spans="2:2" s="2" customFormat="1" x14ac:dyDescent="0.25">
      <c r="B3072" s="9"/>
    </row>
    <row r="3073" spans="2:2" s="2" customFormat="1" x14ac:dyDescent="0.25">
      <c r="B3073" s="9"/>
    </row>
    <row r="3074" spans="2:2" s="2" customFormat="1" x14ac:dyDescent="0.25">
      <c r="B3074" s="9"/>
    </row>
    <row r="3075" spans="2:2" s="2" customFormat="1" x14ac:dyDescent="0.25">
      <c r="B3075" s="9"/>
    </row>
    <row r="3076" spans="2:2" s="2" customFormat="1" x14ac:dyDescent="0.25">
      <c r="B3076" s="9"/>
    </row>
    <row r="3077" spans="2:2" s="2" customFormat="1" x14ac:dyDescent="0.25">
      <c r="B3077" s="9"/>
    </row>
    <row r="3078" spans="2:2" s="2" customFormat="1" x14ac:dyDescent="0.25">
      <c r="B3078" s="9"/>
    </row>
    <row r="3079" spans="2:2" s="2" customFormat="1" x14ac:dyDescent="0.25">
      <c r="B3079" s="9"/>
    </row>
    <row r="3080" spans="2:2" s="2" customFormat="1" x14ac:dyDescent="0.25">
      <c r="B3080" s="9"/>
    </row>
    <row r="3081" spans="2:2" s="2" customFormat="1" x14ac:dyDescent="0.25">
      <c r="B3081" s="9"/>
    </row>
    <row r="3082" spans="2:2" s="2" customFormat="1" x14ac:dyDescent="0.25">
      <c r="B3082" s="9"/>
    </row>
    <row r="3083" spans="2:2" s="2" customFormat="1" x14ac:dyDescent="0.25">
      <c r="B3083" s="9"/>
    </row>
    <row r="3084" spans="2:2" s="2" customFormat="1" x14ac:dyDescent="0.25">
      <c r="B3084" s="9"/>
    </row>
    <row r="3085" spans="2:2" s="2" customFormat="1" x14ac:dyDescent="0.25">
      <c r="B3085" s="9"/>
    </row>
    <row r="3086" spans="2:2" s="2" customFormat="1" x14ac:dyDescent="0.25">
      <c r="B3086" s="9"/>
    </row>
    <row r="3087" spans="2:2" s="2" customFormat="1" x14ac:dyDescent="0.25">
      <c r="B3087" s="9"/>
    </row>
    <row r="3088" spans="2:2" s="2" customFormat="1" x14ac:dyDescent="0.25">
      <c r="B3088" s="9"/>
    </row>
    <row r="3089" spans="2:2" s="2" customFormat="1" x14ac:dyDescent="0.25">
      <c r="B3089" s="9"/>
    </row>
    <row r="3090" spans="2:2" s="2" customFormat="1" x14ac:dyDescent="0.25">
      <c r="B3090" s="9"/>
    </row>
    <row r="3091" spans="2:2" s="2" customFormat="1" x14ac:dyDescent="0.25">
      <c r="B3091" s="9"/>
    </row>
    <row r="3092" spans="2:2" s="2" customFormat="1" x14ac:dyDescent="0.25">
      <c r="B3092" s="9"/>
    </row>
    <row r="3093" spans="2:2" s="2" customFormat="1" x14ac:dyDescent="0.25">
      <c r="B3093" s="9"/>
    </row>
    <row r="3094" spans="2:2" s="2" customFormat="1" x14ac:dyDescent="0.25">
      <c r="B3094" s="9"/>
    </row>
    <row r="3095" spans="2:2" s="2" customFormat="1" x14ac:dyDescent="0.25">
      <c r="B3095" s="9"/>
    </row>
    <row r="3096" spans="2:2" s="2" customFormat="1" x14ac:dyDescent="0.25">
      <c r="B3096" s="9"/>
    </row>
    <row r="3097" spans="2:2" s="2" customFormat="1" x14ac:dyDescent="0.25">
      <c r="B3097" s="9"/>
    </row>
    <row r="3098" spans="2:2" s="2" customFormat="1" x14ac:dyDescent="0.25">
      <c r="B3098" s="9"/>
    </row>
    <row r="3099" spans="2:2" s="2" customFormat="1" x14ac:dyDescent="0.25">
      <c r="B3099" s="9"/>
    </row>
    <row r="3100" spans="2:2" s="2" customFormat="1" x14ac:dyDescent="0.25">
      <c r="B3100" s="9"/>
    </row>
    <row r="3101" spans="2:2" s="2" customFormat="1" x14ac:dyDescent="0.25">
      <c r="B3101" s="9"/>
    </row>
    <row r="3102" spans="2:2" s="2" customFormat="1" x14ac:dyDescent="0.25">
      <c r="B3102" s="9"/>
    </row>
    <row r="3103" spans="2:2" s="2" customFormat="1" x14ac:dyDescent="0.25">
      <c r="B3103" s="9"/>
    </row>
    <row r="3104" spans="2:2" s="2" customFormat="1" x14ac:dyDescent="0.25">
      <c r="B3104" s="9"/>
    </row>
    <row r="3105" spans="2:2" s="2" customFormat="1" x14ac:dyDescent="0.25">
      <c r="B3105" s="9"/>
    </row>
    <row r="3106" spans="2:2" s="2" customFormat="1" x14ac:dyDescent="0.25">
      <c r="B3106" s="9"/>
    </row>
    <row r="3107" spans="2:2" s="2" customFormat="1" x14ac:dyDescent="0.25">
      <c r="B3107" s="9"/>
    </row>
    <row r="3108" spans="2:2" s="2" customFormat="1" x14ac:dyDescent="0.25">
      <c r="B3108" s="9"/>
    </row>
    <row r="3109" spans="2:2" s="2" customFormat="1" x14ac:dyDescent="0.25">
      <c r="B3109" s="9"/>
    </row>
    <row r="3110" spans="2:2" s="2" customFormat="1" x14ac:dyDescent="0.25">
      <c r="B3110" s="9"/>
    </row>
    <row r="3111" spans="2:2" s="2" customFormat="1" x14ac:dyDescent="0.25">
      <c r="B3111" s="9"/>
    </row>
    <row r="3112" spans="2:2" s="2" customFormat="1" x14ac:dyDescent="0.25">
      <c r="B3112" s="9"/>
    </row>
    <row r="3113" spans="2:2" s="2" customFormat="1" x14ac:dyDescent="0.25">
      <c r="B3113" s="9"/>
    </row>
    <row r="3114" spans="2:2" s="2" customFormat="1" x14ac:dyDescent="0.25">
      <c r="B3114" s="9"/>
    </row>
    <row r="3115" spans="2:2" s="2" customFormat="1" x14ac:dyDescent="0.25">
      <c r="B3115" s="9"/>
    </row>
    <row r="3116" spans="2:2" s="2" customFormat="1" x14ac:dyDescent="0.25">
      <c r="B3116" s="9"/>
    </row>
    <row r="3117" spans="2:2" s="2" customFormat="1" x14ac:dyDescent="0.25">
      <c r="B3117" s="9"/>
    </row>
    <row r="3118" spans="2:2" s="2" customFormat="1" x14ac:dyDescent="0.25">
      <c r="B3118" s="9"/>
    </row>
    <row r="3119" spans="2:2" s="2" customFormat="1" x14ac:dyDescent="0.25">
      <c r="B3119" s="9"/>
    </row>
    <row r="3120" spans="2:2" s="2" customFormat="1" x14ac:dyDescent="0.25">
      <c r="B3120" s="9"/>
    </row>
    <row r="3121" spans="2:2" s="2" customFormat="1" x14ac:dyDescent="0.25">
      <c r="B3121" s="9"/>
    </row>
    <row r="3122" spans="2:2" s="2" customFormat="1" x14ac:dyDescent="0.25">
      <c r="B3122" s="9"/>
    </row>
    <row r="3123" spans="2:2" s="2" customFormat="1" x14ac:dyDescent="0.25">
      <c r="B3123" s="9"/>
    </row>
    <row r="3124" spans="2:2" s="2" customFormat="1" x14ac:dyDescent="0.25">
      <c r="B3124" s="9"/>
    </row>
    <row r="3125" spans="2:2" s="2" customFormat="1" x14ac:dyDescent="0.25">
      <c r="B3125" s="9"/>
    </row>
    <row r="3126" spans="2:2" s="2" customFormat="1" x14ac:dyDescent="0.25">
      <c r="B3126" s="9"/>
    </row>
    <row r="3127" spans="2:2" s="2" customFormat="1" x14ac:dyDescent="0.25">
      <c r="B3127" s="9"/>
    </row>
    <row r="3128" spans="2:2" s="2" customFormat="1" x14ac:dyDescent="0.25">
      <c r="B3128" s="9"/>
    </row>
    <row r="3129" spans="2:2" s="2" customFormat="1" x14ac:dyDescent="0.25">
      <c r="B3129" s="9"/>
    </row>
    <row r="3130" spans="2:2" s="2" customFormat="1" x14ac:dyDescent="0.25">
      <c r="B3130" s="9"/>
    </row>
    <row r="3131" spans="2:2" s="2" customFormat="1" x14ac:dyDescent="0.25">
      <c r="B3131" s="9"/>
    </row>
    <row r="3132" spans="2:2" s="2" customFormat="1" x14ac:dyDescent="0.25">
      <c r="B3132" s="9"/>
    </row>
    <row r="3133" spans="2:2" s="2" customFormat="1" x14ac:dyDescent="0.25">
      <c r="B3133" s="9"/>
    </row>
    <row r="3134" spans="2:2" s="2" customFormat="1" x14ac:dyDescent="0.25">
      <c r="B3134" s="9"/>
    </row>
    <row r="3135" spans="2:2" s="2" customFormat="1" x14ac:dyDescent="0.25">
      <c r="B3135" s="9"/>
    </row>
    <row r="3136" spans="2:2" s="2" customFormat="1" x14ac:dyDescent="0.25">
      <c r="B3136" s="9"/>
    </row>
    <row r="3137" spans="2:2" s="2" customFormat="1" x14ac:dyDescent="0.25">
      <c r="B3137" s="9"/>
    </row>
    <row r="3138" spans="2:2" s="2" customFormat="1" x14ac:dyDescent="0.25">
      <c r="B3138" s="9"/>
    </row>
    <row r="3139" spans="2:2" s="2" customFormat="1" x14ac:dyDescent="0.25">
      <c r="B3139" s="9"/>
    </row>
    <row r="3140" spans="2:2" s="2" customFormat="1" x14ac:dyDescent="0.25">
      <c r="B3140" s="9"/>
    </row>
    <row r="3141" spans="2:2" s="2" customFormat="1" x14ac:dyDescent="0.25">
      <c r="B3141" s="9"/>
    </row>
    <row r="3142" spans="2:2" s="2" customFormat="1" x14ac:dyDescent="0.25">
      <c r="B3142" s="9"/>
    </row>
    <row r="3143" spans="2:2" s="2" customFormat="1" x14ac:dyDescent="0.25">
      <c r="B3143" s="9"/>
    </row>
    <row r="3144" spans="2:2" s="2" customFormat="1" x14ac:dyDescent="0.25">
      <c r="B3144" s="9"/>
    </row>
    <row r="3145" spans="2:2" s="2" customFormat="1" x14ac:dyDescent="0.25">
      <c r="B3145" s="9"/>
    </row>
    <row r="3146" spans="2:2" s="2" customFormat="1" x14ac:dyDescent="0.25">
      <c r="B3146" s="9"/>
    </row>
    <row r="3147" spans="2:2" s="2" customFormat="1" x14ac:dyDescent="0.25">
      <c r="B3147" s="9"/>
    </row>
    <row r="3148" spans="2:2" s="2" customFormat="1" x14ac:dyDescent="0.25">
      <c r="B3148" s="9"/>
    </row>
    <row r="3149" spans="2:2" s="2" customFormat="1" x14ac:dyDescent="0.25">
      <c r="B3149" s="9"/>
    </row>
    <row r="3150" spans="2:2" s="2" customFormat="1" x14ac:dyDescent="0.25">
      <c r="B3150" s="9"/>
    </row>
    <row r="3151" spans="2:2" s="2" customFormat="1" x14ac:dyDescent="0.25">
      <c r="B3151" s="9"/>
    </row>
    <row r="3152" spans="2:2" s="2" customFormat="1" x14ac:dyDescent="0.25">
      <c r="B3152" s="9"/>
    </row>
    <row r="3153" spans="2:2" s="2" customFormat="1" x14ac:dyDescent="0.25">
      <c r="B3153" s="9"/>
    </row>
    <row r="3154" spans="2:2" s="2" customFormat="1" x14ac:dyDescent="0.25">
      <c r="B3154" s="9"/>
    </row>
    <row r="3155" spans="2:2" s="2" customFormat="1" x14ac:dyDescent="0.25">
      <c r="B3155" s="9"/>
    </row>
    <row r="3156" spans="2:2" s="2" customFormat="1" x14ac:dyDescent="0.25">
      <c r="B3156" s="9"/>
    </row>
    <row r="3157" spans="2:2" s="2" customFormat="1" x14ac:dyDescent="0.25">
      <c r="B3157" s="9"/>
    </row>
    <row r="3158" spans="2:2" s="2" customFormat="1" x14ac:dyDescent="0.25">
      <c r="B3158" s="9"/>
    </row>
    <row r="3159" spans="2:2" s="2" customFormat="1" x14ac:dyDescent="0.25">
      <c r="B3159" s="9"/>
    </row>
    <row r="3160" spans="2:2" s="2" customFormat="1" x14ac:dyDescent="0.25">
      <c r="B3160" s="9"/>
    </row>
    <row r="3161" spans="2:2" s="2" customFormat="1" x14ac:dyDescent="0.25">
      <c r="B3161" s="9"/>
    </row>
    <row r="3162" spans="2:2" s="2" customFormat="1" x14ac:dyDescent="0.25">
      <c r="B3162" s="9"/>
    </row>
    <row r="3163" spans="2:2" s="2" customFormat="1" x14ac:dyDescent="0.25">
      <c r="B3163" s="9"/>
    </row>
    <row r="3164" spans="2:2" s="2" customFormat="1" x14ac:dyDescent="0.25">
      <c r="B3164" s="9"/>
    </row>
    <row r="3165" spans="2:2" s="2" customFormat="1" x14ac:dyDescent="0.25">
      <c r="B3165" s="9"/>
    </row>
    <row r="3166" spans="2:2" s="2" customFormat="1" x14ac:dyDescent="0.25">
      <c r="B3166" s="9"/>
    </row>
    <row r="3167" spans="2:2" s="2" customFormat="1" x14ac:dyDescent="0.25">
      <c r="B3167" s="9"/>
    </row>
    <row r="3168" spans="2:2" s="2" customFormat="1" x14ac:dyDescent="0.25">
      <c r="B3168" s="9"/>
    </row>
    <row r="3169" spans="2:2" s="2" customFormat="1" x14ac:dyDescent="0.25">
      <c r="B3169" s="9"/>
    </row>
    <row r="3170" spans="2:2" s="2" customFormat="1" x14ac:dyDescent="0.25">
      <c r="B3170" s="9"/>
    </row>
    <row r="3171" spans="2:2" s="2" customFormat="1" x14ac:dyDescent="0.25">
      <c r="B3171" s="9"/>
    </row>
    <row r="3172" spans="2:2" s="2" customFormat="1" x14ac:dyDescent="0.25">
      <c r="B3172" s="9"/>
    </row>
    <row r="3173" spans="2:2" s="2" customFormat="1" x14ac:dyDescent="0.25">
      <c r="B3173" s="9"/>
    </row>
    <row r="3174" spans="2:2" s="2" customFormat="1" x14ac:dyDescent="0.25">
      <c r="B3174" s="9"/>
    </row>
    <row r="3175" spans="2:2" s="2" customFormat="1" x14ac:dyDescent="0.25">
      <c r="B3175" s="9"/>
    </row>
    <row r="3176" spans="2:2" s="2" customFormat="1" x14ac:dyDescent="0.25">
      <c r="B3176" s="9"/>
    </row>
    <row r="3177" spans="2:2" s="2" customFormat="1" x14ac:dyDescent="0.25">
      <c r="B3177" s="9"/>
    </row>
    <row r="3178" spans="2:2" s="2" customFormat="1" x14ac:dyDescent="0.25">
      <c r="B3178" s="9"/>
    </row>
    <row r="3179" spans="2:2" s="2" customFormat="1" x14ac:dyDescent="0.25">
      <c r="B3179" s="9"/>
    </row>
    <row r="3180" spans="2:2" s="2" customFormat="1" x14ac:dyDescent="0.25">
      <c r="B3180" s="9"/>
    </row>
    <row r="3181" spans="2:2" s="2" customFormat="1" x14ac:dyDescent="0.25">
      <c r="B3181" s="9"/>
    </row>
    <row r="3182" spans="2:2" s="2" customFormat="1" x14ac:dyDescent="0.25">
      <c r="B3182" s="9"/>
    </row>
    <row r="3183" spans="2:2" s="2" customFormat="1" x14ac:dyDescent="0.25">
      <c r="B3183" s="9"/>
    </row>
    <row r="3184" spans="2:2" s="2" customFormat="1" x14ac:dyDescent="0.25">
      <c r="B3184" s="9"/>
    </row>
    <row r="3185" spans="2:2" s="2" customFormat="1" x14ac:dyDescent="0.25">
      <c r="B3185" s="9"/>
    </row>
    <row r="3186" spans="2:2" s="2" customFormat="1" x14ac:dyDescent="0.25">
      <c r="B3186" s="9"/>
    </row>
    <row r="3187" spans="2:2" s="2" customFormat="1" x14ac:dyDescent="0.25">
      <c r="B3187" s="9"/>
    </row>
    <row r="3188" spans="2:2" s="2" customFormat="1" x14ac:dyDescent="0.25">
      <c r="B3188" s="9"/>
    </row>
    <row r="3189" spans="2:2" s="2" customFormat="1" x14ac:dyDescent="0.25">
      <c r="B3189" s="9"/>
    </row>
    <row r="3190" spans="2:2" s="2" customFormat="1" x14ac:dyDescent="0.25">
      <c r="B3190" s="9"/>
    </row>
    <row r="3191" spans="2:2" s="2" customFormat="1" x14ac:dyDescent="0.25">
      <c r="B3191" s="9"/>
    </row>
    <row r="3192" spans="2:2" s="2" customFormat="1" x14ac:dyDescent="0.25">
      <c r="B3192" s="9"/>
    </row>
    <row r="3193" spans="2:2" s="2" customFormat="1" x14ac:dyDescent="0.25">
      <c r="B3193" s="9"/>
    </row>
    <row r="3194" spans="2:2" s="2" customFormat="1" x14ac:dyDescent="0.25">
      <c r="B3194" s="9"/>
    </row>
    <row r="3195" spans="2:2" s="2" customFormat="1" x14ac:dyDescent="0.25">
      <c r="B3195" s="9"/>
    </row>
    <row r="3196" spans="2:2" s="2" customFormat="1" x14ac:dyDescent="0.25">
      <c r="B3196" s="9"/>
    </row>
    <row r="3197" spans="2:2" s="2" customFormat="1" x14ac:dyDescent="0.25">
      <c r="B3197" s="9"/>
    </row>
    <row r="3198" spans="2:2" s="2" customFormat="1" x14ac:dyDescent="0.25">
      <c r="B3198" s="9"/>
    </row>
    <row r="3199" spans="2:2" s="2" customFormat="1" x14ac:dyDescent="0.25">
      <c r="B3199" s="9"/>
    </row>
    <row r="3200" spans="2:2" s="2" customFormat="1" x14ac:dyDescent="0.25">
      <c r="B3200" s="9"/>
    </row>
    <row r="3201" spans="2:2" s="2" customFormat="1" x14ac:dyDescent="0.25">
      <c r="B3201" s="9"/>
    </row>
    <row r="3202" spans="2:2" s="2" customFormat="1" x14ac:dyDescent="0.25">
      <c r="B3202" s="9"/>
    </row>
    <row r="3203" spans="2:2" s="2" customFormat="1" x14ac:dyDescent="0.25">
      <c r="B3203" s="9"/>
    </row>
    <row r="3204" spans="2:2" s="2" customFormat="1" x14ac:dyDescent="0.25">
      <c r="B3204" s="9"/>
    </row>
    <row r="3205" spans="2:2" s="2" customFormat="1" x14ac:dyDescent="0.25">
      <c r="B3205" s="9"/>
    </row>
    <row r="3206" spans="2:2" s="2" customFormat="1" x14ac:dyDescent="0.25">
      <c r="B3206" s="9"/>
    </row>
    <row r="3207" spans="2:2" s="2" customFormat="1" x14ac:dyDescent="0.25">
      <c r="B3207" s="9"/>
    </row>
    <row r="3208" spans="2:2" s="2" customFormat="1" x14ac:dyDescent="0.25">
      <c r="B3208" s="9"/>
    </row>
    <row r="3209" spans="2:2" s="2" customFormat="1" x14ac:dyDescent="0.25">
      <c r="B3209" s="9"/>
    </row>
    <row r="3210" spans="2:2" s="2" customFormat="1" x14ac:dyDescent="0.25">
      <c r="B3210" s="9"/>
    </row>
    <row r="3211" spans="2:2" s="2" customFormat="1" x14ac:dyDescent="0.25">
      <c r="B3211" s="9"/>
    </row>
    <row r="3212" spans="2:2" s="2" customFormat="1" x14ac:dyDescent="0.25">
      <c r="B3212" s="9"/>
    </row>
    <row r="3213" spans="2:2" s="2" customFormat="1" x14ac:dyDescent="0.25">
      <c r="B3213" s="9"/>
    </row>
    <row r="3214" spans="2:2" s="2" customFormat="1" x14ac:dyDescent="0.25">
      <c r="B3214" s="9"/>
    </row>
    <row r="3215" spans="2:2" s="2" customFormat="1" x14ac:dyDescent="0.25">
      <c r="B3215" s="9"/>
    </row>
    <row r="3216" spans="2:2" s="2" customFormat="1" x14ac:dyDescent="0.25">
      <c r="B3216" s="9"/>
    </row>
    <row r="3217" spans="2:2" s="2" customFormat="1" x14ac:dyDescent="0.25">
      <c r="B3217" s="9"/>
    </row>
    <row r="3218" spans="2:2" s="2" customFormat="1" x14ac:dyDescent="0.25">
      <c r="B3218" s="9"/>
    </row>
    <row r="3219" spans="2:2" s="2" customFormat="1" x14ac:dyDescent="0.25">
      <c r="B3219" s="9"/>
    </row>
    <row r="3220" spans="2:2" s="2" customFormat="1" x14ac:dyDescent="0.25">
      <c r="B3220" s="9"/>
    </row>
    <row r="3221" spans="2:2" s="2" customFormat="1" x14ac:dyDescent="0.25">
      <c r="B3221" s="9"/>
    </row>
    <row r="3222" spans="2:2" s="2" customFormat="1" x14ac:dyDescent="0.25">
      <c r="B3222" s="9"/>
    </row>
    <row r="3223" spans="2:2" s="2" customFormat="1" x14ac:dyDescent="0.25">
      <c r="B3223" s="9"/>
    </row>
    <row r="3224" spans="2:2" s="2" customFormat="1" x14ac:dyDescent="0.25">
      <c r="B3224" s="9"/>
    </row>
    <row r="3225" spans="2:2" s="2" customFormat="1" x14ac:dyDescent="0.25">
      <c r="B3225" s="9"/>
    </row>
    <row r="3226" spans="2:2" s="2" customFormat="1" x14ac:dyDescent="0.25">
      <c r="B3226" s="9"/>
    </row>
    <row r="3227" spans="2:2" s="2" customFormat="1" x14ac:dyDescent="0.25">
      <c r="B3227" s="9"/>
    </row>
    <row r="3228" spans="2:2" s="2" customFormat="1" x14ac:dyDescent="0.25">
      <c r="B3228" s="9"/>
    </row>
    <row r="3229" spans="2:2" s="2" customFormat="1" x14ac:dyDescent="0.25">
      <c r="B3229" s="9"/>
    </row>
    <row r="3230" spans="2:2" s="2" customFormat="1" x14ac:dyDescent="0.25">
      <c r="B3230" s="9"/>
    </row>
    <row r="3231" spans="2:2" s="2" customFormat="1" x14ac:dyDescent="0.25">
      <c r="B3231" s="9"/>
    </row>
    <row r="3232" spans="2:2" s="2" customFormat="1" x14ac:dyDescent="0.25">
      <c r="B3232" s="9"/>
    </row>
    <row r="3233" spans="2:2" s="2" customFormat="1" x14ac:dyDescent="0.25">
      <c r="B3233" s="9"/>
    </row>
    <row r="3234" spans="2:2" s="2" customFormat="1" x14ac:dyDescent="0.25">
      <c r="B3234" s="9"/>
    </row>
    <row r="3235" spans="2:2" s="2" customFormat="1" x14ac:dyDescent="0.25">
      <c r="B3235" s="9"/>
    </row>
    <row r="3236" spans="2:2" s="2" customFormat="1" x14ac:dyDescent="0.25">
      <c r="B3236" s="9"/>
    </row>
    <row r="3237" spans="2:2" s="2" customFormat="1" x14ac:dyDescent="0.25">
      <c r="B3237" s="9"/>
    </row>
    <row r="3238" spans="2:2" s="2" customFormat="1" x14ac:dyDescent="0.25">
      <c r="B3238" s="9"/>
    </row>
    <row r="3239" spans="2:2" s="2" customFormat="1" x14ac:dyDescent="0.25">
      <c r="B3239" s="9"/>
    </row>
    <row r="3240" spans="2:2" s="2" customFormat="1" x14ac:dyDescent="0.25">
      <c r="B3240" s="9"/>
    </row>
    <row r="3241" spans="2:2" s="2" customFormat="1" x14ac:dyDescent="0.25">
      <c r="B3241" s="9"/>
    </row>
    <row r="3242" spans="2:2" s="2" customFormat="1" x14ac:dyDescent="0.25">
      <c r="B3242" s="9"/>
    </row>
    <row r="3243" spans="2:2" s="2" customFormat="1" x14ac:dyDescent="0.25">
      <c r="B3243" s="9"/>
    </row>
    <row r="3244" spans="2:2" s="2" customFormat="1" x14ac:dyDescent="0.25">
      <c r="B3244" s="9"/>
    </row>
    <row r="3245" spans="2:2" s="2" customFormat="1" x14ac:dyDescent="0.25">
      <c r="B3245" s="9"/>
    </row>
    <row r="3246" spans="2:2" s="2" customFormat="1" x14ac:dyDescent="0.25">
      <c r="B3246" s="9"/>
    </row>
    <row r="3247" spans="2:2" s="2" customFormat="1" x14ac:dyDescent="0.25">
      <c r="B3247" s="9"/>
    </row>
    <row r="3248" spans="2:2" s="2" customFormat="1" x14ac:dyDescent="0.25">
      <c r="B3248" s="9"/>
    </row>
    <row r="3249" spans="2:2" s="2" customFormat="1" x14ac:dyDescent="0.25">
      <c r="B3249" s="9"/>
    </row>
    <row r="3250" spans="2:2" s="2" customFormat="1" x14ac:dyDescent="0.25">
      <c r="B3250" s="9"/>
    </row>
    <row r="3251" spans="2:2" s="2" customFormat="1" x14ac:dyDescent="0.25">
      <c r="B3251" s="9"/>
    </row>
    <row r="3252" spans="2:2" s="2" customFormat="1" x14ac:dyDescent="0.25">
      <c r="B3252" s="9"/>
    </row>
    <row r="3253" spans="2:2" s="2" customFormat="1" x14ac:dyDescent="0.25">
      <c r="B3253" s="9"/>
    </row>
    <row r="3254" spans="2:2" s="2" customFormat="1" x14ac:dyDescent="0.25">
      <c r="B3254" s="9"/>
    </row>
    <row r="3255" spans="2:2" s="2" customFormat="1" x14ac:dyDescent="0.25">
      <c r="B3255" s="9"/>
    </row>
    <row r="3256" spans="2:2" s="2" customFormat="1" x14ac:dyDescent="0.25">
      <c r="B3256" s="9"/>
    </row>
    <row r="3257" spans="2:2" s="2" customFormat="1" x14ac:dyDescent="0.25">
      <c r="B3257" s="9"/>
    </row>
    <row r="3258" spans="2:2" s="2" customFormat="1" x14ac:dyDescent="0.25">
      <c r="B3258" s="9"/>
    </row>
    <row r="3259" spans="2:2" s="2" customFormat="1" x14ac:dyDescent="0.25">
      <c r="B3259" s="9"/>
    </row>
    <row r="3260" spans="2:2" s="2" customFormat="1" x14ac:dyDescent="0.25">
      <c r="B3260" s="9"/>
    </row>
    <row r="3261" spans="2:2" s="2" customFormat="1" x14ac:dyDescent="0.25">
      <c r="B3261" s="9"/>
    </row>
    <row r="3262" spans="2:2" s="2" customFormat="1" x14ac:dyDescent="0.25">
      <c r="B3262" s="9"/>
    </row>
    <row r="3263" spans="2:2" s="2" customFormat="1" x14ac:dyDescent="0.25">
      <c r="B3263" s="9"/>
    </row>
    <row r="3264" spans="2:2" s="2" customFormat="1" x14ac:dyDescent="0.25">
      <c r="B3264" s="9"/>
    </row>
    <row r="3265" spans="2:2" s="2" customFormat="1" x14ac:dyDescent="0.25">
      <c r="B3265" s="9"/>
    </row>
    <row r="3266" spans="2:2" s="2" customFormat="1" x14ac:dyDescent="0.25">
      <c r="B3266" s="9"/>
    </row>
    <row r="3267" spans="2:2" s="2" customFormat="1" x14ac:dyDescent="0.25">
      <c r="B3267" s="9"/>
    </row>
    <row r="3268" spans="2:2" s="2" customFormat="1" x14ac:dyDescent="0.25">
      <c r="B3268" s="9"/>
    </row>
    <row r="3269" spans="2:2" s="2" customFormat="1" x14ac:dyDescent="0.25">
      <c r="B3269" s="9"/>
    </row>
    <row r="3270" spans="2:2" s="2" customFormat="1" x14ac:dyDescent="0.25">
      <c r="B3270" s="9"/>
    </row>
    <row r="3271" spans="2:2" s="2" customFormat="1" x14ac:dyDescent="0.25">
      <c r="B3271" s="9"/>
    </row>
    <row r="3272" spans="2:2" s="2" customFormat="1" x14ac:dyDescent="0.25">
      <c r="B3272" s="9"/>
    </row>
    <row r="3273" spans="2:2" s="2" customFormat="1" x14ac:dyDescent="0.25">
      <c r="B3273" s="9"/>
    </row>
    <row r="3274" spans="2:2" s="2" customFormat="1" x14ac:dyDescent="0.25">
      <c r="B3274" s="9"/>
    </row>
    <row r="3275" spans="2:2" s="2" customFormat="1" x14ac:dyDescent="0.25">
      <c r="B3275" s="9"/>
    </row>
    <row r="3276" spans="2:2" s="2" customFormat="1" x14ac:dyDescent="0.25">
      <c r="B3276" s="9"/>
    </row>
    <row r="3277" spans="2:2" s="2" customFormat="1" x14ac:dyDescent="0.25">
      <c r="B3277" s="9"/>
    </row>
    <row r="3278" spans="2:2" s="2" customFormat="1" x14ac:dyDescent="0.25">
      <c r="B3278" s="9"/>
    </row>
    <row r="3279" spans="2:2" s="2" customFormat="1" x14ac:dyDescent="0.25">
      <c r="B3279" s="9"/>
    </row>
    <row r="3280" spans="2:2" s="2" customFormat="1" x14ac:dyDescent="0.25">
      <c r="B3280" s="9"/>
    </row>
    <row r="3281" spans="2:2" s="2" customFormat="1" x14ac:dyDescent="0.25">
      <c r="B3281" s="9"/>
    </row>
    <row r="3282" spans="2:2" s="2" customFormat="1" x14ac:dyDescent="0.25">
      <c r="B3282" s="9"/>
    </row>
    <row r="3283" spans="2:2" s="2" customFormat="1" x14ac:dyDescent="0.25">
      <c r="B3283" s="9"/>
    </row>
    <row r="3284" spans="2:2" s="2" customFormat="1" x14ac:dyDescent="0.25">
      <c r="B3284" s="9"/>
    </row>
    <row r="3285" spans="2:2" s="2" customFormat="1" x14ac:dyDescent="0.25">
      <c r="B3285" s="9"/>
    </row>
    <row r="3286" spans="2:2" s="2" customFormat="1" x14ac:dyDescent="0.25">
      <c r="B3286" s="9"/>
    </row>
    <row r="3287" spans="2:2" s="2" customFormat="1" x14ac:dyDescent="0.25">
      <c r="B3287" s="9"/>
    </row>
    <row r="3288" spans="2:2" s="2" customFormat="1" x14ac:dyDescent="0.25">
      <c r="B3288" s="9"/>
    </row>
    <row r="3289" spans="2:2" s="2" customFormat="1" x14ac:dyDescent="0.25">
      <c r="B3289" s="9"/>
    </row>
    <row r="3290" spans="2:2" s="2" customFormat="1" x14ac:dyDescent="0.25">
      <c r="B3290" s="9"/>
    </row>
    <row r="3291" spans="2:2" s="2" customFormat="1" x14ac:dyDescent="0.25">
      <c r="B3291" s="9"/>
    </row>
    <row r="3292" spans="2:2" s="2" customFormat="1" x14ac:dyDescent="0.25">
      <c r="B3292" s="9"/>
    </row>
    <row r="3293" spans="2:2" s="2" customFormat="1" x14ac:dyDescent="0.25">
      <c r="B3293" s="9"/>
    </row>
    <row r="3294" spans="2:2" s="2" customFormat="1" x14ac:dyDescent="0.25">
      <c r="B3294" s="9"/>
    </row>
    <row r="3295" spans="2:2" s="2" customFormat="1" x14ac:dyDescent="0.25">
      <c r="B3295" s="9"/>
    </row>
    <row r="3296" spans="2:2" s="2" customFormat="1" x14ac:dyDescent="0.25">
      <c r="B3296" s="9"/>
    </row>
    <row r="3297" spans="2:2" s="2" customFormat="1" x14ac:dyDescent="0.25">
      <c r="B3297" s="9"/>
    </row>
    <row r="3298" spans="2:2" s="2" customFormat="1" x14ac:dyDescent="0.25">
      <c r="B3298" s="9"/>
    </row>
    <row r="3299" spans="2:2" s="2" customFormat="1" x14ac:dyDescent="0.25">
      <c r="B3299" s="9"/>
    </row>
    <row r="3300" spans="2:2" s="2" customFormat="1" x14ac:dyDescent="0.25">
      <c r="B3300" s="9"/>
    </row>
    <row r="3301" spans="2:2" s="2" customFormat="1" x14ac:dyDescent="0.25">
      <c r="B3301" s="9"/>
    </row>
    <row r="3302" spans="2:2" s="2" customFormat="1" x14ac:dyDescent="0.25">
      <c r="B3302" s="9"/>
    </row>
    <row r="3303" spans="2:2" s="2" customFormat="1" x14ac:dyDescent="0.25">
      <c r="B3303" s="9"/>
    </row>
    <row r="3304" spans="2:2" s="2" customFormat="1" x14ac:dyDescent="0.25">
      <c r="B3304" s="9"/>
    </row>
    <row r="3305" spans="2:2" s="2" customFormat="1" x14ac:dyDescent="0.25">
      <c r="B3305" s="9"/>
    </row>
    <row r="3306" spans="2:2" s="2" customFormat="1" x14ac:dyDescent="0.25">
      <c r="B3306" s="9"/>
    </row>
    <row r="3307" spans="2:2" s="2" customFormat="1" x14ac:dyDescent="0.25">
      <c r="B3307" s="9"/>
    </row>
    <row r="3308" spans="2:2" s="2" customFormat="1" x14ac:dyDescent="0.25">
      <c r="B3308" s="9"/>
    </row>
    <row r="3309" spans="2:2" s="2" customFormat="1" x14ac:dyDescent="0.25">
      <c r="B3309" s="9"/>
    </row>
    <row r="3310" spans="2:2" s="2" customFormat="1" x14ac:dyDescent="0.25">
      <c r="B3310" s="9"/>
    </row>
    <row r="3311" spans="2:2" s="2" customFormat="1" x14ac:dyDescent="0.25">
      <c r="B3311" s="9"/>
    </row>
    <row r="3312" spans="2:2" s="2" customFormat="1" x14ac:dyDescent="0.25">
      <c r="B3312" s="9"/>
    </row>
    <row r="3313" spans="2:2" s="2" customFormat="1" x14ac:dyDescent="0.25">
      <c r="B3313" s="9"/>
    </row>
    <row r="3314" spans="2:2" s="2" customFormat="1" x14ac:dyDescent="0.25">
      <c r="B3314" s="9"/>
    </row>
    <row r="3315" spans="2:2" s="2" customFormat="1" x14ac:dyDescent="0.25">
      <c r="B3315" s="9"/>
    </row>
    <row r="3316" spans="2:2" s="2" customFormat="1" x14ac:dyDescent="0.25">
      <c r="B3316" s="9"/>
    </row>
    <row r="3317" spans="2:2" s="2" customFormat="1" x14ac:dyDescent="0.25">
      <c r="B3317" s="9"/>
    </row>
    <row r="3318" spans="2:2" s="2" customFormat="1" x14ac:dyDescent="0.25">
      <c r="B3318" s="9"/>
    </row>
    <row r="3319" spans="2:2" s="2" customFormat="1" x14ac:dyDescent="0.25">
      <c r="B3319" s="9"/>
    </row>
    <row r="3320" spans="2:2" s="2" customFormat="1" x14ac:dyDescent="0.25">
      <c r="B3320" s="9"/>
    </row>
    <row r="3321" spans="2:2" s="2" customFormat="1" x14ac:dyDescent="0.25">
      <c r="B3321" s="9"/>
    </row>
    <row r="3322" spans="2:2" s="2" customFormat="1" x14ac:dyDescent="0.25">
      <c r="B3322" s="9"/>
    </row>
    <row r="3323" spans="2:2" s="2" customFormat="1" x14ac:dyDescent="0.25">
      <c r="B3323" s="9"/>
    </row>
    <row r="3324" spans="2:2" s="2" customFormat="1" x14ac:dyDescent="0.25">
      <c r="B3324" s="9"/>
    </row>
    <row r="3325" spans="2:2" s="2" customFormat="1" x14ac:dyDescent="0.25">
      <c r="B3325" s="9"/>
    </row>
    <row r="3326" spans="2:2" s="2" customFormat="1" x14ac:dyDescent="0.25">
      <c r="B3326" s="9"/>
    </row>
    <row r="3327" spans="2:2" s="2" customFormat="1" x14ac:dyDescent="0.25">
      <c r="B3327" s="9"/>
    </row>
    <row r="3328" spans="2:2" s="2" customFormat="1" x14ac:dyDescent="0.25">
      <c r="B3328" s="9"/>
    </row>
    <row r="3329" spans="2:2" s="2" customFormat="1" x14ac:dyDescent="0.25">
      <c r="B3329" s="9"/>
    </row>
    <row r="3330" spans="2:2" s="2" customFormat="1" x14ac:dyDescent="0.25">
      <c r="B3330" s="9"/>
    </row>
    <row r="3331" spans="2:2" s="2" customFormat="1" x14ac:dyDescent="0.25">
      <c r="B3331" s="9"/>
    </row>
    <row r="3332" spans="2:2" s="2" customFormat="1" x14ac:dyDescent="0.25">
      <c r="B3332" s="9"/>
    </row>
    <row r="3333" spans="2:2" s="2" customFormat="1" x14ac:dyDescent="0.25">
      <c r="B3333" s="9"/>
    </row>
    <row r="3334" spans="2:2" s="2" customFormat="1" x14ac:dyDescent="0.25">
      <c r="B3334" s="9"/>
    </row>
    <row r="3335" spans="2:2" s="2" customFormat="1" x14ac:dyDescent="0.25">
      <c r="B3335" s="9"/>
    </row>
    <row r="3336" spans="2:2" s="2" customFormat="1" x14ac:dyDescent="0.25">
      <c r="B3336" s="9"/>
    </row>
    <row r="3337" spans="2:2" s="2" customFormat="1" x14ac:dyDescent="0.25">
      <c r="B3337" s="9"/>
    </row>
    <row r="3338" spans="2:2" s="2" customFormat="1" x14ac:dyDescent="0.25">
      <c r="B3338" s="9"/>
    </row>
    <row r="3339" spans="2:2" s="2" customFormat="1" x14ac:dyDescent="0.25">
      <c r="B3339" s="9"/>
    </row>
    <row r="3340" spans="2:2" s="2" customFormat="1" x14ac:dyDescent="0.25">
      <c r="B3340" s="9"/>
    </row>
    <row r="3341" spans="2:2" s="2" customFormat="1" x14ac:dyDescent="0.25">
      <c r="B3341" s="9"/>
    </row>
    <row r="3342" spans="2:2" s="2" customFormat="1" x14ac:dyDescent="0.25">
      <c r="B3342" s="9"/>
    </row>
    <row r="3343" spans="2:2" s="2" customFormat="1" x14ac:dyDescent="0.25">
      <c r="B3343" s="9"/>
    </row>
    <row r="3344" spans="2:2" s="2" customFormat="1" x14ac:dyDescent="0.25">
      <c r="B3344" s="9"/>
    </row>
    <row r="3345" spans="2:2" s="2" customFormat="1" x14ac:dyDescent="0.25">
      <c r="B3345" s="9"/>
    </row>
    <row r="3346" spans="2:2" s="2" customFormat="1" x14ac:dyDescent="0.25">
      <c r="B3346" s="9"/>
    </row>
    <row r="3347" spans="2:2" s="2" customFormat="1" x14ac:dyDescent="0.25">
      <c r="B3347" s="9"/>
    </row>
    <row r="3348" spans="2:2" s="2" customFormat="1" x14ac:dyDescent="0.25">
      <c r="B3348" s="9"/>
    </row>
    <row r="3349" spans="2:2" s="2" customFormat="1" x14ac:dyDescent="0.25">
      <c r="B3349" s="9"/>
    </row>
    <row r="3350" spans="2:2" s="2" customFormat="1" x14ac:dyDescent="0.25">
      <c r="B3350" s="9"/>
    </row>
    <row r="3351" spans="2:2" s="2" customFormat="1" x14ac:dyDescent="0.25">
      <c r="B3351" s="9"/>
    </row>
    <row r="3352" spans="2:2" s="2" customFormat="1" x14ac:dyDescent="0.25">
      <c r="B3352" s="9"/>
    </row>
    <row r="3353" spans="2:2" s="2" customFormat="1" x14ac:dyDescent="0.25">
      <c r="B3353" s="9"/>
    </row>
    <row r="3354" spans="2:2" s="2" customFormat="1" x14ac:dyDescent="0.25">
      <c r="B3354" s="9"/>
    </row>
    <row r="3355" spans="2:2" s="2" customFormat="1" x14ac:dyDescent="0.25">
      <c r="B3355" s="9"/>
    </row>
    <row r="3356" spans="2:2" s="2" customFormat="1" x14ac:dyDescent="0.25">
      <c r="B3356" s="9"/>
    </row>
    <row r="3357" spans="2:2" s="2" customFormat="1" x14ac:dyDescent="0.25">
      <c r="B3357" s="9"/>
    </row>
    <row r="3358" spans="2:2" s="2" customFormat="1" x14ac:dyDescent="0.25">
      <c r="B3358" s="9"/>
    </row>
    <row r="3359" spans="2:2" s="2" customFormat="1" x14ac:dyDescent="0.25">
      <c r="B3359" s="9"/>
    </row>
    <row r="3360" spans="2:2" s="2" customFormat="1" x14ac:dyDescent="0.25">
      <c r="B3360" s="9"/>
    </row>
    <row r="3361" spans="2:2" s="2" customFormat="1" x14ac:dyDescent="0.25">
      <c r="B3361" s="9"/>
    </row>
    <row r="3362" spans="2:2" s="2" customFormat="1" x14ac:dyDescent="0.25">
      <c r="B3362" s="9"/>
    </row>
    <row r="3363" spans="2:2" s="2" customFormat="1" x14ac:dyDescent="0.25">
      <c r="B3363" s="9"/>
    </row>
    <row r="3364" spans="2:2" s="2" customFormat="1" x14ac:dyDescent="0.25">
      <c r="B3364" s="9"/>
    </row>
    <row r="3365" spans="2:2" s="2" customFormat="1" x14ac:dyDescent="0.25">
      <c r="B3365" s="9"/>
    </row>
    <row r="3366" spans="2:2" s="2" customFormat="1" x14ac:dyDescent="0.25">
      <c r="B3366" s="9"/>
    </row>
    <row r="3367" spans="2:2" s="2" customFormat="1" x14ac:dyDescent="0.25">
      <c r="B3367" s="9"/>
    </row>
    <row r="3368" spans="2:2" s="2" customFormat="1" x14ac:dyDescent="0.25">
      <c r="B3368" s="9"/>
    </row>
    <row r="3369" spans="2:2" s="2" customFormat="1" x14ac:dyDescent="0.25">
      <c r="B3369" s="9"/>
    </row>
    <row r="3370" spans="2:2" s="2" customFormat="1" x14ac:dyDescent="0.25">
      <c r="B3370" s="9"/>
    </row>
    <row r="3371" spans="2:2" s="2" customFormat="1" x14ac:dyDescent="0.25">
      <c r="B3371" s="9"/>
    </row>
    <row r="3372" spans="2:2" s="2" customFormat="1" x14ac:dyDescent="0.25">
      <c r="B3372" s="9"/>
    </row>
    <row r="3373" spans="2:2" s="2" customFormat="1" x14ac:dyDescent="0.25">
      <c r="B3373" s="9"/>
    </row>
    <row r="3374" spans="2:2" s="2" customFormat="1" x14ac:dyDescent="0.25">
      <c r="B3374" s="9"/>
    </row>
    <row r="3375" spans="2:2" s="2" customFormat="1" x14ac:dyDescent="0.25">
      <c r="B3375" s="9"/>
    </row>
    <row r="3376" spans="2:2" s="2" customFormat="1" x14ac:dyDescent="0.25">
      <c r="B3376" s="9"/>
    </row>
    <row r="3377" spans="2:2" s="2" customFormat="1" x14ac:dyDescent="0.25">
      <c r="B3377" s="9"/>
    </row>
    <row r="3378" spans="2:2" s="2" customFormat="1" x14ac:dyDescent="0.25">
      <c r="B3378" s="9"/>
    </row>
    <row r="3379" spans="2:2" s="2" customFormat="1" x14ac:dyDescent="0.25">
      <c r="B3379" s="9"/>
    </row>
    <row r="3380" spans="2:2" s="2" customFormat="1" x14ac:dyDescent="0.25">
      <c r="B3380" s="9"/>
    </row>
    <row r="3381" spans="2:2" s="2" customFormat="1" x14ac:dyDescent="0.25">
      <c r="B3381" s="9"/>
    </row>
    <row r="3382" spans="2:2" s="2" customFormat="1" x14ac:dyDescent="0.25">
      <c r="B3382" s="9"/>
    </row>
    <row r="3383" spans="2:2" s="2" customFormat="1" x14ac:dyDescent="0.25">
      <c r="B3383" s="9"/>
    </row>
    <row r="3384" spans="2:2" s="2" customFormat="1" x14ac:dyDescent="0.25">
      <c r="B3384" s="9"/>
    </row>
    <row r="3385" spans="2:2" s="2" customFormat="1" x14ac:dyDescent="0.25">
      <c r="B3385" s="9"/>
    </row>
    <row r="3386" spans="2:2" s="2" customFormat="1" x14ac:dyDescent="0.25">
      <c r="B3386" s="9"/>
    </row>
    <row r="3387" spans="2:2" s="2" customFormat="1" x14ac:dyDescent="0.25">
      <c r="B3387" s="9"/>
    </row>
    <row r="3388" spans="2:2" s="2" customFormat="1" x14ac:dyDescent="0.25">
      <c r="B3388" s="9"/>
    </row>
    <row r="3389" spans="2:2" s="2" customFormat="1" x14ac:dyDescent="0.25">
      <c r="B3389" s="9"/>
    </row>
    <row r="3390" spans="2:2" s="2" customFormat="1" x14ac:dyDescent="0.25">
      <c r="B3390" s="9"/>
    </row>
    <row r="3391" spans="2:2" s="2" customFormat="1" x14ac:dyDescent="0.25">
      <c r="B3391" s="9"/>
    </row>
    <row r="3392" spans="2:2" s="2" customFormat="1" x14ac:dyDescent="0.25">
      <c r="B3392" s="9"/>
    </row>
    <row r="3393" spans="2:2" s="2" customFormat="1" x14ac:dyDescent="0.25">
      <c r="B3393" s="9"/>
    </row>
    <row r="3394" spans="2:2" s="2" customFormat="1" x14ac:dyDescent="0.25">
      <c r="B3394" s="9"/>
    </row>
    <row r="3395" spans="2:2" s="2" customFormat="1" x14ac:dyDescent="0.25">
      <c r="B3395" s="9"/>
    </row>
    <row r="3396" spans="2:2" s="2" customFormat="1" x14ac:dyDescent="0.25">
      <c r="B3396" s="9"/>
    </row>
    <row r="3397" spans="2:2" s="2" customFormat="1" x14ac:dyDescent="0.25">
      <c r="B3397" s="9"/>
    </row>
    <row r="3398" spans="2:2" s="2" customFormat="1" x14ac:dyDescent="0.25">
      <c r="B3398" s="9"/>
    </row>
    <row r="3399" spans="2:2" s="2" customFormat="1" x14ac:dyDescent="0.25">
      <c r="B3399" s="9"/>
    </row>
    <row r="3400" spans="2:2" s="2" customFormat="1" x14ac:dyDescent="0.25">
      <c r="B3400" s="9"/>
    </row>
    <row r="3401" spans="2:2" s="2" customFormat="1" x14ac:dyDescent="0.25">
      <c r="B3401" s="9"/>
    </row>
    <row r="3402" spans="2:2" s="2" customFormat="1" x14ac:dyDescent="0.25">
      <c r="B3402" s="9"/>
    </row>
    <row r="3403" spans="2:2" s="2" customFormat="1" x14ac:dyDescent="0.25">
      <c r="B3403" s="9"/>
    </row>
    <row r="3404" spans="2:2" s="2" customFormat="1" x14ac:dyDescent="0.25">
      <c r="B3404" s="9"/>
    </row>
    <row r="3405" spans="2:2" s="2" customFormat="1" x14ac:dyDescent="0.25">
      <c r="B3405" s="9"/>
    </row>
    <row r="3406" spans="2:2" s="2" customFormat="1" x14ac:dyDescent="0.25">
      <c r="B3406" s="9"/>
    </row>
    <row r="3407" spans="2:2" s="2" customFormat="1" x14ac:dyDescent="0.25">
      <c r="B3407" s="9"/>
    </row>
    <row r="3408" spans="2:2" s="2" customFormat="1" x14ac:dyDescent="0.25">
      <c r="B3408" s="9"/>
    </row>
    <row r="3409" spans="2:2" s="2" customFormat="1" x14ac:dyDescent="0.25">
      <c r="B3409" s="9"/>
    </row>
    <row r="3410" spans="2:2" s="2" customFormat="1" x14ac:dyDescent="0.25">
      <c r="B3410" s="9"/>
    </row>
    <row r="3411" spans="2:2" s="2" customFormat="1" x14ac:dyDescent="0.25">
      <c r="B3411" s="9"/>
    </row>
    <row r="3412" spans="2:2" s="2" customFormat="1" x14ac:dyDescent="0.25">
      <c r="B3412" s="9"/>
    </row>
    <row r="3413" spans="2:2" s="2" customFormat="1" x14ac:dyDescent="0.25">
      <c r="B3413" s="9"/>
    </row>
    <row r="3414" spans="2:2" s="2" customFormat="1" x14ac:dyDescent="0.25">
      <c r="B3414" s="9"/>
    </row>
    <row r="3415" spans="2:2" s="2" customFormat="1" x14ac:dyDescent="0.25">
      <c r="B3415" s="9"/>
    </row>
    <row r="3416" spans="2:2" s="2" customFormat="1" x14ac:dyDescent="0.25">
      <c r="B3416" s="9"/>
    </row>
    <row r="3417" spans="2:2" s="2" customFormat="1" x14ac:dyDescent="0.25">
      <c r="B3417" s="9"/>
    </row>
    <row r="3418" spans="2:2" s="2" customFormat="1" x14ac:dyDescent="0.25">
      <c r="B3418" s="9"/>
    </row>
    <row r="3419" spans="2:2" s="2" customFormat="1" x14ac:dyDescent="0.25">
      <c r="B3419" s="9"/>
    </row>
    <row r="3420" spans="2:2" s="2" customFormat="1" x14ac:dyDescent="0.25">
      <c r="B3420" s="9"/>
    </row>
    <row r="3421" spans="2:2" s="2" customFormat="1" x14ac:dyDescent="0.25">
      <c r="B3421" s="9"/>
    </row>
    <row r="3422" spans="2:2" s="2" customFormat="1" x14ac:dyDescent="0.25">
      <c r="B3422" s="9"/>
    </row>
    <row r="3423" spans="2:2" s="2" customFormat="1" x14ac:dyDescent="0.25">
      <c r="B3423" s="9"/>
    </row>
    <row r="3424" spans="2:2" s="2" customFormat="1" x14ac:dyDescent="0.25">
      <c r="B3424" s="9"/>
    </row>
    <row r="3425" spans="2:2" s="2" customFormat="1" x14ac:dyDescent="0.25">
      <c r="B3425" s="9"/>
    </row>
    <row r="3426" spans="2:2" s="2" customFormat="1" x14ac:dyDescent="0.25">
      <c r="B3426" s="9"/>
    </row>
    <row r="3427" spans="2:2" s="2" customFormat="1" x14ac:dyDescent="0.25">
      <c r="B3427" s="9"/>
    </row>
    <row r="3428" spans="2:2" s="2" customFormat="1" x14ac:dyDescent="0.25">
      <c r="B3428" s="9"/>
    </row>
    <row r="3429" spans="2:2" s="2" customFormat="1" x14ac:dyDescent="0.25">
      <c r="B3429" s="9"/>
    </row>
    <row r="3430" spans="2:2" s="2" customFormat="1" x14ac:dyDescent="0.25">
      <c r="B3430" s="9"/>
    </row>
    <row r="3431" spans="2:2" s="2" customFormat="1" x14ac:dyDescent="0.25">
      <c r="B3431" s="9"/>
    </row>
    <row r="3432" spans="2:2" s="2" customFormat="1" x14ac:dyDescent="0.25">
      <c r="B3432" s="9"/>
    </row>
    <row r="3433" spans="2:2" s="2" customFormat="1" x14ac:dyDescent="0.25">
      <c r="B3433" s="9"/>
    </row>
    <row r="3434" spans="2:2" s="2" customFormat="1" x14ac:dyDescent="0.25">
      <c r="B3434" s="9"/>
    </row>
    <row r="3435" spans="2:2" s="2" customFormat="1" x14ac:dyDescent="0.25">
      <c r="B3435" s="9"/>
    </row>
    <row r="3436" spans="2:2" s="2" customFormat="1" x14ac:dyDescent="0.25">
      <c r="B3436" s="9"/>
    </row>
    <row r="3437" spans="2:2" s="2" customFormat="1" x14ac:dyDescent="0.25">
      <c r="B3437" s="9"/>
    </row>
    <row r="3438" spans="2:2" s="2" customFormat="1" x14ac:dyDescent="0.25">
      <c r="B3438" s="9"/>
    </row>
    <row r="3439" spans="2:2" s="2" customFormat="1" x14ac:dyDescent="0.25">
      <c r="B3439" s="9"/>
    </row>
    <row r="3440" spans="2:2" s="2" customFormat="1" x14ac:dyDescent="0.25">
      <c r="B3440" s="9"/>
    </row>
    <row r="3441" spans="2:2" s="2" customFormat="1" x14ac:dyDescent="0.25">
      <c r="B3441" s="9"/>
    </row>
    <row r="3442" spans="2:2" s="2" customFormat="1" x14ac:dyDescent="0.25">
      <c r="B3442" s="9"/>
    </row>
    <row r="3443" spans="2:2" s="2" customFormat="1" x14ac:dyDescent="0.25">
      <c r="B3443" s="9"/>
    </row>
    <row r="3444" spans="2:2" s="2" customFormat="1" x14ac:dyDescent="0.25">
      <c r="B3444" s="9"/>
    </row>
    <row r="3445" spans="2:2" s="2" customFormat="1" x14ac:dyDescent="0.25">
      <c r="B3445" s="9"/>
    </row>
    <row r="3446" spans="2:2" s="2" customFormat="1" x14ac:dyDescent="0.25">
      <c r="B3446" s="9"/>
    </row>
    <row r="3447" spans="2:2" s="2" customFormat="1" x14ac:dyDescent="0.25">
      <c r="B3447" s="9"/>
    </row>
    <row r="3448" spans="2:2" s="2" customFormat="1" x14ac:dyDescent="0.25">
      <c r="B3448" s="9"/>
    </row>
    <row r="3449" spans="2:2" s="2" customFormat="1" x14ac:dyDescent="0.25">
      <c r="B3449" s="9"/>
    </row>
    <row r="3450" spans="2:2" s="2" customFormat="1" x14ac:dyDescent="0.25">
      <c r="B3450" s="9"/>
    </row>
    <row r="3451" spans="2:2" s="2" customFormat="1" x14ac:dyDescent="0.25">
      <c r="B3451" s="9"/>
    </row>
    <row r="3452" spans="2:2" s="2" customFormat="1" x14ac:dyDescent="0.25">
      <c r="B3452" s="9"/>
    </row>
    <row r="3453" spans="2:2" s="2" customFormat="1" x14ac:dyDescent="0.25">
      <c r="B3453" s="9"/>
    </row>
    <row r="3454" spans="2:2" s="2" customFormat="1" x14ac:dyDescent="0.25">
      <c r="B3454" s="9"/>
    </row>
    <row r="3455" spans="2:2" s="2" customFormat="1" x14ac:dyDescent="0.25">
      <c r="B3455" s="9"/>
    </row>
    <row r="3456" spans="2:2" s="2" customFormat="1" x14ac:dyDescent="0.25">
      <c r="B3456" s="9"/>
    </row>
    <row r="3457" spans="2:2" s="2" customFormat="1" x14ac:dyDescent="0.25">
      <c r="B3457" s="9"/>
    </row>
    <row r="3458" spans="2:2" s="2" customFormat="1" x14ac:dyDescent="0.25">
      <c r="B3458" s="9"/>
    </row>
    <row r="3459" spans="2:2" s="2" customFormat="1" x14ac:dyDescent="0.25">
      <c r="B3459" s="9"/>
    </row>
    <row r="3460" spans="2:2" s="2" customFormat="1" x14ac:dyDescent="0.25">
      <c r="B3460" s="9"/>
    </row>
    <row r="3461" spans="2:2" s="2" customFormat="1" x14ac:dyDescent="0.25">
      <c r="B3461" s="9"/>
    </row>
    <row r="3462" spans="2:2" s="2" customFormat="1" x14ac:dyDescent="0.25">
      <c r="B3462" s="9"/>
    </row>
    <row r="3463" spans="2:2" s="2" customFormat="1" x14ac:dyDescent="0.25">
      <c r="B3463" s="9"/>
    </row>
    <row r="3464" spans="2:2" s="2" customFormat="1" x14ac:dyDescent="0.25">
      <c r="B3464" s="9"/>
    </row>
    <row r="3465" spans="2:2" s="2" customFormat="1" x14ac:dyDescent="0.25">
      <c r="B3465" s="9"/>
    </row>
    <row r="3466" spans="2:2" s="2" customFormat="1" x14ac:dyDescent="0.25">
      <c r="B3466" s="9"/>
    </row>
    <row r="3467" spans="2:2" s="2" customFormat="1" x14ac:dyDescent="0.25">
      <c r="B3467" s="9"/>
    </row>
    <row r="3468" spans="2:2" s="2" customFormat="1" x14ac:dyDescent="0.25">
      <c r="B3468" s="9"/>
    </row>
    <row r="3469" spans="2:2" s="2" customFormat="1" x14ac:dyDescent="0.25">
      <c r="B3469" s="9"/>
    </row>
    <row r="3470" spans="2:2" s="2" customFormat="1" x14ac:dyDescent="0.25">
      <c r="B3470" s="9"/>
    </row>
    <row r="3471" spans="2:2" s="2" customFormat="1" x14ac:dyDescent="0.25">
      <c r="B3471" s="9"/>
    </row>
    <row r="3472" spans="2:2" s="2" customFormat="1" x14ac:dyDescent="0.25">
      <c r="B3472" s="9"/>
    </row>
    <row r="3473" spans="2:2" s="2" customFormat="1" x14ac:dyDescent="0.25">
      <c r="B3473" s="9"/>
    </row>
    <row r="3474" spans="2:2" s="2" customFormat="1" x14ac:dyDescent="0.25">
      <c r="B3474" s="9"/>
    </row>
    <row r="3475" spans="2:2" s="2" customFormat="1" x14ac:dyDescent="0.25">
      <c r="B3475" s="9"/>
    </row>
    <row r="3476" spans="2:2" s="2" customFormat="1" x14ac:dyDescent="0.25">
      <c r="B3476" s="9"/>
    </row>
    <row r="3477" spans="2:2" s="2" customFormat="1" x14ac:dyDescent="0.25">
      <c r="B3477" s="9"/>
    </row>
    <row r="3478" spans="2:2" s="2" customFormat="1" x14ac:dyDescent="0.25">
      <c r="B3478" s="9"/>
    </row>
    <row r="3479" spans="2:2" s="2" customFormat="1" x14ac:dyDescent="0.25">
      <c r="B3479" s="9"/>
    </row>
    <row r="3480" spans="2:2" s="2" customFormat="1" x14ac:dyDescent="0.25">
      <c r="B3480" s="9"/>
    </row>
    <row r="3481" spans="2:2" s="2" customFormat="1" x14ac:dyDescent="0.25">
      <c r="B3481" s="9"/>
    </row>
    <row r="3482" spans="2:2" s="2" customFormat="1" x14ac:dyDescent="0.25">
      <c r="B3482" s="9"/>
    </row>
    <row r="3483" spans="2:2" s="2" customFormat="1" x14ac:dyDescent="0.25">
      <c r="B3483" s="9"/>
    </row>
    <row r="3484" spans="2:2" s="2" customFormat="1" x14ac:dyDescent="0.25">
      <c r="B3484" s="9"/>
    </row>
    <row r="3485" spans="2:2" s="2" customFormat="1" x14ac:dyDescent="0.25">
      <c r="B3485" s="9"/>
    </row>
    <row r="3486" spans="2:2" s="2" customFormat="1" x14ac:dyDescent="0.25">
      <c r="B3486" s="9"/>
    </row>
    <row r="3487" spans="2:2" s="2" customFormat="1" x14ac:dyDescent="0.25">
      <c r="B3487" s="9"/>
    </row>
    <row r="3488" spans="2:2" s="2" customFormat="1" x14ac:dyDescent="0.25">
      <c r="B3488" s="9"/>
    </row>
    <row r="3489" spans="2:2" s="2" customFormat="1" x14ac:dyDescent="0.25">
      <c r="B3489" s="9"/>
    </row>
    <row r="3490" spans="2:2" s="2" customFormat="1" x14ac:dyDescent="0.25">
      <c r="B3490" s="9"/>
    </row>
    <row r="3491" spans="2:2" s="2" customFormat="1" x14ac:dyDescent="0.25">
      <c r="B3491" s="9"/>
    </row>
    <row r="3492" spans="2:2" s="2" customFormat="1" x14ac:dyDescent="0.25">
      <c r="B3492" s="9"/>
    </row>
    <row r="3493" spans="2:2" s="2" customFormat="1" x14ac:dyDescent="0.25">
      <c r="B3493" s="9"/>
    </row>
    <row r="3494" spans="2:2" s="2" customFormat="1" x14ac:dyDescent="0.25">
      <c r="B3494" s="9"/>
    </row>
    <row r="3495" spans="2:2" s="2" customFormat="1" x14ac:dyDescent="0.25">
      <c r="B3495" s="9"/>
    </row>
    <row r="3496" spans="2:2" s="2" customFormat="1" x14ac:dyDescent="0.25">
      <c r="B3496" s="9"/>
    </row>
    <row r="3497" spans="2:2" s="2" customFormat="1" x14ac:dyDescent="0.25">
      <c r="B3497" s="9"/>
    </row>
    <row r="3498" spans="2:2" s="2" customFormat="1" x14ac:dyDescent="0.25">
      <c r="B3498" s="9"/>
    </row>
    <row r="3499" spans="2:2" s="2" customFormat="1" x14ac:dyDescent="0.25">
      <c r="B3499" s="9"/>
    </row>
    <row r="3500" spans="2:2" s="2" customFormat="1" x14ac:dyDescent="0.25">
      <c r="B3500" s="9"/>
    </row>
    <row r="3501" spans="2:2" s="2" customFormat="1" x14ac:dyDescent="0.25">
      <c r="B3501" s="9"/>
    </row>
    <row r="3502" spans="2:2" s="2" customFormat="1" x14ac:dyDescent="0.25">
      <c r="B3502" s="9"/>
    </row>
    <row r="3503" spans="2:2" s="2" customFormat="1" x14ac:dyDescent="0.25">
      <c r="B3503" s="9"/>
    </row>
    <row r="3504" spans="2:2" s="2" customFormat="1" x14ac:dyDescent="0.25">
      <c r="B3504" s="9"/>
    </row>
    <row r="3505" spans="2:2" s="2" customFormat="1" x14ac:dyDescent="0.25">
      <c r="B3505" s="9"/>
    </row>
    <row r="3506" spans="2:2" s="2" customFormat="1" x14ac:dyDescent="0.25">
      <c r="B3506" s="9"/>
    </row>
    <row r="3507" spans="2:2" s="2" customFormat="1" x14ac:dyDescent="0.25">
      <c r="B3507" s="9"/>
    </row>
    <row r="3508" spans="2:2" s="2" customFormat="1" x14ac:dyDescent="0.25">
      <c r="B3508" s="9"/>
    </row>
    <row r="3509" spans="2:2" s="2" customFormat="1" x14ac:dyDescent="0.25">
      <c r="B3509" s="9"/>
    </row>
    <row r="3510" spans="2:2" s="2" customFormat="1" x14ac:dyDescent="0.25">
      <c r="B3510" s="9"/>
    </row>
    <row r="3511" spans="2:2" s="2" customFormat="1" x14ac:dyDescent="0.25">
      <c r="B3511" s="9"/>
    </row>
    <row r="3512" spans="2:2" s="2" customFormat="1" x14ac:dyDescent="0.25">
      <c r="B3512" s="9"/>
    </row>
    <row r="3513" spans="2:2" s="2" customFormat="1" x14ac:dyDescent="0.25">
      <c r="B3513" s="9"/>
    </row>
    <row r="3514" spans="2:2" s="2" customFormat="1" x14ac:dyDescent="0.25">
      <c r="B3514" s="9"/>
    </row>
    <row r="3515" spans="2:2" s="2" customFormat="1" x14ac:dyDescent="0.25">
      <c r="B3515" s="9"/>
    </row>
    <row r="3516" spans="2:2" s="2" customFormat="1" x14ac:dyDescent="0.25">
      <c r="B3516" s="9"/>
    </row>
    <row r="3517" spans="2:2" s="2" customFormat="1" x14ac:dyDescent="0.25">
      <c r="B3517" s="9"/>
    </row>
    <row r="3518" spans="2:2" s="2" customFormat="1" x14ac:dyDescent="0.25">
      <c r="B3518" s="9"/>
    </row>
    <row r="3519" spans="2:2" s="2" customFormat="1" x14ac:dyDescent="0.25">
      <c r="B3519" s="9"/>
    </row>
    <row r="3520" spans="2:2" s="2" customFormat="1" x14ac:dyDescent="0.25">
      <c r="B3520" s="9"/>
    </row>
    <row r="3521" spans="2:2" s="2" customFormat="1" x14ac:dyDescent="0.25">
      <c r="B3521" s="9"/>
    </row>
    <row r="3522" spans="2:2" s="2" customFormat="1" x14ac:dyDescent="0.25">
      <c r="B3522" s="9"/>
    </row>
    <row r="3523" spans="2:2" s="2" customFormat="1" x14ac:dyDescent="0.25">
      <c r="B3523" s="9"/>
    </row>
    <row r="3524" spans="2:2" s="2" customFormat="1" x14ac:dyDescent="0.25">
      <c r="B3524" s="9"/>
    </row>
    <row r="3525" spans="2:2" s="2" customFormat="1" x14ac:dyDescent="0.25">
      <c r="B3525" s="9"/>
    </row>
    <row r="3526" spans="2:2" s="2" customFormat="1" x14ac:dyDescent="0.25">
      <c r="B3526" s="9"/>
    </row>
    <row r="3527" spans="2:2" s="2" customFormat="1" x14ac:dyDescent="0.25">
      <c r="B3527" s="9"/>
    </row>
    <row r="3528" spans="2:2" s="2" customFormat="1" x14ac:dyDescent="0.25">
      <c r="B3528" s="9"/>
    </row>
    <row r="3529" spans="2:2" s="2" customFormat="1" x14ac:dyDescent="0.25">
      <c r="B3529" s="9"/>
    </row>
    <row r="3530" spans="2:2" s="2" customFormat="1" x14ac:dyDescent="0.25">
      <c r="B3530" s="9"/>
    </row>
    <row r="3531" spans="2:2" s="2" customFormat="1" x14ac:dyDescent="0.25">
      <c r="B3531" s="9"/>
    </row>
    <row r="3532" spans="2:2" s="2" customFormat="1" x14ac:dyDescent="0.25">
      <c r="B3532" s="9"/>
    </row>
    <row r="3533" spans="2:2" s="2" customFormat="1" x14ac:dyDescent="0.25">
      <c r="B3533" s="9"/>
    </row>
    <row r="3534" spans="2:2" s="2" customFormat="1" x14ac:dyDescent="0.25">
      <c r="B3534" s="9"/>
    </row>
    <row r="3535" spans="2:2" s="2" customFormat="1" x14ac:dyDescent="0.25">
      <c r="B3535" s="9"/>
    </row>
    <row r="3536" spans="2:2" s="2" customFormat="1" x14ac:dyDescent="0.25">
      <c r="B3536" s="9"/>
    </row>
    <row r="3537" spans="2:2" s="2" customFormat="1" x14ac:dyDescent="0.25">
      <c r="B3537" s="9"/>
    </row>
    <row r="3538" spans="2:2" s="2" customFormat="1" x14ac:dyDescent="0.25">
      <c r="B3538" s="9"/>
    </row>
    <row r="3539" spans="2:2" s="2" customFormat="1" x14ac:dyDescent="0.25">
      <c r="B3539" s="9"/>
    </row>
    <row r="3540" spans="2:2" s="2" customFormat="1" x14ac:dyDescent="0.25">
      <c r="B3540" s="9"/>
    </row>
    <row r="3541" spans="2:2" s="2" customFormat="1" x14ac:dyDescent="0.25">
      <c r="B3541" s="9"/>
    </row>
    <row r="3542" spans="2:2" s="2" customFormat="1" x14ac:dyDescent="0.25">
      <c r="B3542" s="9"/>
    </row>
    <row r="3543" spans="2:2" s="2" customFormat="1" x14ac:dyDescent="0.25">
      <c r="B3543" s="9"/>
    </row>
    <row r="3544" spans="2:2" s="2" customFormat="1" x14ac:dyDescent="0.25">
      <c r="B3544" s="9"/>
    </row>
    <row r="3545" spans="2:2" s="2" customFormat="1" x14ac:dyDescent="0.25">
      <c r="B3545" s="9"/>
    </row>
    <row r="3546" spans="2:2" s="2" customFormat="1" x14ac:dyDescent="0.25">
      <c r="B3546" s="9"/>
    </row>
    <row r="3547" spans="2:2" s="2" customFormat="1" x14ac:dyDescent="0.25">
      <c r="B3547" s="9"/>
    </row>
    <row r="3548" spans="2:2" s="2" customFormat="1" x14ac:dyDescent="0.25">
      <c r="B3548" s="9"/>
    </row>
    <row r="3549" spans="2:2" s="2" customFormat="1" x14ac:dyDescent="0.25">
      <c r="B3549" s="9"/>
    </row>
    <row r="3550" spans="2:2" s="2" customFormat="1" x14ac:dyDescent="0.25">
      <c r="B3550" s="9"/>
    </row>
    <row r="3551" spans="2:2" s="2" customFormat="1" x14ac:dyDescent="0.25">
      <c r="B3551" s="9"/>
    </row>
    <row r="3552" spans="2:2" s="2" customFormat="1" x14ac:dyDescent="0.25">
      <c r="B3552" s="9"/>
    </row>
    <row r="3553" spans="2:2" s="2" customFormat="1" x14ac:dyDescent="0.25">
      <c r="B3553" s="9"/>
    </row>
    <row r="3554" spans="2:2" s="2" customFormat="1" x14ac:dyDescent="0.25">
      <c r="B3554" s="9"/>
    </row>
    <row r="3555" spans="2:2" s="2" customFormat="1" x14ac:dyDescent="0.25">
      <c r="B3555" s="9"/>
    </row>
    <row r="3556" spans="2:2" s="2" customFormat="1" x14ac:dyDescent="0.25">
      <c r="B3556" s="9"/>
    </row>
    <row r="3557" spans="2:2" s="2" customFormat="1" x14ac:dyDescent="0.25">
      <c r="B3557" s="9"/>
    </row>
    <row r="3558" spans="2:2" s="2" customFormat="1" x14ac:dyDescent="0.25">
      <c r="B3558" s="9"/>
    </row>
    <row r="3559" spans="2:2" s="2" customFormat="1" x14ac:dyDescent="0.25">
      <c r="B3559" s="9"/>
    </row>
    <row r="3560" spans="2:2" s="2" customFormat="1" x14ac:dyDescent="0.25">
      <c r="B3560" s="9"/>
    </row>
    <row r="3561" spans="2:2" s="2" customFormat="1" x14ac:dyDescent="0.25">
      <c r="B3561" s="9"/>
    </row>
    <row r="3562" spans="2:2" s="2" customFormat="1" x14ac:dyDescent="0.25">
      <c r="B3562" s="9"/>
    </row>
    <row r="3563" spans="2:2" s="2" customFormat="1" x14ac:dyDescent="0.25">
      <c r="B3563" s="9"/>
    </row>
    <row r="3564" spans="2:2" s="2" customFormat="1" x14ac:dyDescent="0.25">
      <c r="B3564" s="9"/>
    </row>
    <row r="3565" spans="2:2" s="2" customFormat="1" x14ac:dyDescent="0.25">
      <c r="B3565" s="9"/>
    </row>
    <row r="3566" spans="2:2" s="2" customFormat="1" x14ac:dyDescent="0.25">
      <c r="B3566" s="9"/>
    </row>
    <row r="3567" spans="2:2" s="2" customFormat="1" x14ac:dyDescent="0.25">
      <c r="B3567" s="9"/>
    </row>
    <row r="3568" spans="2:2" s="2" customFormat="1" x14ac:dyDescent="0.25">
      <c r="B3568" s="9"/>
    </row>
    <row r="3569" spans="2:2" s="2" customFormat="1" x14ac:dyDescent="0.25">
      <c r="B3569" s="9"/>
    </row>
    <row r="3570" spans="2:2" s="2" customFormat="1" x14ac:dyDescent="0.25">
      <c r="B3570" s="9"/>
    </row>
    <row r="3571" spans="2:2" s="2" customFormat="1" x14ac:dyDescent="0.25">
      <c r="B3571" s="9"/>
    </row>
    <row r="3572" spans="2:2" s="2" customFormat="1" x14ac:dyDescent="0.25">
      <c r="B3572" s="9"/>
    </row>
    <row r="3573" spans="2:2" s="2" customFormat="1" x14ac:dyDescent="0.25">
      <c r="B3573" s="9"/>
    </row>
    <row r="3574" spans="2:2" s="2" customFormat="1" x14ac:dyDescent="0.25">
      <c r="B3574" s="9"/>
    </row>
    <row r="3575" spans="2:2" s="2" customFormat="1" x14ac:dyDescent="0.25">
      <c r="B3575" s="9"/>
    </row>
    <row r="3576" spans="2:2" s="2" customFormat="1" x14ac:dyDescent="0.25">
      <c r="B3576" s="9"/>
    </row>
    <row r="3577" spans="2:2" s="2" customFormat="1" x14ac:dyDescent="0.25">
      <c r="B3577" s="9"/>
    </row>
    <row r="3578" spans="2:2" s="2" customFormat="1" x14ac:dyDescent="0.25">
      <c r="B3578" s="9"/>
    </row>
    <row r="3579" spans="2:2" s="2" customFormat="1" x14ac:dyDescent="0.25">
      <c r="B3579" s="9"/>
    </row>
    <row r="3580" spans="2:2" s="2" customFormat="1" x14ac:dyDescent="0.25">
      <c r="B3580" s="9"/>
    </row>
    <row r="3581" spans="2:2" s="2" customFormat="1" x14ac:dyDescent="0.25">
      <c r="B3581" s="9"/>
    </row>
    <row r="3582" spans="2:2" s="2" customFormat="1" x14ac:dyDescent="0.25">
      <c r="B3582" s="9"/>
    </row>
    <row r="3583" spans="2:2" s="2" customFormat="1" x14ac:dyDescent="0.25">
      <c r="B3583" s="9"/>
    </row>
    <row r="3584" spans="2:2" s="2" customFormat="1" x14ac:dyDescent="0.25">
      <c r="B3584" s="9"/>
    </row>
    <row r="3585" spans="2:2" s="2" customFormat="1" x14ac:dyDescent="0.25">
      <c r="B3585" s="9"/>
    </row>
    <row r="3586" spans="2:2" s="2" customFormat="1" x14ac:dyDescent="0.25">
      <c r="B3586" s="9"/>
    </row>
    <row r="3587" spans="2:2" s="2" customFormat="1" x14ac:dyDescent="0.25">
      <c r="B3587" s="9"/>
    </row>
    <row r="3588" spans="2:2" s="2" customFormat="1" x14ac:dyDescent="0.25">
      <c r="B3588" s="9"/>
    </row>
    <row r="3589" spans="2:2" s="2" customFormat="1" x14ac:dyDescent="0.25">
      <c r="B3589" s="9"/>
    </row>
    <row r="3590" spans="2:2" s="2" customFormat="1" x14ac:dyDescent="0.25">
      <c r="B3590" s="9"/>
    </row>
    <row r="3591" spans="2:2" s="2" customFormat="1" x14ac:dyDescent="0.25">
      <c r="B3591" s="9"/>
    </row>
    <row r="3592" spans="2:2" s="2" customFormat="1" x14ac:dyDescent="0.25">
      <c r="B3592" s="9"/>
    </row>
    <row r="3593" spans="2:2" s="2" customFormat="1" x14ac:dyDescent="0.25">
      <c r="B3593" s="9"/>
    </row>
    <row r="3594" spans="2:2" s="2" customFormat="1" x14ac:dyDescent="0.25">
      <c r="B3594" s="9"/>
    </row>
    <row r="3595" spans="2:2" s="2" customFormat="1" x14ac:dyDescent="0.25">
      <c r="B3595" s="9"/>
    </row>
    <row r="3596" spans="2:2" s="2" customFormat="1" x14ac:dyDescent="0.25">
      <c r="B3596" s="9"/>
    </row>
    <row r="3597" spans="2:2" s="2" customFormat="1" x14ac:dyDescent="0.25">
      <c r="B3597" s="9"/>
    </row>
    <row r="3598" spans="2:2" s="2" customFormat="1" x14ac:dyDescent="0.25">
      <c r="B3598" s="9"/>
    </row>
    <row r="3599" spans="2:2" s="2" customFormat="1" x14ac:dyDescent="0.25">
      <c r="B3599" s="9"/>
    </row>
    <row r="3600" spans="2:2" s="2" customFormat="1" x14ac:dyDescent="0.25">
      <c r="B3600" s="9"/>
    </row>
    <row r="3601" spans="2:2" s="2" customFormat="1" x14ac:dyDescent="0.25">
      <c r="B3601" s="9"/>
    </row>
    <row r="3602" spans="2:2" s="2" customFormat="1" x14ac:dyDescent="0.25">
      <c r="B3602" s="9"/>
    </row>
    <row r="3603" spans="2:2" s="2" customFormat="1" x14ac:dyDescent="0.25">
      <c r="B3603" s="9"/>
    </row>
    <row r="3604" spans="2:2" s="2" customFormat="1" x14ac:dyDescent="0.25">
      <c r="B3604" s="9"/>
    </row>
    <row r="3605" spans="2:2" s="2" customFormat="1" x14ac:dyDescent="0.25">
      <c r="B3605" s="9"/>
    </row>
    <row r="3606" spans="2:2" s="2" customFormat="1" x14ac:dyDescent="0.25">
      <c r="B3606" s="9"/>
    </row>
    <row r="3607" spans="2:2" s="2" customFormat="1" x14ac:dyDescent="0.25">
      <c r="B3607" s="9"/>
    </row>
    <row r="3608" spans="2:2" s="2" customFormat="1" x14ac:dyDescent="0.25">
      <c r="B3608" s="9"/>
    </row>
    <row r="3609" spans="2:2" s="2" customFormat="1" x14ac:dyDescent="0.25">
      <c r="B3609" s="9"/>
    </row>
    <row r="3610" spans="2:2" s="2" customFormat="1" x14ac:dyDescent="0.25">
      <c r="B3610" s="9"/>
    </row>
    <row r="3611" spans="2:2" s="2" customFormat="1" x14ac:dyDescent="0.25">
      <c r="B3611" s="9"/>
    </row>
    <row r="3612" spans="2:2" s="2" customFormat="1" x14ac:dyDescent="0.25">
      <c r="B3612" s="9"/>
    </row>
    <row r="3613" spans="2:2" s="2" customFormat="1" x14ac:dyDescent="0.25">
      <c r="B3613" s="9"/>
    </row>
    <row r="3614" spans="2:2" s="2" customFormat="1" x14ac:dyDescent="0.25">
      <c r="B3614" s="9"/>
    </row>
    <row r="3615" spans="2:2" s="2" customFormat="1" x14ac:dyDescent="0.25">
      <c r="B3615" s="9"/>
    </row>
    <row r="3616" spans="2:2" s="2" customFormat="1" x14ac:dyDescent="0.25">
      <c r="B3616" s="9"/>
    </row>
    <row r="3617" spans="2:2" s="2" customFormat="1" x14ac:dyDescent="0.25">
      <c r="B3617" s="9"/>
    </row>
    <row r="3618" spans="2:2" s="2" customFormat="1" x14ac:dyDescent="0.25">
      <c r="B3618" s="9"/>
    </row>
    <row r="3619" spans="2:2" s="2" customFormat="1" x14ac:dyDescent="0.25">
      <c r="B3619" s="9"/>
    </row>
    <row r="3620" spans="2:2" s="2" customFormat="1" x14ac:dyDescent="0.25">
      <c r="B3620" s="9"/>
    </row>
    <row r="3621" spans="2:2" s="2" customFormat="1" x14ac:dyDescent="0.25">
      <c r="B3621" s="9"/>
    </row>
    <row r="3622" spans="2:2" s="2" customFormat="1" x14ac:dyDescent="0.25">
      <c r="B3622" s="9"/>
    </row>
    <row r="3623" spans="2:2" s="2" customFormat="1" x14ac:dyDescent="0.25">
      <c r="B3623" s="9"/>
    </row>
    <row r="3624" spans="2:2" s="2" customFormat="1" x14ac:dyDescent="0.25">
      <c r="B3624" s="9"/>
    </row>
    <row r="3625" spans="2:2" s="2" customFormat="1" x14ac:dyDescent="0.25">
      <c r="B3625" s="9"/>
    </row>
    <row r="3626" spans="2:2" s="2" customFormat="1" x14ac:dyDescent="0.25">
      <c r="B3626" s="9"/>
    </row>
    <row r="3627" spans="2:2" s="2" customFormat="1" x14ac:dyDescent="0.25">
      <c r="B3627" s="9"/>
    </row>
    <row r="3628" spans="2:2" s="2" customFormat="1" x14ac:dyDescent="0.25">
      <c r="B3628" s="9"/>
    </row>
    <row r="3629" spans="2:2" s="2" customFormat="1" x14ac:dyDescent="0.25">
      <c r="B3629" s="9"/>
    </row>
    <row r="3630" spans="2:2" s="2" customFormat="1" x14ac:dyDescent="0.25">
      <c r="B3630" s="9"/>
    </row>
    <row r="3631" spans="2:2" s="2" customFormat="1" x14ac:dyDescent="0.25">
      <c r="B3631" s="9"/>
    </row>
    <row r="3632" spans="2:2" s="2" customFormat="1" x14ac:dyDescent="0.25">
      <c r="B3632" s="9"/>
    </row>
    <row r="3633" spans="2:2" s="2" customFormat="1" x14ac:dyDescent="0.25">
      <c r="B3633" s="9"/>
    </row>
    <row r="3634" spans="2:2" s="2" customFormat="1" x14ac:dyDescent="0.25">
      <c r="B3634" s="9"/>
    </row>
    <row r="3635" spans="2:2" s="2" customFormat="1" x14ac:dyDescent="0.25">
      <c r="B3635" s="9"/>
    </row>
    <row r="3636" spans="2:2" s="2" customFormat="1" x14ac:dyDescent="0.25">
      <c r="B3636" s="9"/>
    </row>
    <row r="3637" spans="2:2" s="2" customFormat="1" x14ac:dyDescent="0.25">
      <c r="B3637" s="9"/>
    </row>
    <row r="3638" spans="2:2" s="2" customFormat="1" x14ac:dyDescent="0.25">
      <c r="B3638" s="9"/>
    </row>
    <row r="3639" spans="2:2" s="2" customFormat="1" x14ac:dyDescent="0.25">
      <c r="B3639" s="9"/>
    </row>
    <row r="3640" spans="2:2" s="2" customFormat="1" x14ac:dyDescent="0.25">
      <c r="B3640" s="9"/>
    </row>
    <row r="3641" spans="2:2" s="2" customFormat="1" x14ac:dyDescent="0.25">
      <c r="B3641" s="9"/>
    </row>
    <row r="3642" spans="2:2" s="2" customFormat="1" x14ac:dyDescent="0.25">
      <c r="B3642" s="9"/>
    </row>
    <row r="3643" spans="2:2" s="2" customFormat="1" x14ac:dyDescent="0.25">
      <c r="B3643" s="9"/>
    </row>
    <row r="3644" spans="2:2" s="2" customFormat="1" x14ac:dyDescent="0.25">
      <c r="B3644" s="9"/>
    </row>
    <row r="3645" spans="2:2" s="2" customFormat="1" x14ac:dyDescent="0.25">
      <c r="B3645" s="9"/>
    </row>
    <row r="3646" spans="2:2" s="2" customFormat="1" x14ac:dyDescent="0.25">
      <c r="B3646" s="9"/>
    </row>
    <row r="3647" spans="2:2" s="2" customFormat="1" x14ac:dyDescent="0.25">
      <c r="B3647" s="9"/>
    </row>
    <row r="3648" spans="2:2" s="2" customFormat="1" x14ac:dyDescent="0.25">
      <c r="B3648" s="9"/>
    </row>
    <row r="3649" spans="2:2" s="2" customFormat="1" x14ac:dyDescent="0.25">
      <c r="B3649" s="9"/>
    </row>
    <row r="3650" spans="2:2" s="2" customFormat="1" x14ac:dyDescent="0.25">
      <c r="B3650" s="9"/>
    </row>
    <row r="3651" spans="2:2" s="2" customFormat="1" x14ac:dyDescent="0.25">
      <c r="B3651" s="9"/>
    </row>
    <row r="3652" spans="2:2" s="2" customFormat="1" x14ac:dyDescent="0.25">
      <c r="B3652" s="9"/>
    </row>
    <row r="3653" spans="2:2" s="2" customFormat="1" x14ac:dyDescent="0.25">
      <c r="B3653" s="9"/>
    </row>
    <row r="3654" spans="2:2" s="2" customFormat="1" x14ac:dyDescent="0.25">
      <c r="B3654" s="9"/>
    </row>
    <row r="3655" spans="2:2" s="2" customFormat="1" x14ac:dyDescent="0.25">
      <c r="B3655" s="9"/>
    </row>
    <row r="3656" spans="2:2" s="2" customFormat="1" x14ac:dyDescent="0.25">
      <c r="B3656" s="9"/>
    </row>
    <row r="3657" spans="2:2" s="2" customFormat="1" x14ac:dyDescent="0.25">
      <c r="B3657" s="9"/>
    </row>
    <row r="3658" spans="2:2" s="2" customFormat="1" x14ac:dyDescent="0.25">
      <c r="B3658" s="9"/>
    </row>
    <row r="3659" spans="2:2" s="2" customFormat="1" x14ac:dyDescent="0.25">
      <c r="B3659" s="9"/>
    </row>
    <row r="3660" spans="2:2" s="2" customFormat="1" x14ac:dyDescent="0.25">
      <c r="B3660" s="9"/>
    </row>
    <row r="3661" spans="2:2" s="2" customFormat="1" x14ac:dyDescent="0.25">
      <c r="B3661" s="9"/>
    </row>
    <row r="3662" spans="2:2" s="2" customFormat="1" x14ac:dyDescent="0.25">
      <c r="B3662" s="9"/>
    </row>
    <row r="3663" spans="2:2" s="2" customFormat="1" x14ac:dyDescent="0.25">
      <c r="B3663" s="9"/>
    </row>
    <row r="3664" spans="2:2" s="2" customFormat="1" x14ac:dyDescent="0.25">
      <c r="B3664" s="9"/>
    </row>
    <row r="3665" spans="2:2" s="2" customFormat="1" x14ac:dyDescent="0.25">
      <c r="B3665" s="9"/>
    </row>
    <row r="3666" spans="2:2" s="2" customFormat="1" x14ac:dyDescent="0.25">
      <c r="B3666" s="9"/>
    </row>
    <row r="3667" spans="2:2" s="2" customFormat="1" x14ac:dyDescent="0.25">
      <c r="B3667" s="9"/>
    </row>
    <row r="3668" spans="2:2" s="2" customFormat="1" x14ac:dyDescent="0.25">
      <c r="B3668" s="9"/>
    </row>
    <row r="3669" spans="2:2" s="2" customFormat="1" x14ac:dyDescent="0.25">
      <c r="B3669" s="9"/>
    </row>
    <row r="3670" spans="2:2" s="2" customFormat="1" x14ac:dyDescent="0.25">
      <c r="B3670" s="9"/>
    </row>
    <row r="3671" spans="2:2" s="2" customFormat="1" x14ac:dyDescent="0.25">
      <c r="B3671" s="9"/>
    </row>
    <row r="3672" spans="2:2" s="2" customFormat="1" x14ac:dyDescent="0.25">
      <c r="B3672" s="9"/>
    </row>
    <row r="3673" spans="2:2" s="2" customFormat="1" x14ac:dyDescent="0.25">
      <c r="B3673" s="9"/>
    </row>
    <row r="3674" spans="2:2" s="2" customFormat="1" x14ac:dyDescent="0.25">
      <c r="B3674" s="9"/>
    </row>
    <row r="3675" spans="2:2" s="2" customFormat="1" x14ac:dyDescent="0.25">
      <c r="B3675" s="9"/>
    </row>
    <row r="3676" spans="2:2" s="2" customFormat="1" x14ac:dyDescent="0.25">
      <c r="B3676" s="9"/>
    </row>
    <row r="3677" spans="2:2" s="2" customFormat="1" x14ac:dyDescent="0.25">
      <c r="B3677" s="9"/>
    </row>
    <row r="3678" spans="2:2" s="2" customFormat="1" x14ac:dyDescent="0.25">
      <c r="B3678" s="9"/>
    </row>
    <row r="3679" spans="2:2" s="2" customFormat="1" x14ac:dyDescent="0.25">
      <c r="B3679" s="9"/>
    </row>
    <row r="3680" spans="2:2" s="2" customFormat="1" x14ac:dyDescent="0.25">
      <c r="B3680" s="9"/>
    </row>
    <row r="3681" spans="2:2" s="2" customFormat="1" x14ac:dyDescent="0.25">
      <c r="B3681" s="9"/>
    </row>
    <row r="3682" spans="2:2" s="2" customFormat="1" x14ac:dyDescent="0.25">
      <c r="B3682" s="9"/>
    </row>
    <row r="3683" spans="2:2" s="2" customFormat="1" x14ac:dyDescent="0.25">
      <c r="B3683" s="9"/>
    </row>
    <row r="3684" spans="2:2" s="2" customFormat="1" x14ac:dyDescent="0.25">
      <c r="B3684" s="9"/>
    </row>
    <row r="3685" spans="2:2" s="2" customFormat="1" x14ac:dyDescent="0.25">
      <c r="B3685" s="9"/>
    </row>
    <row r="3686" spans="2:2" s="2" customFormat="1" x14ac:dyDescent="0.25">
      <c r="B3686" s="9"/>
    </row>
    <row r="3687" spans="2:2" s="2" customFormat="1" x14ac:dyDescent="0.25">
      <c r="B3687" s="9"/>
    </row>
    <row r="3688" spans="2:2" s="2" customFormat="1" x14ac:dyDescent="0.25">
      <c r="B3688" s="9"/>
    </row>
    <row r="3689" spans="2:2" s="2" customFormat="1" x14ac:dyDescent="0.25">
      <c r="B3689" s="9"/>
    </row>
    <row r="3690" spans="2:2" s="2" customFormat="1" x14ac:dyDescent="0.25">
      <c r="B3690" s="9"/>
    </row>
    <row r="3691" spans="2:2" s="2" customFormat="1" x14ac:dyDescent="0.25">
      <c r="B3691" s="9"/>
    </row>
    <row r="3692" spans="2:2" s="2" customFormat="1" x14ac:dyDescent="0.25">
      <c r="B3692" s="9"/>
    </row>
    <row r="3693" spans="2:2" s="2" customFormat="1" x14ac:dyDescent="0.25">
      <c r="B3693" s="9"/>
    </row>
    <row r="3694" spans="2:2" s="2" customFormat="1" x14ac:dyDescent="0.25">
      <c r="B3694" s="9"/>
    </row>
    <row r="3695" spans="2:2" s="2" customFormat="1" x14ac:dyDescent="0.25">
      <c r="B3695" s="9"/>
    </row>
    <row r="3696" spans="2:2" s="2" customFormat="1" x14ac:dyDescent="0.25">
      <c r="B3696" s="9"/>
    </row>
    <row r="3697" spans="2:2" s="2" customFormat="1" x14ac:dyDescent="0.25">
      <c r="B3697" s="9"/>
    </row>
    <row r="3698" spans="2:2" s="2" customFormat="1" x14ac:dyDescent="0.25">
      <c r="B3698" s="9"/>
    </row>
    <row r="3699" spans="2:2" s="2" customFormat="1" x14ac:dyDescent="0.25">
      <c r="B3699" s="9"/>
    </row>
    <row r="3700" spans="2:2" s="2" customFormat="1" x14ac:dyDescent="0.25">
      <c r="B3700" s="9"/>
    </row>
    <row r="3701" spans="2:2" s="2" customFormat="1" x14ac:dyDescent="0.25">
      <c r="B3701" s="9"/>
    </row>
    <row r="3702" spans="2:2" s="2" customFormat="1" x14ac:dyDescent="0.25">
      <c r="B3702" s="9"/>
    </row>
    <row r="3703" spans="2:2" s="2" customFormat="1" x14ac:dyDescent="0.25">
      <c r="B3703" s="9"/>
    </row>
    <row r="3704" spans="2:2" s="2" customFormat="1" x14ac:dyDescent="0.25">
      <c r="B3704" s="9"/>
    </row>
    <row r="3705" spans="2:2" s="2" customFormat="1" x14ac:dyDescent="0.25">
      <c r="B3705" s="9"/>
    </row>
    <row r="3706" spans="2:2" s="2" customFormat="1" x14ac:dyDescent="0.25">
      <c r="B3706" s="9"/>
    </row>
    <row r="3707" spans="2:2" s="2" customFormat="1" x14ac:dyDescent="0.25">
      <c r="B3707" s="9"/>
    </row>
    <row r="3708" spans="2:2" s="2" customFormat="1" x14ac:dyDescent="0.25">
      <c r="B3708" s="9"/>
    </row>
    <row r="3709" spans="2:2" s="2" customFormat="1" x14ac:dyDescent="0.25">
      <c r="B3709" s="9"/>
    </row>
    <row r="3710" spans="2:2" s="2" customFormat="1" x14ac:dyDescent="0.25">
      <c r="B3710" s="9"/>
    </row>
    <row r="3711" spans="2:2" s="2" customFormat="1" x14ac:dyDescent="0.25">
      <c r="B3711" s="9"/>
    </row>
    <row r="3712" spans="2:2" s="2" customFormat="1" x14ac:dyDescent="0.25">
      <c r="B3712" s="9"/>
    </row>
    <row r="3713" spans="2:2" s="2" customFormat="1" x14ac:dyDescent="0.25">
      <c r="B3713" s="9"/>
    </row>
    <row r="3714" spans="2:2" s="2" customFormat="1" x14ac:dyDescent="0.25">
      <c r="B3714" s="9"/>
    </row>
    <row r="3715" spans="2:2" s="2" customFormat="1" x14ac:dyDescent="0.25">
      <c r="B3715" s="9"/>
    </row>
    <row r="3716" spans="2:2" s="2" customFormat="1" x14ac:dyDescent="0.25">
      <c r="B3716" s="9"/>
    </row>
    <row r="3717" spans="2:2" s="2" customFormat="1" x14ac:dyDescent="0.25">
      <c r="B3717" s="9"/>
    </row>
    <row r="3718" spans="2:2" s="2" customFormat="1" x14ac:dyDescent="0.25">
      <c r="B3718" s="9"/>
    </row>
    <row r="3719" spans="2:2" s="2" customFormat="1" x14ac:dyDescent="0.25">
      <c r="B3719" s="9"/>
    </row>
    <row r="3720" spans="2:2" s="2" customFormat="1" x14ac:dyDescent="0.25">
      <c r="B3720" s="9"/>
    </row>
    <row r="3721" spans="2:2" s="2" customFormat="1" x14ac:dyDescent="0.25">
      <c r="B3721" s="9"/>
    </row>
    <row r="3722" spans="2:2" s="2" customFormat="1" x14ac:dyDescent="0.25">
      <c r="B3722" s="9"/>
    </row>
    <row r="3723" spans="2:2" s="2" customFormat="1" x14ac:dyDescent="0.25">
      <c r="B3723" s="9"/>
    </row>
    <row r="3724" spans="2:2" s="2" customFormat="1" x14ac:dyDescent="0.25">
      <c r="B3724" s="9"/>
    </row>
    <row r="3725" spans="2:2" s="2" customFormat="1" x14ac:dyDescent="0.25">
      <c r="B3725" s="9"/>
    </row>
    <row r="3726" spans="2:2" s="2" customFormat="1" x14ac:dyDescent="0.25">
      <c r="B3726" s="9"/>
    </row>
    <row r="3727" spans="2:2" s="2" customFormat="1" x14ac:dyDescent="0.25">
      <c r="B3727" s="9"/>
    </row>
    <row r="3728" spans="2:2" s="2" customFormat="1" x14ac:dyDescent="0.25">
      <c r="B3728" s="9"/>
    </row>
    <row r="3729" spans="2:2" s="2" customFormat="1" x14ac:dyDescent="0.25">
      <c r="B3729" s="9"/>
    </row>
    <row r="3730" spans="2:2" s="2" customFormat="1" x14ac:dyDescent="0.25">
      <c r="B3730" s="9"/>
    </row>
    <row r="3731" spans="2:2" s="2" customFormat="1" x14ac:dyDescent="0.25">
      <c r="B3731" s="9"/>
    </row>
    <row r="3732" spans="2:2" s="2" customFormat="1" x14ac:dyDescent="0.25">
      <c r="B3732" s="9"/>
    </row>
    <row r="3733" spans="2:2" s="2" customFormat="1" x14ac:dyDescent="0.25">
      <c r="B3733" s="9"/>
    </row>
    <row r="3734" spans="2:2" s="2" customFormat="1" x14ac:dyDescent="0.25">
      <c r="B3734" s="9"/>
    </row>
    <row r="3735" spans="2:2" s="2" customFormat="1" x14ac:dyDescent="0.25">
      <c r="B3735" s="9"/>
    </row>
    <row r="3736" spans="2:2" s="2" customFormat="1" x14ac:dyDescent="0.25">
      <c r="B3736" s="9"/>
    </row>
    <row r="3737" spans="2:2" s="2" customFormat="1" x14ac:dyDescent="0.25">
      <c r="B3737" s="9"/>
    </row>
    <row r="3738" spans="2:2" s="2" customFormat="1" x14ac:dyDescent="0.25">
      <c r="B3738" s="9"/>
    </row>
    <row r="3739" spans="2:2" s="2" customFormat="1" x14ac:dyDescent="0.25">
      <c r="B3739" s="9"/>
    </row>
    <row r="3740" spans="2:2" s="2" customFormat="1" x14ac:dyDescent="0.25">
      <c r="B3740" s="9"/>
    </row>
    <row r="3741" spans="2:2" s="2" customFormat="1" x14ac:dyDescent="0.25">
      <c r="B3741" s="9"/>
    </row>
    <row r="3742" spans="2:2" s="2" customFormat="1" x14ac:dyDescent="0.25">
      <c r="B3742" s="9"/>
    </row>
    <row r="3743" spans="2:2" s="2" customFormat="1" x14ac:dyDescent="0.25">
      <c r="B3743" s="9"/>
    </row>
    <row r="3744" spans="2:2" s="2" customFormat="1" x14ac:dyDescent="0.25">
      <c r="B3744" s="9"/>
    </row>
    <row r="3745" spans="2:2" s="2" customFormat="1" x14ac:dyDescent="0.25">
      <c r="B3745" s="9"/>
    </row>
    <row r="3746" spans="2:2" s="2" customFormat="1" x14ac:dyDescent="0.25">
      <c r="B3746" s="9"/>
    </row>
    <row r="3747" spans="2:2" s="2" customFormat="1" x14ac:dyDescent="0.25">
      <c r="B3747" s="9"/>
    </row>
    <row r="3748" spans="2:2" s="2" customFormat="1" x14ac:dyDescent="0.25">
      <c r="B3748" s="9"/>
    </row>
    <row r="3749" spans="2:2" s="2" customFormat="1" x14ac:dyDescent="0.25">
      <c r="B3749" s="9"/>
    </row>
    <row r="3750" spans="2:2" s="2" customFormat="1" x14ac:dyDescent="0.25">
      <c r="B3750" s="9"/>
    </row>
    <row r="3751" spans="2:2" s="2" customFormat="1" x14ac:dyDescent="0.25">
      <c r="B3751" s="9"/>
    </row>
    <row r="3752" spans="2:2" s="2" customFormat="1" x14ac:dyDescent="0.25">
      <c r="B3752" s="9"/>
    </row>
    <row r="3753" spans="2:2" s="2" customFormat="1" x14ac:dyDescent="0.25">
      <c r="B3753" s="9"/>
    </row>
    <row r="3754" spans="2:2" s="2" customFormat="1" x14ac:dyDescent="0.25">
      <c r="B3754" s="9"/>
    </row>
    <row r="3755" spans="2:2" s="2" customFormat="1" x14ac:dyDescent="0.25">
      <c r="B3755" s="9"/>
    </row>
    <row r="3756" spans="2:2" s="2" customFormat="1" x14ac:dyDescent="0.25">
      <c r="B3756" s="9"/>
    </row>
    <row r="3757" spans="2:2" s="2" customFormat="1" x14ac:dyDescent="0.25">
      <c r="B3757" s="9"/>
    </row>
    <row r="3758" spans="2:2" s="2" customFormat="1" x14ac:dyDescent="0.25">
      <c r="B3758" s="9"/>
    </row>
    <row r="3759" spans="2:2" s="2" customFormat="1" x14ac:dyDescent="0.25">
      <c r="B3759" s="9"/>
    </row>
    <row r="3760" spans="2:2" s="2" customFormat="1" x14ac:dyDescent="0.25">
      <c r="B3760" s="9"/>
    </row>
    <row r="3761" spans="2:2" s="2" customFormat="1" x14ac:dyDescent="0.25">
      <c r="B3761" s="9"/>
    </row>
    <row r="3762" spans="2:2" s="2" customFormat="1" x14ac:dyDescent="0.25">
      <c r="B3762" s="9"/>
    </row>
    <row r="3763" spans="2:2" s="2" customFormat="1" x14ac:dyDescent="0.25">
      <c r="B3763" s="9"/>
    </row>
    <row r="3764" spans="2:2" s="2" customFormat="1" x14ac:dyDescent="0.25">
      <c r="B3764" s="9"/>
    </row>
    <row r="3765" spans="2:2" s="2" customFormat="1" x14ac:dyDescent="0.25">
      <c r="B3765" s="9"/>
    </row>
    <row r="3766" spans="2:2" s="2" customFormat="1" x14ac:dyDescent="0.25">
      <c r="B3766" s="9"/>
    </row>
    <row r="3767" spans="2:2" s="2" customFormat="1" x14ac:dyDescent="0.25">
      <c r="B3767" s="9"/>
    </row>
    <row r="3768" spans="2:2" s="2" customFormat="1" x14ac:dyDescent="0.25">
      <c r="B3768" s="9"/>
    </row>
    <row r="3769" spans="2:2" s="2" customFormat="1" x14ac:dyDescent="0.25">
      <c r="B3769" s="9"/>
    </row>
    <row r="3770" spans="2:2" s="2" customFormat="1" x14ac:dyDescent="0.25">
      <c r="B3770" s="9"/>
    </row>
    <row r="3771" spans="2:2" s="2" customFormat="1" x14ac:dyDescent="0.25">
      <c r="B3771" s="9"/>
    </row>
    <row r="3772" spans="2:2" s="2" customFormat="1" x14ac:dyDescent="0.25">
      <c r="B3772" s="9"/>
    </row>
    <row r="3773" spans="2:2" s="2" customFormat="1" x14ac:dyDescent="0.25">
      <c r="B3773" s="9"/>
    </row>
    <row r="3774" spans="2:2" s="2" customFormat="1" x14ac:dyDescent="0.25">
      <c r="B3774" s="9"/>
    </row>
    <row r="3775" spans="2:2" s="2" customFormat="1" x14ac:dyDescent="0.25">
      <c r="B3775" s="9"/>
    </row>
    <row r="3776" spans="2:2" s="2" customFormat="1" x14ac:dyDescent="0.25">
      <c r="B3776" s="9"/>
    </row>
    <row r="3777" spans="2:2" s="2" customFormat="1" x14ac:dyDescent="0.25">
      <c r="B3777" s="9"/>
    </row>
    <row r="3778" spans="2:2" s="2" customFormat="1" x14ac:dyDescent="0.25">
      <c r="B3778" s="9"/>
    </row>
    <row r="3779" spans="2:2" s="2" customFormat="1" x14ac:dyDescent="0.25">
      <c r="B3779" s="9"/>
    </row>
    <row r="3780" spans="2:2" s="2" customFormat="1" x14ac:dyDescent="0.25">
      <c r="B3780" s="9"/>
    </row>
    <row r="3781" spans="2:2" s="2" customFormat="1" x14ac:dyDescent="0.25">
      <c r="B3781" s="9"/>
    </row>
    <row r="3782" spans="2:2" s="2" customFormat="1" x14ac:dyDescent="0.25">
      <c r="B3782" s="9"/>
    </row>
    <row r="3783" spans="2:2" s="2" customFormat="1" x14ac:dyDescent="0.25">
      <c r="B3783" s="9"/>
    </row>
    <row r="3784" spans="2:2" s="2" customFormat="1" x14ac:dyDescent="0.25">
      <c r="B3784" s="9"/>
    </row>
    <row r="3785" spans="2:2" s="2" customFormat="1" x14ac:dyDescent="0.25">
      <c r="B3785" s="9"/>
    </row>
    <row r="3786" spans="2:2" s="2" customFormat="1" x14ac:dyDescent="0.25">
      <c r="B3786" s="9"/>
    </row>
    <row r="3787" spans="2:2" s="2" customFormat="1" x14ac:dyDescent="0.25">
      <c r="B3787" s="9"/>
    </row>
    <row r="3788" spans="2:2" s="2" customFormat="1" x14ac:dyDescent="0.25">
      <c r="B3788" s="9"/>
    </row>
    <row r="3789" spans="2:2" s="2" customFormat="1" x14ac:dyDescent="0.25">
      <c r="B3789" s="9"/>
    </row>
    <row r="3790" spans="2:2" s="2" customFormat="1" x14ac:dyDescent="0.25">
      <c r="B3790" s="9"/>
    </row>
    <row r="3791" spans="2:2" s="2" customFormat="1" x14ac:dyDescent="0.25">
      <c r="B3791" s="9"/>
    </row>
    <row r="3792" spans="2:2" s="2" customFormat="1" x14ac:dyDescent="0.25">
      <c r="B3792" s="9"/>
    </row>
    <row r="3793" spans="2:2" s="2" customFormat="1" x14ac:dyDescent="0.25">
      <c r="B3793" s="9"/>
    </row>
    <row r="3794" spans="2:2" s="2" customFormat="1" x14ac:dyDescent="0.25">
      <c r="B3794" s="9"/>
    </row>
    <row r="3795" spans="2:2" s="2" customFormat="1" x14ac:dyDescent="0.25">
      <c r="B3795" s="9"/>
    </row>
    <row r="3796" spans="2:2" s="2" customFormat="1" x14ac:dyDescent="0.25">
      <c r="B3796" s="9"/>
    </row>
    <row r="3797" spans="2:2" s="2" customFormat="1" x14ac:dyDescent="0.25">
      <c r="B3797" s="9"/>
    </row>
    <row r="3798" spans="2:2" s="2" customFormat="1" x14ac:dyDescent="0.25">
      <c r="B3798" s="9"/>
    </row>
    <row r="3799" spans="2:2" s="2" customFormat="1" x14ac:dyDescent="0.25">
      <c r="B3799" s="9"/>
    </row>
    <row r="3800" spans="2:2" s="2" customFormat="1" x14ac:dyDescent="0.25">
      <c r="B3800" s="9"/>
    </row>
    <row r="3801" spans="2:2" s="2" customFormat="1" x14ac:dyDescent="0.25">
      <c r="B3801" s="9"/>
    </row>
    <row r="3802" spans="2:2" s="2" customFormat="1" x14ac:dyDescent="0.25">
      <c r="B3802" s="9"/>
    </row>
    <row r="3803" spans="2:2" s="2" customFormat="1" x14ac:dyDescent="0.25">
      <c r="B3803" s="9"/>
    </row>
    <row r="3804" spans="2:2" s="2" customFormat="1" x14ac:dyDescent="0.25">
      <c r="B3804" s="9"/>
    </row>
    <row r="3805" spans="2:2" s="2" customFormat="1" x14ac:dyDescent="0.25">
      <c r="B3805" s="9"/>
    </row>
    <row r="3806" spans="2:2" s="2" customFormat="1" x14ac:dyDescent="0.25">
      <c r="B3806" s="9"/>
    </row>
    <row r="3807" spans="2:2" s="2" customFormat="1" x14ac:dyDescent="0.25">
      <c r="B3807" s="9"/>
    </row>
    <row r="3808" spans="2:2" s="2" customFormat="1" x14ac:dyDescent="0.25">
      <c r="B3808" s="9"/>
    </row>
    <row r="3809" spans="2:2" s="2" customFormat="1" x14ac:dyDescent="0.25">
      <c r="B3809" s="9"/>
    </row>
    <row r="3810" spans="2:2" s="2" customFormat="1" x14ac:dyDescent="0.25">
      <c r="B3810" s="9"/>
    </row>
    <row r="3811" spans="2:2" s="2" customFormat="1" x14ac:dyDescent="0.25">
      <c r="B3811" s="9"/>
    </row>
    <row r="3812" spans="2:2" s="2" customFormat="1" x14ac:dyDescent="0.25">
      <c r="B3812" s="9"/>
    </row>
    <row r="3813" spans="2:2" s="2" customFormat="1" x14ac:dyDescent="0.25">
      <c r="B3813" s="9"/>
    </row>
    <row r="3814" spans="2:2" s="2" customFormat="1" x14ac:dyDescent="0.25">
      <c r="B3814" s="9"/>
    </row>
    <row r="3815" spans="2:2" s="2" customFormat="1" x14ac:dyDescent="0.25">
      <c r="B3815" s="9"/>
    </row>
    <row r="3816" spans="2:2" s="2" customFormat="1" x14ac:dyDescent="0.25">
      <c r="B3816" s="9"/>
    </row>
    <row r="3817" spans="2:2" s="2" customFormat="1" x14ac:dyDescent="0.25">
      <c r="B3817" s="9"/>
    </row>
    <row r="3818" spans="2:2" s="2" customFormat="1" x14ac:dyDescent="0.25">
      <c r="B3818" s="9"/>
    </row>
    <row r="3819" spans="2:2" s="2" customFormat="1" x14ac:dyDescent="0.25">
      <c r="B3819" s="9"/>
    </row>
    <row r="3820" spans="2:2" s="2" customFormat="1" x14ac:dyDescent="0.25">
      <c r="B3820" s="9"/>
    </row>
    <row r="3821" spans="2:2" s="2" customFormat="1" x14ac:dyDescent="0.25">
      <c r="B3821" s="9"/>
    </row>
    <row r="3822" spans="2:2" s="2" customFormat="1" x14ac:dyDescent="0.25">
      <c r="B3822" s="9"/>
    </row>
    <row r="3823" spans="2:2" s="2" customFormat="1" x14ac:dyDescent="0.25">
      <c r="B3823" s="9"/>
    </row>
    <row r="3824" spans="2:2" s="2" customFormat="1" x14ac:dyDescent="0.25">
      <c r="B3824" s="9"/>
    </row>
    <row r="3825" spans="2:2" s="2" customFormat="1" x14ac:dyDescent="0.25">
      <c r="B3825" s="9"/>
    </row>
    <row r="3826" spans="2:2" s="2" customFormat="1" x14ac:dyDescent="0.25">
      <c r="B3826" s="9"/>
    </row>
    <row r="3827" spans="2:2" s="2" customFormat="1" x14ac:dyDescent="0.25">
      <c r="B3827" s="9"/>
    </row>
    <row r="3828" spans="2:2" s="2" customFormat="1" x14ac:dyDescent="0.25">
      <c r="B3828" s="9"/>
    </row>
    <row r="3829" spans="2:2" s="2" customFormat="1" x14ac:dyDescent="0.25">
      <c r="B3829" s="9"/>
    </row>
    <row r="3830" spans="2:2" s="2" customFormat="1" x14ac:dyDescent="0.25">
      <c r="B3830" s="9"/>
    </row>
    <row r="3831" spans="2:2" s="2" customFormat="1" x14ac:dyDescent="0.25">
      <c r="B3831" s="9"/>
    </row>
    <row r="3832" spans="2:2" s="2" customFormat="1" x14ac:dyDescent="0.25">
      <c r="B3832" s="9"/>
    </row>
    <row r="3833" spans="2:2" s="2" customFormat="1" x14ac:dyDescent="0.25">
      <c r="B3833" s="9"/>
    </row>
    <row r="3834" spans="2:2" s="2" customFormat="1" x14ac:dyDescent="0.25">
      <c r="B3834" s="9"/>
    </row>
    <row r="3835" spans="2:2" s="2" customFormat="1" x14ac:dyDescent="0.25">
      <c r="B3835" s="9"/>
    </row>
    <row r="3836" spans="2:2" s="2" customFormat="1" x14ac:dyDescent="0.25">
      <c r="B3836" s="9"/>
    </row>
    <row r="3837" spans="2:2" s="2" customFormat="1" x14ac:dyDescent="0.25">
      <c r="B3837" s="9"/>
    </row>
    <row r="3838" spans="2:2" s="2" customFormat="1" x14ac:dyDescent="0.25">
      <c r="B3838" s="9"/>
    </row>
    <row r="3839" spans="2:2" s="2" customFormat="1" x14ac:dyDescent="0.25">
      <c r="B3839" s="9"/>
    </row>
    <row r="3840" spans="2:2" s="2" customFormat="1" x14ac:dyDescent="0.25">
      <c r="B3840" s="9"/>
    </row>
    <row r="3841" spans="2:2" s="2" customFormat="1" x14ac:dyDescent="0.25">
      <c r="B3841" s="9"/>
    </row>
    <row r="3842" spans="2:2" s="2" customFormat="1" x14ac:dyDescent="0.25">
      <c r="B3842" s="9"/>
    </row>
    <row r="3843" spans="2:2" s="2" customFormat="1" x14ac:dyDescent="0.25">
      <c r="B3843" s="9"/>
    </row>
    <row r="3844" spans="2:2" s="2" customFormat="1" x14ac:dyDescent="0.25">
      <c r="B3844" s="9"/>
    </row>
    <row r="3845" spans="2:2" s="2" customFormat="1" x14ac:dyDescent="0.25">
      <c r="B3845" s="9"/>
    </row>
    <row r="3846" spans="2:2" s="2" customFormat="1" x14ac:dyDescent="0.25">
      <c r="B3846" s="9"/>
    </row>
    <row r="3847" spans="2:2" s="2" customFormat="1" x14ac:dyDescent="0.25">
      <c r="B3847" s="9"/>
    </row>
    <row r="3848" spans="2:2" s="2" customFormat="1" x14ac:dyDescent="0.25">
      <c r="B3848" s="9"/>
    </row>
    <row r="3849" spans="2:2" s="2" customFormat="1" x14ac:dyDescent="0.25">
      <c r="B3849" s="9"/>
    </row>
    <row r="3850" spans="2:2" s="2" customFormat="1" x14ac:dyDescent="0.25">
      <c r="B3850" s="9"/>
    </row>
    <row r="3851" spans="2:2" s="2" customFormat="1" x14ac:dyDescent="0.25">
      <c r="B3851" s="9"/>
    </row>
    <row r="3852" spans="2:2" s="2" customFormat="1" x14ac:dyDescent="0.25">
      <c r="B3852" s="9"/>
    </row>
    <row r="3853" spans="2:2" s="2" customFormat="1" x14ac:dyDescent="0.25">
      <c r="B3853" s="9"/>
    </row>
    <row r="3854" spans="2:2" s="2" customFormat="1" x14ac:dyDescent="0.25">
      <c r="B3854" s="9"/>
    </row>
    <row r="3855" spans="2:2" s="2" customFormat="1" x14ac:dyDescent="0.25">
      <c r="B3855" s="9"/>
    </row>
    <row r="3856" spans="2:2" s="2" customFormat="1" x14ac:dyDescent="0.25">
      <c r="B3856" s="9"/>
    </row>
    <row r="3857" spans="2:2" s="2" customFormat="1" x14ac:dyDescent="0.25">
      <c r="B3857" s="9"/>
    </row>
    <row r="3858" spans="2:2" s="2" customFormat="1" x14ac:dyDescent="0.25">
      <c r="B3858" s="9"/>
    </row>
    <row r="3859" spans="2:2" s="2" customFormat="1" x14ac:dyDescent="0.25">
      <c r="B3859" s="9"/>
    </row>
    <row r="3860" spans="2:2" s="2" customFormat="1" x14ac:dyDescent="0.25">
      <c r="B3860" s="9"/>
    </row>
    <row r="3861" spans="2:2" s="2" customFormat="1" x14ac:dyDescent="0.25">
      <c r="B3861" s="9"/>
    </row>
    <row r="3862" spans="2:2" s="2" customFormat="1" x14ac:dyDescent="0.25">
      <c r="B3862" s="9"/>
    </row>
    <row r="3863" spans="2:2" s="2" customFormat="1" x14ac:dyDescent="0.25">
      <c r="B3863" s="9"/>
    </row>
    <row r="3864" spans="2:2" s="2" customFormat="1" x14ac:dyDescent="0.25">
      <c r="B3864" s="9"/>
    </row>
    <row r="3865" spans="2:2" s="2" customFormat="1" x14ac:dyDescent="0.25">
      <c r="B3865" s="9"/>
    </row>
    <row r="3866" spans="2:2" s="2" customFormat="1" x14ac:dyDescent="0.25">
      <c r="B3866" s="9"/>
    </row>
    <row r="3867" spans="2:2" s="2" customFormat="1" x14ac:dyDescent="0.25">
      <c r="B3867" s="9"/>
    </row>
    <row r="3868" spans="2:2" s="2" customFormat="1" x14ac:dyDescent="0.25">
      <c r="B3868" s="9"/>
    </row>
    <row r="3869" spans="2:2" s="2" customFormat="1" x14ac:dyDescent="0.25">
      <c r="B3869" s="9"/>
    </row>
    <row r="3870" spans="2:2" s="2" customFormat="1" x14ac:dyDescent="0.25">
      <c r="B3870" s="9"/>
    </row>
    <row r="3871" spans="2:2" s="2" customFormat="1" x14ac:dyDescent="0.25">
      <c r="B3871" s="9"/>
    </row>
    <row r="3872" spans="2:2" s="2" customFormat="1" x14ac:dyDescent="0.25">
      <c r="B3872" s="9"/>
    </row>
    <row r="3873" spans="2:2" s="2" customFormat="1" x14ac:dyDescent="0.25">
      <c r="B3873" s="9"/>
    </row>
    <row r="3874" spans="2:2" s="2" customFormat="1" x14ac:dyDescent="0.25">
      <c r="B3874" s="9"/>
    </row>
    <row r="3875" spans="2:2" s="2" customFormat="1" x14ac:dyDescent="0.25">
      <c r="B3875" s="9"/>
    </row>
    <row r="3876" spans="2:2" s="2" customFormat="1" x14ac:dyDescent="0.25">
      <c r="B3876" s="9"/>
    </row>
    <row r="3877" spans="2:2" s="2" customFormat="1" x14ac:dyDescent="0.25">
      <c r="B3877" s="9"/>
    </row>
    <row r="3878" spans="2:2" s="2" customFormat="1" x14ac:dyDescent="0.25">
      <c r="B3878" s="9"/>
    </row>
    <row r="3879" spans="2:2" s="2" customFormat="1" x14ac:dyDescent="0.25">
      <c r="B3879" s="9"/>
    </row>
    <row r="3880" spans="2:2" s="2" customFormat="1" x14ac:dyDescent="0.25">
      <c r="B3880" s="9"/>
    </row>
    <row r="3881" spans="2:2" s="2" customFormat="1" x14ac:dyDescent="0.25">
      <c r="B3881" s="9"/>
    </row>
    <row r="3882" spans="2:2" s="2" customFormat="1" x14ac:dyDescent="0.25">
      <c r="B3882" s="9"/>
    </row>
    <row r="3883" spans="2:2" s="2" customFormat="1" x14ac:dyDescent="0.25">
      <c r="B3883" s="9"/>
    </row>
    <row r="3884" spans="2:2" s="2" customFormat="1" x14ac:dyDescent="0.25">
      <c r="B3884" s="9"/>
    </row>
    <row r="3885" spans="2:2" s="2" customFormat="1" x14ac:dyDescent="0.25">
      <c r="B3885" s="9"/>
    </row>
    <row r="3886" spans="2:2" s="2" customFormat="1" x14ac:dyDescent="0.25">
      <c r="B3886" s="9"/>
    </row>
    <row r="3887" spans="2:2" s="2" customFormat="1" x14ac:dyDescent="0.25">
      <c r="B3887" s="9"/>
    </row>
    <row r="3888" spans="2:2" s="2" customFormat="1" x14ac:dyDescent="0.25">
      <c r="B3888" s="9"/>
    </row>
    <row r="3889" spans="2:2" s="2" customFormat="1" x14ac:dyDescent="0.25">
      <c r="B3889" s="9"/>
    </row>
    <row r="3890" spans="2:2" s="2" customFormat="1" x14ac:dyDescent="0.25">
      <c r="B3890" s="9"/>
    </row>
    <row r="3891" spans="2:2" s="2" customFormat="1" x14ac:dyDescent="0.25">
      <c r="B3891" s="9"/>
    </row>
    <row r="3892" spans="2:2" s="2" customFormat="1" x14ac:dyDescent="0.25">
      <c r="B3892" s="9"/>
    </row>
    <row r="3893" spans="2:2" s="2" customFormat="1" x14ac:dyDescent="0.25">
      <c r="B3893" s="9"/>
    </row>
    <row r="3894" spans="2:2" s="2" customFormat="1" x14ac:dyDescent="0.25">
      <c r="B3894" s="9"/>
    </row>
    <row r="3895" spans="2:2" s="2" customFormat="1" x14ac:dyDescent="0.25">
      <c r="B3895" s="9"/>
    </row>
    <row r="3896" spans="2:2" s="2" customFormat="1" x14ac:dyDescent="0.25">
      <c r="B3896" s="9"/>
    </row>
    <row r="3897" spans="2:2" s="2" customFormat="1" x14ac:dyDescent="0.25">
      <c r="B3897" s="9"/>
    </row>
    <row r="3898" spans="2:2" s="2" customFormat="1" x14ac:dyDescent="0.25">
      <c r="B3898" s="9"/>
    </row>
    <row r="3899" spans="2:2" s="2" customFormat="1" x14ac:dyDescent="0.25">
      <c r="B3899" s="9"/>
    </row>
    <row r="3900" spans="2:2" s="2" customFormat="1" x14ac:dyDescent="0.25">
      <c r="B3900" s="9"/>
    </row>
    <row r="3901" spans="2:2" s="2" customFormat="1" x14ac:dyDescent="0.25">
      <c r="B3901" s="9"/>
    </row>
    <row r="3902" spans="2:2" s="2" customFormat="1" x14ac:dyDescent="0.25">
      <c r="B3902" s="9"/>
    </row>
    <row r="3903" spans="2:2" s="2" customFormat="1" x14ac:dyDescent="0.25">
      <c r="B3903" s="9"/>
    </row>
    <row r="3904" spans="2:2" s="2" customFormat="1" x14ac:dyDescent="0.25">
      <c r="B3904" s="9"/>
    </row>
    <row r="3905" spans="2:2" s="2" customFormat="1" x14ac:dyDescent="0.25">
      <c r="B3905" s="9"/>
    </row>
    <row r="3906" spans="2:2" s="2" customFormat="1" x14ac:dyDescent="0.25">
      <c r="B3906" s="9"/>
    </row>
    <row r="3907" spans="2:2" s="2" customFormat="1" x14ac:dyDescent="0.25">
      <c r="B3907" s="9"/>
    </row>
    <row r="3908" spans="2:2" s="2" customFormat="1" x14ac:dyDescent="0.25">
      <c r="B3908" s="9"/>
    </row>
    <row r="3909" spans="2:2" s="2" customFormat="1" x14ac:dyDescent="0.25">
      <c r="B3909" s="9"/>
    </row>
    <row r="3910" spans="2:2" s="2" customFormat="1" x14ac:dyDescent="0.25">
      <c r="B3910" s="9"/>
    </row>
    <row r="3911" spans="2:2" s="2" customFormat="1" x14ac:dyDescent="0.25">
      <c r="B3911" s="9"/>
    </row>
    <row r="3912" spans="2:2" s="2" customFormat="1" x14ac:dyDescent="0.25">
      <c r="B3912" s="9"/>
    </row>
    <row r="3913" spans="2:2" s="2" customFormat="1" x14ac:dyDescent="0.25">
      <c r="B3913" s="9"/>
    </row>
    <row r="3914" spans="2:2" s="2" customFormat="1" x14ac:dyDescent="0.25">
      <c r="B3914" s="9"/>
    </row>
    <row r="3915" spans="2:2" s="2" customFormat="1" x14ac:dyDescent="0.25">
      <c r="B3915" s="9"/>
    </row>
    <row r="3916" spans="2:2" s="2" customFormat="1" x14ac:dyDescent="0.25">
      <c r="B3916" s="9"/>
    </row>
    <row r="3917" spans="2:2" s="2" customFormat="1" x14ac:dyDescent="0.25">
      <c r="B3917" s="9"/>
    </row>
    <row r="3918" spans="2:2" s="2" customFormat="1" x14ac:dyDescent="0.25">
      <c r="B3918" s="9"/>
    </row>
    <row r="3919" spans="2:2" s="2" customFormat="1" x14ac:dyDescent="0.25">
      <c r="B3919" s="9"/>
    </row>
    <row r="3920" spans="2:2" s="2" customFormat="1" x14ac:dyDescent="0.25">
      <c r="B3920" s="9"/>
    </row>
    <row r="3921" spans="2:2" s="2" customFormat="1" x14ac:dyDescent="0.25">
      <c r="B3921" s="9"/>
    </row>
    <row r="3922" spans="2:2" s="2" customFormat="1" x14ac:dyDescent="0.25">
      <c r="B3922" s="9"/>
    </row>
    <row r="3923" spans="2:2" s="2" customFormat="1" x14ac:dyDescent="0.25">
      <c r="B3923" s="9"/>
    </row>
    <row r="3924" spans="2:2" s="2" customFormat="1" x14ac:dyDescent="0.25">
      <c r="B3924" s="9"/>
    </row>
    <row r="3925" spans="2:2" s="2" customFormat="1" x14ac:dyDescent="0.25">
      <c r="B3925" s="9"/>
    </row>
    <row r="3926" spans="2:2" s="2" customFormat="1" x14ac:dyDescent="0.25">
      <c r="B3926" s="9"/>
    </row>
    <row r="3927" spans="2:2" s="2" customFormat="1" x14ac:dyDescent="0.25">
      <c r="B3927" s="9"/>
    </row>
    <row r="3928" spans="2:2" s="2" customFormat="1" x14ac:dyDescent="0.25">
      <c r="B3928" s="9"/>
    </row>
    <row r="3929" spans="2:2" s="2" customFormat="1" x14ac:dyDescent="0.25">
      <c r="B3929" s="9"/>
    </row>
    <row r="3930" spans="2:2" s="2" customFormat="1" x14ac:dyDescent="0.25">
      <c r="B3930" s="9"/>
    </row>
    <row r="3931" spans="2:2" s="2" customFormat="1" x14ac:dyDescent="0.25">
      <c r="B3931" s="9"/>
    </row>
    <row r="3932" spans="2:2" s="2" customFormat="1" x14ac:dyDescent="0.25">
      <c r="B3932" s="9"/>
    </row>
    <row r="3933" spans="2:2" s="2" customFormat="1" x14ac:dyDescent="0.25">
      <c r="B3933" s="9"/>
    </row>
    <row r="3934" spans="2:2" s="2" customFormat="1" x14ac:dyDescent="0.25">
      <c r="B3934" s="9"/>
    </row>
    <row r="3935" spans="2:2" s="2" customFormat="1" x14ac:dyDescent="0.25">
      <c r="B3935" s="9"/>
    </row>
    <row r="3936" spans="2:2" s="2" customFormat="1" x14ac:dyDescent="0.25">
      <c r="B3936" s="9"/>
    </row>
    <row r="3937" spans="2:2" s="2" customFormat="1" x14ac:dyDescent="0.25">
      <c r="B3937" s="9"/>
    </row>
    <row r="3938" spans="2:2" s="2" customFormat="1" x14ac:dyDescent="0.25">
      <c r="B3938" s="9"/>
    </row>
    <row r="3939" spans="2:2" s="2" customFormat="1" x14ac:dyDescent="0.25">
      <c r="B3939" s="9"/>
    </row>
    <row r="3940" spans="2:2" s="2" customFormat="1" x14ac:dyDescent="0.25">
      <c r="B3940" s="9"/>
    </row>
    <row r="3941" spans="2:2" s="2" customFormat="1" x14ac:dyDescent="0.25">
      <c r="B3941" s="9"/>
    </row>
    <row r="3942" spans="2:2" s="2" customFormat="1" x14ac:dyDescent="0.25">
      <c r="B3942" s="9"/>
    </row>
    <row r="3943" spans="2:2" s="2" customFormat="1" x14ac:dyDescent="0.25">
      <c r="B3943" s="9"/>
    </row>
    <row r="3944" spans="2:2" s="2" customFormat="1" x14ac:dyDescent="0.25">
      <c r="B3944" s="9"/>
    </row>
    <row r="3945" spans="2:2" s="2" customFormat="1" x14ac:dyDescent="0.25">
      <c r="B3945" s="9"/>
    </row>
    <row r="3946" spans="2:2" s="2" customFormat="1" x14ac:dyDescent="0.25">
      <c r="B3946" s="9"/>
    </row>
    <row r="3947" spans="2:2" s="2" customFormat="1" x14ac:dyDescent="0.25">
      <c r="B3947" s="9"/>
    </row>
    <row r="3948" spans="2:2" s="2" customFormat="1" x14ac:dyDescent="0.25">
      <c r="B3948" s="9"/>
    </row>
    <row r="3949" spans="2:2" s="2" customFormat="1" x14ac:dyDescent="0.25">
      <c r="B3949" s="9"/>
    </row>
    <row r="3950" spans="2:2" s="2" customFormat="1" x14ac:dyDescent="0.25">
      <c r="B3950" s="9"/>
    </row>
    <row r="3951" spans="2:2" s="2" customFormat="1" x14ac:dyDescent="0.25">
      <c r="B3951" s="9"/>
    </row>
    <row r="3952" spans="2:2" s="2" customFormat="1" x14ac:dyDescent="0.25">
      <c r="B3952" s="9"/>
    </row>
    <row r="3953" spans="2:2" s="2" customFormat="1" x14ac:dyDescent="0.25">
      <c r="B3953" s="9"/>
    </row>
    <row r="3954" spans="2:2" s="2" customFormat="1" x14ac:dyDescent="0.25">
      <c r="B3954" s="9"/>
    </row>
    <row r="3955" spans="2:2" s="2" customFormat="1" x14ac:dyDescent="0.25">
      <c r="B3955" s="9"/>
    </row>
    <row r="3956" spans="2:2" s="2" customFormat="1" x14ac:dyDescent="0.25">
      <c r="B3956" s="9"/>
    </row>
    <row r="3957" spans="2:2" s="2" customFormat="1" x14ac:dyDescent="0.25">
      <c r="B3957" s="9"/>
    </row>
    <row r="3958" spans="2:2" s="2" customFormat="1" x14ac:dyDescent="0.25">
      <c r="B3958" s="9"/>
    </row>
    <row r="3959" spans="2:2" s="2" customFormat="1" x14ac:dyDescent="0.25">
      <c r="B3959" s="9"/>
    </row>
    <row r="3960" spans="2:2" s="2" customFormat="1" x14ac:dyDescent="0.25">
      <c r="B3960" s="9"/>
    </row>
    <row r="3961" spans="2:2" s="2" customFormat="1" x14ac:dyDescent="0.25">
      <c r="B3961" s="9"/>
    </row>
    <row r="3962" spans="2:2" s="2" customFormat="1" x14ac:dyDescent="0.25">
      <c r="B3962" s="9"/>
    </row>
    <row r="3963" spans="2:2" s="2" customFormat="1" x14ac:dyDescent="0.25">
      <c r="B3963" s="9"/>
    </row>
    <row r="3964" spans="2:2" s="2" customFormat="1" x14ac:dyDescent="0.25">
      <c r="B3964" s="9"/>
    </row>
    <row r="3965" spans="2:2" s="2" customFormat="1" x14ac:dyDescent="0.25">
      <c r="B3965" s="9"/>
    </row>
    <row r="3966" spans="2:2" s="2" customFormat="1" x14ac:dyDescent="0.25">
      <c r="B3966" s="9"/>
    </row>
    <row r="3967" spans="2:2" s="2" customFormat="1" x14ac:dyDescent="0.25">
      <c r="B3967" s="9"/>
    </row>
    <row r="3968" spans="2:2" s="2" customFormat="1" x14ac:dyDescent="0.25">
      <c r="B3968" s="9"/>
    </row>
    <row r="3969" spans="2:2" s="2" customFormat="1" x14ac:dyDescent="0.25">
      <c r="B3969" s="9"/>
    </row>
    <row r="3970" spans="2:2" s="2" customFormat="1" x14ac:dyDescent="0.25">
      <c r="B3970" s="9"/>
    </row>
    <row r="3971" spans="2:2" s="2" customFormat="1" x14ac:dyDescent="0.25">
      <c r="B3971" s="9"/>
    </row>
    <row r="3972" spans="2:2" s="2" customFormat="1" x14ac:dyDescent="0.25">
      <c r="B3972" s="9"/>
    </row>
    <row r="3973" spans="2:2" s="2" customFormat="1" x14ac:dyDescent="0.25">
      <c r="B3973" s="9"/>
    </row>
    <row r="3974" spans="2:2" s="2" customFormat="1" x14ac:dyDescent="0.25">
      <c r="B3974" s="9"/>
    </row>
    <row r="3975" spans="2:2" s="2" customFormat="1" x14ac:dyDescent="0.25">
      <c r="B3975" s="9"/>
    </row>
    <row r="3976" spans="2:2" s="2" customFormat="1" x14ac:dyDescent="0.25">
      <c r="B3976" s="9"/>
    </row>
    <row r="3977" spans="2:2" s="2" customFormat="1" x14ac:dyDescent="0.25">
      <c r="B3977" s="9"/>
    </row>
    <row r="3978" spans="2:2" s="2" customFormat="1" x14ac:dyDescent="0.25">
      <c r="B3978" s="9"/>
    </row>
    <row r="3979" spans="2:2" s="2" customFormat="1" x14ac:dyDescent="0.25">
      <c r="B3979" s="9"/>
    </row>
    <row r="3980" spans="2:2" s="2" customFormat="1" x14ac:dyDescent="0.25">
      <c r="B3980" s="9"/>
    </row>
    <row r="3981" spans="2:2" s="2" customFormat="1" x14ac:dyDescent="0.25">
      <c r="B3981" s="9"/>
    </row>
    <row r="3982" spans="2:2" s="2" customFormat="1" x14ac:dyDescent="0.25">
      <c r="B3982" s="9"/>
    </row>
    <row r="3983" spans="2:2" s="2" customFormat="1" x14ac:dyDescent="0.25">
      <c r="B3983" s="9"/>
    </row>
    <row r="3984" spans="2:2" s="2" customFormat="1" x14ac:dyDescent="0.25">
      <c r="B3984" s="9"/>
    </row>
    <row r="3985" spans="2:2" s="2" customFormat="1" x14ac:dyDescent="0.25">
      <c r="B3985" s="9"/>
    </row>
    <row r="3986" spans="2:2" s="2" customFormat="1" x14ac:dyDescent="0.25">
      <c r="B3986" s="9"/>
    </row>
    <row r="3987" spans="2:2" s="2" customFormat="1" x14ac:dyDescent="0.25">
      <c r="B3987" s="9"/>
    </row>
    <row r="3988" spans="2:2" s="2" customFormat="1" x14ac:dyDescent="0.25">
      <c r="B3988" s="9"/>
    </row>
    <row r="3989" spans="2:2" s="2" customFormat="1" x14ac:dyDescent="0.25">
      <c r="B3989" s="9"/>
    </row>
    <row r="3990" spans="2:2" s="2" customFormat="1" x14ac:dyDescent="0.25">
      <c r="B3990" s="9"/>
    </row>
    <row r="3991" spans="2:2" s="2" customFormat="1" x14ac:dyDescent="0.25">
      <c r="B3991" s="9"/>
    </row>
    <row r="3992" spans="2:2" s="2" customFormat="1" x14ac:dyDescent="0.25">
      <c r="B3992" s="9"/>
    </row>
    <row r="3993" spans="2:2" s="2" customFormat="1" x14ac:dyDescent="0.25">
      <c r="B3993" s="9"/>
    </row>
    <row r="3994" spans="2:2" s="2" customFormat="1" x14ac:dyDescent="0.25">
      <c r="B3994" s="9"/>
    </row>
    <row r="3995" spans="2:2" s="2" customFormat="1" x14ac:dyDescent="0.25">
      <c r="B3995" s="9"/>
    </row>
    <row r="3996" spans="2:2" s="2" customFormat="1" x14ac:dyDescent="0.25">
      <c r="B3996" s="9"/>
    </row>
    <row r="3997" spans="2:2" s="2" customFormat="1" x14ac:dyDescent="0.25">
      <c r="B3997" s="9"/>
    </row>
    <row r="3998" spans="2:2" s="2" customFormat="1" x14ac:dyDescent="0.25">
      <c r="B3998" s="9"/>
    </row>
    <row r="3999" spans="2:2" s="2" customFormat="1" x14ac:dyDescent="0.25">
      <c r="B3999" s="9"/>
    </row>
    <row r="4000" spans="2:2" s="2" customFormat="1" x14ac:dyDescent="0.25">
      <c r="B4000" s="9"/>
    </row>
    <row r="4001" spans="2:2" s="2" customFormat="1" x14ac:dyDescent="0.25">
      <c r="B4001" s="9"/>
    </row>
    <row r="4002" spans="2:2" s="2" customFormat="1" x14ac:dyDescent="0.25">
      <c r="B4002" s="9"/>
    </row>
    <row r="4003" spans="2:2" s="2" customFormat="1" x14ac:dyDescent="0.25">
      <c r="B4003" s="9"/>
    </row>
    <row r="4004" spans="2:2" s="2" customFormat="1" x14ac:dyDescent="0.25">
      <c r="B4004" s="9"/>
    </row>
    <row r="4005" spans="2:2" s="2" customFormat="1" x14ac:dyDescent="0.25">
      <c r="B4005" s="9"/>
    </row>
    <row r="4006" spans="2:2" s="2" customFormat="1" x14ac:dyDescent="0.25">
      <c r="B4006" s="9"/>
    </row>
    <row r="4007" spans="2:2" s="2" customFormat="1" x14ac:dyDescent="0.25">
      <c r="B4007" s="9"/>
    </row>
    <row r="4008" spans="2:2" s="2" customFormat="1" x14ac:dyDescent="0.25">
      <c r="B4008" s="9"/>
    </row>
    <row r="4009" spans="2:2" s="2" customFormat="1" x14ac:dyDescent="0.25">
      <c r="B4009" s="9"/>
    </row>
    <row r="4010" spans="2:2" s="2" customFormat="1" x14ac:dyDescent="0.25">
      <c r="B4010" s="9"/>
    </row>
    <row r="4011" spans="2:2" s="2" customFormat="1" x14ac:dyDescent="0.25">
      <c r="B4011" s="9"/>
    </row>
    <row r="4012" spans="2:2" s="2" customFormat="1" x14ac:dyDescent="0.25">
      <c r="B4012" s="9"/>
    </row>
    <row r="4013" spans="2:2" s="2" customFormat="1" x14ac:dyDescent="0.25">
      <c r="B4013" s="9"/>
    </row>
    <row r="4014" spans="2:2" s="2" customFormat="1" x14ac:dyDescent="0.25">
      <c r="B4014" s="9"/>
    </row>
    <row r="4015" spans="2:2" s="2" customFormat="1" x14ac:dyDescent="0.25">
      <c r="B4015" s="9"/>
    </row>
    <row r="4016" spans="2:2" s="2" customFormat="1" x14ac:dyDescent="0.25">
      <c r="B4016" s="9"/>
    </row>
    <row r="4017" spans="2:2" s="2" customFormat="1" x14ac:dyDescent="0.25">
      <c r="B4017" s="9"/>
    </row>
    <row r="4018" spans="2:2" s="2" customFormat="1" x14ac:dyDescent="0.25">
      <c r="B4018" s="9"/>
    </row>
    <row r="4019" spans="2:2" s="2" customFormat="1" x14ac:dyDescent="0.25">
      <c r="B4019" s="9"/>
    </row>
    <row r="4020" spans="2:2" s="2" customFormat="1" x14ac:dyDescent="0.25">
      <c r="B4020" s="9"/>
    </row>
    <row r="4021" spans="2:2" s="2" customFormat="1" x14ac:dyDescent="0.25">
      <c r="B4021" s="9"/>
    </row>
    <row r="4022" spans="2:2" s="2" customFormat="1" x14ac:dyDescent="0.25">
      <c r="B4022" s="9"/>
    </row>
    <row r="4023" spans="2:2" s="2" customFormat="1" x14ac:dyDescent="0.25">
      <c r="B4023" s="9"/>
    </row>
    <row r="4024" spans="2:2" s="2" customFormat="1" x14ac:dyDescent="0.25">
      <c r="B4024" s="9"/>
    </row>
    <row r="4025" spans="2:2" s="2" customFormat="1" x14ac:dyDescent="0.25">
      <c r="B4025" s="9"/>
    </row>
    <row r="4026" spans="2:2" s="2" customFormat="1" x14ac:dyDescent="0.25">
      <c r="B4026" s="9"/>
    </row>
    <row r="4027" spans="2:2" s="2" customFormat="1" x14ac:dyDescent="0.25">
      <c r="B4027" s="9"/>
    </row>
    <row r="4028" spans="2:2" s="2" customFormat="1" x14ac:dyDescent="0.25">
      <c r="B4028" s="9"/>
    </row>
    <row r="4029" spans="2:2" s="2" customFormat="1" x14ac:dyDescent="0.25">
      <c r="B4029" s="9"/>
    </row>
    <row r="4030" spans="2:2" s="2" customFormat="1" x14ac:dyDescent="0.25">
      <c r="B4030" s="9"/>
    </row>
    <row r="4031" spans="2:2" s="2" customFormat="1" x14ac:dyDescent="0.25">
      <c r="B4031" s="9"/>
    </row>
    <row r="4032" spans="2:2" s="2" customFormat="1" x14ac:dyDescent="0.25">
      <c r="B4032" s="9"/>
    </row>
    <row r="4033" spans="2:2" s="2" customFormat="1" x14ac:dyDescent="0.25">
      <c r="B4033" s="9"/>
    </row>
    <row r="4034" spans="2:2" s="2" customFormat="1" x14ac:dyDescent="0.25">
      <c r="B4034" s="9"/>
    </row>
    <row r="4035" spans="2:2" s="2" customFormat="1" x14ac:dyDescent="0.25">
      <c r="B4035" s="9"/>
    </row>
    <row r="4036" spans="2:2" s="2" customFormat="1" x14ac:dyDescent="0.25">
      <c r="B4036" s="9"/>
    </row>
    <row r="4037" spans="2:2" s="2" customFormat="1" x14ac:dyDescent="0.25">
      <c r="B4037" s="9"/>
    </row>
    <row r="4038" spans="2:2" s="2" customFormat="1" x14ac:dyDescent="0.25">
      <c r="B4038" s="9"/>
    </row>
    <row r="4039" spans="2:2" s="2" customFormat="1" x14ac:dyDescent="0.25">
      <c r="B4039" s="9"/>
    </row>
    <row r="4040" spans="2:2" s="2" customFormat="1" x14ac:dyDescent="0.25">
      <c r="B4040" s="9"/>
    </row>
    <row r="4041" spans="2:2" s="2" customFormat="1" x14ac:dyDescent="0.25">
      <c r="B4041" s="9"/>
    </row>
    <row r="4042" spans="2:2" s="2" customFormat="1" x14ac:dyDescent="0.25">
      <c r="B4042" s="9"/>
    </row>
    <row r="4043" spans="2:2" s="2" customFormat="1" x14ac:dyDescent="0.25">
      <c r="B4043" s="9"/>
    </row>
    <row r="4044" spans="2:2" s="2" customFormat="1" x14ac:dyDescent="0.25">
      <c r="B4044" s="9"/>
    </row>
    <row r="4045" spans="2:2" s="2" customFormat="1" x14ac:dyDescent="0.25">
      <c r="B4045" s="9"/>
    </row>
    <row r="4046" spans="2:2" s="2" customFormat="1" x14ac:dyDescent="0.25">
      <c r="B4046" s="9"/>
    </row>
    <row r="4047" spans="2:2" s="2" customFormat="1" x14ac:dyDescent="0.25">
      <c r="B4047" s="9"/>
    </row>
    <row r="4048" spans="2:2" s="2" customFormat="1" x14ac:dyDescent="0.25">
      <c r="B4048" s="9"/>
    </row>
    <row r="4049" spans="2:2" s="2" customFormat="1" x14ac:dyDescent="0.25">
      <c r="B4049" s="9"/>
    </row>
    <row r="4050" spans="2:2" s="2" customFormat="1" x14ac:dyDescent="0.25">
      <c r="B4050" s="9"/>
    </row>
    <row r="4051" spans="2:2" s="2" customFormat="1" x14ac:dyDescent="0.25">
      <c r="B4051" s="9"/>
    </row>
    <row r="4052" spans="2:2" s="2" customFormat="1" x14ac:dyDescent="0.25">
      <c r="B4052" s="9"/>
    </row>
    <row r="4053" spans="2:2" s="2" customFormat="1" x14ac:dyDescent="0.25">
      <c r="B4053" s="9"/>
    </row>
    <row r="4054" spans="2:2" s="2" customFormat="1" x14ac:dyDescent="0.25">
      <c r="B4054" s="9"/>
    </row>
    <row r="4055" spans="2:2" s="2" customFormat="1" x14ac:dyDescent="0.25">
      <c r="B4055" s="9"/>
    </row>
    <row r="4056" spans="2:2" s="2" customFormat="1" x14ac:dyDescent="0.25">
      <c r="B4056" s="9"/>
    </row>
    <row r="4057" spans="2:2" s="2" customFormat="1" x14ac:dyDescent="0.25">
      <c r="B4057" s="9"/>
    </row>
    <row r="4058" spans="2:2" s="2" customFormat="1" x14ac:dyDescent="0.25">
      <c r="B4058" s="9"/>
    </row>
    <row r="4059" spans="2:2" s="2" customFormat="1" x14ac:dyDescent="0.25">
      <c r="B4059" s="9"/>
    </row>
    <row r="4060" spans="2:2" s="2" customFormat="1" x14ac:dyDescent="0.25">
      <c r="B4060" s="9"/>
    </row>
    <row r="4061" spans="2:2" s="2" customFormat="1" x14ac:dyDescent="0.25">
      <c r="B4061" s="9"/>
    </row>
    <row r="4062" spans="2:2" s="2" customFormat="1" x14ac:dyDescent="0.25">
      <c r="B4062" s="9"/>
    </row>
    <row r="4063" spans="2:2" s="2" customFormat="1" x14ac:dyDescent="0.25">
      <c r="B4063" s="9"/>
    </row>
    <row r="4064" spans="2:2" s="2" customFormat="1" x14ac:dyDescent="0.25">
      <c r="B4064" s="9"/>
    </row>
    <row r="4065" spans="2:2" s="2" customFormat="1" x14ac:dyDescent="0.25">
      <c r="B4065" s="9"/>
    </row>
    <row r="4066" spans="2:2" s="2" customFormat="1" x14ac:dyDescent="0.25">
      <c r="B4066" s="9"/>
    </row>
    <row r="4067" spans="2:2" s="2" customFormat="1" x14ac:dyDescent="0.25">
      <c r="B4067" s="9"/>
    </row>
    <row r="4068" spans="2:2" s="2" customFormat="1" x14ac:dyDescent="0.25">
      <c r="B4068" s="9"/>
    </row>
    <row r="4069" spans="2:2" s="2" customFormat="1" x14ac:dyDescent="0.25">
      <c r="B4069" s="9"/>
    </row>
    <row r="4070" spans="2:2" s="2" customFormat="1" x14ac:dyDescent="0.25">
      <c r="B4070" s="9"/>
    </row>
    <row r="4071" spans="2:2" s="2" customFormat="1" x14ac:dyDescent="0.25">
      <c r="B4071" s="9"/>
    </row>
    <row r="4072" spans="2:2" s="2" customFormat="1" x14ac:dyDescent="0.25">
      <c r="B4072" s="9"/>
    </row>
    <row r="4073" spans="2:2" s="2" customFormat="1" x14ac:dyDescent="0.25">
      <c r="B4073" s="9"/>
    </row>
    <row r="4074" spans="2:2" s="2" customFormat="1" x14ac:dyDescent="0.25">
      <c r="B4074" s="9"/>
    </row>
    <row r="4075" spans="2:2" s="2" customFormat="1" x14ac:dyDescent="0.25">
      <c r="B4075" s="9"/>
    </row>
    <row r="4076" spans="2:2" s="2" customFormat="1" x14ac:dyDescent="0.25">
      <c r="B4076" s="9"/>
    </row>
    <row r="4077" spans="2:2" s="2" customFormat="1" x14ac:dyDescent="0.25">
      <c r="B4077" s="9"/>
    </row>
    <row r="4078" spans="2:2" s="2" customFormat="1" x14ac:dyDescent="0.25">
      <c r="B4078" s="9"/>
    </row>
    <row r="4079" spans="2:2" s="2" customFormat="1" x14ac:dyDescent="0.25">
      <c r="B4079" s="9"/>
    </row>
    <row r="4080" spans="2:2" s="2" customFormat="1" x14ac:dyDescent="0.25">
      <c r="B4080" s="9"/>
    </row>
    <row r="4081" spans="2:2" s="2" customFormat="1" x14ac:dyDescent="0.25">
      <c r="B4081" s="9"/>
    </row>
    <row r="4082" spans="2:2" s="2" customFormat="1" x14ac:dyDescent="0.25">
      <c r="B4082" s="9"/>
    </row>
    <row r="4083" spans="2:2" s="2" customFormat="1" x14ac:dyDescent="0.25">
      <c r="B4083" s="9"/>
    </row>
    <row r="4084" spans="2:2" s="2" customFormat="1" x14ac:dyDescent="0.25">
      <c r="B4084" s="9"/>
    </row>
    <row r="4085" spans="2:2" s="2" customFormat="1" x14ac:dyDescent="0.25">
      <c r="B4085" s="9"/>
    </row>
    <row r="4086" spans="2:2" s="2" customFormat="1" x14ac:dyDescent="0.25">
      <c r="B4086" s="9"/>
    </row>
    <row r="4087" spans="2:2" s="2" customFormat="1" x14ac:dyDescent="0.25">
      <c r="B4087" s="9"/>
    </row>
    <row r="4088" spans="2:2" s="2" customFormat="1" x14ac:dyDescent="0.25">
      <c r="B4088" s="9"/>
    </row>
    <row r="4089" spans="2:2" s="2" customFormat="1" x14ac:dyDescent="0.25">
      <c r="B4089" s="9"/>
    </row>
    <row r="4090" spans="2:2" s="2" customFormat="1" x14ac:dyDescent="0.25">
      <c r="B4090" s="9"/>
    </row>
    <row r="4091" spans="2:2" s="2" customFormat="1" x14ac:dyDescent="0.25">
      <c r="B4091" s="9"/>
    </row>
    <row r="4092" spans="2:2" s="2" customFormat="1" x14ac:dyDescent="0.25">
      <c r="B4092" s="9"/>
    </row>
    <row r="4093" spans="2:2" s="2" customFormat="1" x14ac:dyDescent="0.25">
      <c r="B4093" s="9"/>
    </row>
    <row r="4094" spans="2:2" s="2" customFormat="1" x14ac:dyDescent="0.25">
      <c r="B4094" s="9"/>
    </row>
    <row r="4095" spans="2:2" s="2" customFormat="1" x14ac:dyDescent="0.25">
      <c r="B4095" s="9"/>
    </row>
    <row r="4096" spans="2:2" s="2" customFormat="1" x14ac:dyDescent="0.25">
      <c r="B4096" s="9"/>
    </row>
    <row r="4097" spans="2:2" s="2" customFormat="1" x14ac:dyDescent="0.25">
      <c r="B4097" s="9"/>
    </row>
    <row r="4098" spans="2:2" s="2" customFormat="1" x14ac:dyDescent="0.25">
      <c r="B4098" s="9"/>
    </row>
    <row r="4099" spans="2:2" s="2" customFormat="1" x14ac:dyDescent="0.25">
      <c r="B4099" s="9"/>
    </row>
    <row r="4100" spans="2:2" s="2" customFormat="1" x14ac:dyDescent="0.25">
      <c r="B4100" s="9"/>
    </row>
    <row r="4101" spans="2:2" s="2" customFormat="1" x14ac:dyDescent="0.25">
      <c r="B4101" s="9"/>
    </row>
    <row r="4102" spans="2:2" s="2" customFormat="1" x14ac:dyDescent="0.25">
      <c r="B4102" s="9"/>
    </row>
    <row r="4103" spans="2:2" s="2" customFormat="1" x14ac:dyDescent="0.25">
      <c r="B4103" s="9"/>
    </row>
    <row r="4104" spans="2:2" s="2" customFormat="1" x14ac:dyDescent="0.25">
      <c r="B4104" s="9"/>
    </row>
    <row r="4105" spans="2:2" s="2" customFormat="1" x14ac:dyDescent="0.25">
      <c r="B4105" s="9"/>
    </row>
    <row r="4106" spans="2:2" s="2" customFormat="1" x14ac:dyDescent="0.25">
      <c r="B4106" s="9"/>
    </row>
    <row r="4107" spans="2:2" s="2" customFormat="1" x14ac:dyDescent="0.25">
      <c r="B4107" s="9"/>
    </row>
    <row r="4108" spans="2:2" s="2" customFormat="1" x14ac:dyDescent="0.25">
      <c r="B4108" s="9"/>
    </row>
    <row r="4109" spans="2:2" s="2" customFormat="1" x14ac:dyDescent="0.25">
      <c r="B4109" s="9"/>
    </row>
    <row r="4110" spans="2:2" s="2" customFormat="1" x14ac:dyDescent="0.25">
      <c r="B4110" s="9"/>
    </row>
    <row r="4111" spans="2:2" s="2" customFormat="1" x14ac:dyDescent="0.25">
      <c r="B4111" s="9"/>
    </row>
    <row r="4112" spans="2:2" s="2" customFormat="1" x14ac:dyDescent="0.25">
      <c r="B4112" s="9"/>
    </row>
    <row r="4113" spans="2:2" s="2" customFormat="1" x14ac:dyDescent="0.25">
      <c r="B4113" s="9"/>
    </row>
    <row r="4114" spans="2:2" s="2" customFormat="1" x14ac:dyDescent="0.25">
      <c r="B4114" s="9"/>
    </row>
    <row r="4115" spans="2:2" s="2" customFormat="1" x14ac:dyDescent="0.25">
      <c r="B4115" s="9"/>
    </row>
    <row r="4116" spans="2:2" s="2" customFormat="1" x14ac:dyDescent="0.25">
      <c r="B4116" s="9"/>
    </row>
    <row r="4117" spans="2:2" s="2" customFormat="1" x14ac:dyDescent="0.25">
      <c r="B4117" s="9"/>
    </row>
    <row r="4118" spans="2:2" s="2" customFormat="1" x14ac:dyDescent="0.25">
      <c r="B4118" s="9"/>
    </row>
    <row r="4119" spans="2:2" s="2" customFormat="1" x14ac:dyDescent="0.25">
      <c r="B4119" s="9"/>
    </row>
    <row r="4120" spans="2:2" s="2" customFormat="1" x14ac:dyDescent="0.25">
      <c r="B4120" s="9"/>
    </row>
    <row r="4121" spans="2:2" s="2" customFormat="1" x14ac:dyDescent="0.25">
      <c r="B4121" s="9"/>
    </row>
    <row r="4122" spans="2:2" s="2" customFormat="1" x14ac:dyDescent="0.25">
      <c r="B4122" s="9"/>
    </row>
    <row r="4123" spans="2:2" s="2" customFormat="1" x14ac:dyDescent="0.25">
      <c r="B4123" s="9"/>
    </row>
    <row r="4124" spans="2:2" s="2" customFormat="1" x14ac:dyDescent="0.25">
      <c r="B4124" s="9"/>
    </row>
    <row r="4125" spans="2:2" s="2" customFormat="1" x14ac:dyDescent="0.25">
      <c r="B4125" s="9"/>
    </row>
    <row r="4126" spans="2:2" s="2" customFormat="1" x14ac:dyDescent="0.25">
      <c r="B4126" s="9"/>
    </row>
    <row r="4127" spans="2:2" s="2" customFormat="1" x14ac:dyDescent="0.25">
      <c r="B4127" s="9"/>
    </row>
    <row r="4128" spans="2:2" s="2" customFormat="1" x14ac:dyDescent="0.25">
      <c r="B4128" s="9"/>
    </row>
    <row r="4129" spans="2:2" s="2" customFormat="1" x14ac:dyDescent="0.25">
      <c r="B4129" s="9"/>
    </row>
    <row r="4130" spans="2:2" s="2" customFormat="1" x14ac:dyDescent="0.25">
      <c r="B4130" s="9"/>
    </row>
    <row r="4131" spans="2:2" s="2" customFormat="1" x14ac:dyDescent="0.25">
      <c r="B4131" s="9"/>
    </row>
    <row r="4132" spans="2:2" s="2" customFormat="1" x14ac:dyDescent="0.25">
      <c r="B4132" s="9"/>
    </row>
    <row r="4133" spans="2:2" s="2" customFormat="1" x14ac:dyDescent="0.25">
      <c r="B4133" s="9"/>
    </row>
    <row r="4134" spans="2:2" s="2" customFormat="1" x14ac:dyDescent="0.25">
      <c r="B4134" s="9"/>
    </row>
    <row r="4135" spans="2:2" s="2" customFormat="1" x14ac:dyDescent="0.25">
      <c r="B4135" s="9"/>
    </row>
    <row r="4136" spans="2:2" s="2" customFormat="1" x14ac:dyDescent="0.25">
      <c r="B4136" s="9"/>
    </row>
    <row r="4137" spans="2:2" s="2" customFormat="1" x14ac:dyDescent="0.25">
      <c r="B4137" s="9"/>
    </row>
    <row r="4138" spans="2:2" s="2" customFormat="1" x14ac:dyDescent="0.25">
      <c r="B4138" s="9"/>
    </row>
    <row r="4139" spans="2:2" s="2" customFormat="1" x14ac:dyDescent="0.25">
      <c r="B4139" s="9"/>
    </row>
    <row r="4140" spans="2:2" s="2" customFormat="1" x14ac:dyDescent="0.25">
      <c r="B4140" s="9"/>
    </row>
    <row r="4141" spans="2:2" s="2" customFormat="1" x14ac:dyDescent="0.25">
      <c r="B4141" s="9"/>
    </row>
    <row r="4142" spans="2:2" s="2" customFormat="1" x14ac:dyDescent="0.25">
      <c r="B4142" s="9"/>
    </row>
    <row r="4143" spans="2:2" s="2" customFormat="1" x14ac:dyDescent="0.25">
      <c r="B4143" s="9"/>
    </row>
    <row r="4144" spans="2:2" s="2" customFormat="1" x14ac:dyDescent="0.25">
      <c r="B4144" s="9"/>
    </row>
    <row r="4145" spans="2:2" s="2" customFormat="1" x14ac:dyDescent="0.25">
      <c r="B4145" s="9"/>
    </row>
    <row r="4146" spans="2:2" s="2" customFormat="1" x14ac:dyDescent="0.25">
      <c r="B4146" s="9"/>
    </row>
    <row r="4147" spans="2:2" s="2" customFormat="1" x14ac:dyDescent="0.25">
      <c r="B4147" s="9"/>
    </row>
    <row r="4148" spans="2:2" s="2" customFormat="1" x14ac:dyDescent="0.25">
      <c r="B4148" s="9"/>
    </row>
    <row r="4149" spans="2:2" s="2" customFormat="1" x14ac:dyDescent="0.25">
      <c r="B4149" s="9"/>
    </row>
    <row r="4150" spans="2:2" s="2" customFormat="1" x14ac:dyDescent="0.25">
      <c r="B4150" s="9"/>
    </row>
    <row r="4151" spans="2:2" s="2" customFormat="1" x14ac:dyDescent="0.25">
      <c r="B4151" s="9"/>
    </row>
    <row r="4152" spans="2:2" s="2" customFormat="1" x14ac:dyDescent="0.25">
      <c r="B4152" s="9"/>
    </row>
    <row r="4153" spans="2:2" s="2" customFormat="1" x14ac:dyDescent="0.25">
      <c r="B4153" s="9"/>
    </row>
    <row r="4154" spans="2:2" s="2" customFormat="1" x14ac:dyDescent="0.25">
      <c r="B4154" s="9"/>
    </row>
    <row r="4155" spans="2:2" s="2" customFormat="1" x14ac:dyDescent="0.25">
      <c r="B4155" s="9"/>
    </row>
    <row r="4156" spans="2:2" s="2" customFormat="1" x14ac:dyDescent="0.25">
      <c r="B4156" s="9"/>
    </row>
    <row r="4157" spans="2:2" s="2" customFormat="1" x14ac:dyDescent="0.25">
      <c r="B4157" s="9"/>
    </row>
    <row r="4158" spans="2:2" s="2" customFormat="1" x14ac:dyDescent="0.25">
      <c r="B4158" s="9"/>
    </row>
    <row r="4159" spans="2:2" s="2" customFormat="1" x14ac:dyDescent="0.25">
      <c r="B4159" s="9"/>
    </row>
    <row r="4160" spans="2:2" s="2" customFormat="1" x14ac:dyDescent="0.25">
      <c r="B4160" s="9"/>
    </row>
    <row r="4161" spans="2:2" s="2" customFormat="1" x14ac:dyDescent="0.25">
      <c r="B4161" s="9"/>
    </row>
    <row r="4162" spans="2:2" s="2" customFormat="1" x14ac:dyDescent="0.25">
      <c r="B4162" s="9"/>
    </row>
    <row r="4163" spans="2:2" s="2" customFormat="1" x14ac:dyDescent="0.25">
      <c r="B4163" s="9"/>
    </row>
    <row r="4164" spans="2:2" s="2" customFormat="1" x14ac:dyDescent="0.25">
      <c r="B4164" s="9"/>
    </row>
    <row r="4165" spans="2:2" s="2" customFormat="1" x14ac:dyDescent="0.25">
      <c r="B4165" s="9"/>
    </row>
    <row r="4166" spans="2:2" s="2" customFormat="1" x14ac:dyDescent="0.25">
      <c r="B4166" s="9"/>
    </row>
    <row r="4167" spans="2:2" s="2" customFormat="1" x14ac:dyDescent="0.25">
      <c r="B4167" s="9"/>
    </row>
    <row r="4168" spans="2:2" s="2" customFormat="1" x14ac:dyDescent="0.25">
      <c r="B4168" s="9"/>
    </row>
    <row r="4169" spans="2:2" s="2" customFormat="1" x14ac:dyDescent="0.25">
      <c r="B4169" s="9"/>
    </row>
    <row r="4170" spans="2:2" s="2" customFormat="1" x14ac:dyDescent="0.25">
      <c r="B4170" s="9"/>
    </row>
    <row r="4171" spans="2:2" s="2" customFormat="1" x14ac:dyDescent="0.25">
      <c r="B4171" s="9"/>
    </row>
    <row r="4172" spans="2:2" s="2" customFormat="1" x14ac:dyDescent="0.25">
      <c r="B4172" s="9"/>
    </row>
    <row r="4173" spans="2:2" s="2" customFormat="1" x14ac:dyDescent="0.25">
      <c r="B4173" s="9"/>
    </row>
    <row r="4174" spans="2:2" s="2" customFormat="1" x14ac:dyDescent="0.25">
      <c r="B4174" s="9"/>
    </row>
    <row r="4175" spans="2:2" s="2" customFormat="1" x14ac:dyDescent="0.25">
      <c r="B4175" s="9"/>
    </row>
    <row r="4176" spans="2:2" s="2" customFormat="1" x14ac:dyDescent="0.25">
      <c r="B4176" s="9"/>
    </row>
    <row r="4177" spans="2:2" s="2" customFormat="1" x14ac:dyDescent="0.25">
      <c r="B4177" s="9"/>
    </row>
    <row r="4178" spans="2:2" s="2" customFormat="1" x14ac:dyDescent="0.25">
      <c r="B4178" s="9"/>
    </row>
    <row r="4179" spans="2:2" s="2" customFormat="1" x14ac:dyDescent="0.25">
      <c r="B4179" s="9"/>
    </row>
    <row r="4180" spans="2:2" s="2" customFormat="1" x14ac:dyDescent="0.25">
      <c r="B4180" s="9"/>
    </row>
    <row r="4181" spans="2:2" s="2" customFormat="1" x14ac:dyDescent="0.25">
      <c r="B4181" s="9"/>
    </row>
    <row r="4182" spans="2:2" s="2" customFormat="1" x14ac:dyDescent="0.25">
      <c r="B4182" s="9"/>
    </row>
    <row r="4183" spans="2:2" s="2" customFormat="1" x14ac:dyDescent="0.25">
      <c r="B4183" s="9"/>
    </row>
    <row r="4184" spans="2:2" s="2" customFormat="1" x14ac:dyDescent="0.25">
      <c r="B4184" s="9"/>
    </row>
    <row r="4185" spans="2:2" s="2" customFormat="1" x14ac:dyDescent="0.25">
      <c r="B4185" s="9"/>
    </row>
    <row r="4186" spans="2:2" s="2" customFormat="1" x14ac:dyDescent="0.25">
      <c r="B4186" s="9"/>
    </row>
    <row r="4187" spans="2:2" s="2" customFormat="1" x14ac:dyDescent="0.25">
      <c r="B4187" s="9"/>
    </row>
    <row r="4188" spans="2:2" s="2" customFormat="1" x14ac:dyDescent="0.25">
      <c r="B4188" s="9"/>
    </row>
    <row r="4189" spans="2:2" s="2" customFormat="1" x14ac:dyDescent="0.25">
      <c r="B4189" s="9"/>
    </row>
    <row r="4190" spans="2:2" s="2" customFormat="1" x14ac:dyDescent="0.25">
      <c r="B4190" s="9"/>
    </row>
    <row r="4191" spans="2:2" s="2" customFormat="1" x14ac:dyDescent="0.25">
      <c r="B4191" s="9"/>
    </row>
    <row r="4192" spans="2:2" s="2" customFormat="1" x14ac:dyDescent="0.25">
      <c r="B4192" s="9"/>
    </row>
    <row r="4193" spans="2:2" s="2" customFormat="1" x14ac:dyDescent="0.25">
      <c r="B4193" s="9"/>
    </row>
    <row r="4194" spans="2:2" s="2" customFormat="1" x14ac:dyDescent="0.25">
      <c r="B4194" s="9"/>
    </row>
    <row r="4195" spans="2:2" s="2" customFormat="1" x14ac:dyDescent="0.25">
      <c r="B4195" s="9"/>
    </row>
    <row r="4196" spans="2:2" s="2" customFormat="1" x14ac:dyDescent="0.25">
      <c r="B4196" s="9"/>
    </row>
    <row r="4197" spans="2:2" s="2" customFormat="1" x14ac:dyDescent="0.25">
      <c r="B4197" s="9"/>
    </row>
    <row r="4198" spans="2:2" s="2" customFormat="1" x14ac:dyDescent="0.25">
      <c r="B4198" s="9"/>
    </row>
    <row r="4199" spans="2:2" s="2" customFormat="1" x14ac:dyDescent="0.25">
      <c r="B4199" s="9"/>
    </row>
    <row r="4200" spans="2:2" s="2" customFormat="1" x14ac:dyDescent="0.25">
      <c r="B4200" s="9"/>
    </row>
    <row r="4201" spans="2:2" s="2" customFormat="1" x14ac:dyDescent="0.25">
      <c r="B4201" s="9"/>
    </row>
    <row r="4202" spans="2:2" s="2" customFormat="1" x14ac:dyDescent="0.25">
      <c r="B4202" s="9"/>
    </row>
    <row r="4203" spans="2:2" s="2" customFormat="1" x14ac:dyDescent="0.25">
      <c r="B4203" s="9"/>
    </row>
    <row r="4204" spans="2:2" s="2" customFormat="1" x14ac:dyDescent="0.25">
      <c r="B4204" s="9"/>
    </row>
    <row r="4205" spans="2:2" s="2" customFormat="1" x14ac:dyDescent="0.25">
      <c r="B4205" s="9"/>
    </row>
    <row r="4206" spans="2:2" s="2" customFormat="1" x14ac:dyDescent="0.25">
      <c r="B4206" s="9"/>
    </row>
    <row r="4207" spans="2:2" s="2" customFormat="1" x14ac:dyDescent="0.25">
      <c r="B4207" s="9"/>
    </row>
    <row r="4208" spans="2:2" s="2" customFormat="1" x14ac:dyDescent="0.25">
      <c r="B4208" s="9"/>
    </row>
    <row r="4209" spans="2:2" s="2" customFormat="1" x14ac:dyDescent="0.25">
      <c r="B4209" s="9"/>
    </row>
    <row r="4210" spans="2:2" s="2" customFormat="1" x14ac:dyDescent="0.25">
      <c r="B4210" s="9"/>
    </row>
    <row r="4211" spans="2:2" s="2" customFormat="1" x14ac:dyDescent="0.25">
      <c r="B4211" s="9"/>
    </row>
    <row r="4212" spans="2:2" s="2" customFormat="1" x14ac:dyDescent="0.25">
      <c r="B4212" s="9"/>
    </row>
    <row r="4213" spans="2:2" s="2" customFormat="1" x14ac:dyDescent="0.25">
      <c r="B4213" s="9"/>
    </row>
    <row r="4214" spans="2:2" s="2" customFormat="1" x14ac:dyDescent="0.25">
      <c r="B4214" s="9"/>
    </row>
    <row r="4215" spans="2:2" s="2" customFormat="1" x14ac:dyDescent="0.25">
      <c r="B4215" s="9"/>
    </row>
    <row r="4216" spans="2:2" s="2" customFormat="1" x14ac:dyDescent="0.25">
      <c r="B4216" s="9"/>
    </row>
    <row r="4217" spans="2:2" s="2" customFormat="1" x14ac:dyDescent="0.25">
      <c r="B4217" s="9"/>
    </row>
    <row r="4218" spans="2:2" s="2" customFormat="1" x14ac:dyDescent="0.25">
      <c r="B4218" s="9"/>
    </row>
    <row r="4219" spans="2:2" s="2" customFormat="1" x14ac:dyDescent="0.25">
      <c r="B4219" s="9"/>
    </row>
    <row r="4220" spans="2:2" s="2" customFormat="1" x14ac:dyDescent="0.25">
      <c r="B4220" s="9"/>
    </row>
    <row r="4221" spans="2:2" s="2" customFormat="1" x14ac:dyDescent="0.25">
      <c r="B4221" s="9"/>
    </row>
    <row r="4222" spans="2:2" s="2" customFormat="1" x14ac:dyDescent="0.25">
      <c r="B4222" s="9"/>
    </row>
    <row r="4223" spans="2:2" s="2" customFormat="1" x14ac:dyDescent="0.25">
      <c r="B4223" s="9"/>
    </row>
    <row r="4224" spans="2:2" s="2" customFormat="1" x14ac:dyDescent="0.25">
      <c r="B4224" s="9"/>
    </row>
    <row r="4225" spans="2:2" s="2" customFormat="1" x14ac:dyDescent="0.25">
      <c r="B4225" s="9"/>
    </row>
    <row r="4226" spans="2:2" s="2" customFormat="1" x14ac:dyDescent="0.25">
      <c r="B4226" s="9"/>
    </row>
    <row r="4227" spans="2:2" s="2" customFormat="1" x14ac:dyDescent="0.25">
      <c r="B4227" s="9"/>
    </row>
    <row r="4228" spans="2:2" s="2" customFormat="1" x14ac:dyDescent="0.25">
      <c r="B4228" s="9"/>
    </row>
    <row r="4229" spans="2:2" s="2" customFormat="1" x14ac:dyDescent="0.25">
      <c r="B4229" s="9"/>
    </row>
    <row r="4230" spans="2:2" s="2" customFormat="1" x14ac:dyDescent="0.25">
      <c r="B4230" s="9"/>
    </row>
    <row r="4231" spans="2:2" s="2" customFormat="1" x14ac:dyDescent="0.25">
      <c r="B4231" s="9"/>
    </row>
    <row r="4232" spans="2:2" s="2" customFormat="1" x14ac:dyDescent="0.25">
      <c r="B4232" s="9"/>
    </row>
    <row r="4233" spans="2:2" s="2" customFormat="1" x14ac:dyDescent="0.25">
      <c r="B4233" s="9"/>
    </row>
    <row r="4234" spans="2:2" s="2" customFormat="1" x14ac:dyDescent="0.25">
      <c r="B4234" s="9"/>
    </row>
    <row r="4235" spans="2:2" s="2" customFormat="1" x14ac:dyDescent="0.25">
      <c r="B4235" s="9"/>
    </row>
    <row r="4236" spans="2:2" s="2" customFormat="1" x14ac:dyDescent="0.25">
      <c r="B4236" s="9"/>
    </row>
    <row r="4237" spans="2:2" s="2" customFormat="1" x14ac:dyDescent="0.25">
      <c r="B4237" s="9"/>
    </row>
    <row r="4238" spans="2:2" s="2" customFormat="1" x14ac:dyDescent="0.25">
      <c r="B4238" s="9"/>
    </row>
    <row r="4239" spans="2:2" s="2" customFormat="1" x14ac:dyDescent="0.25">
      <c r="B4239" s="9"/>
    </row>
    <row r="4240" spans="2:2" s="2" customFormat="1" x14ac:dyDescent="0.25">
      <c r="B4240" s="9"/>
    </row>
    <row r="4241" spans="2:2" s="2" customFormat="1" x14ac:dyDescent="0.25">
      <c r="B4241" s="9"/>
    </row>
    <row r="4242" spans="2:2" s="2" customFormat="1" x14ac:dyDescent="0.25">
      <c r="B4242" s="9"/>
    </row>
    <row r="4243" spans="2:2" s="2" customFormat="1" x14ac:dyDescent="0.25">
      <c r="B4243" s="9"/>
    </row>
    <row r="4244" spans="2:2" s="2" customFormat="1" x14ac:dyDescent="0.25">
      <c r="B4244" s="9"/>
    </row>
    <row r="4245" spans="2:2" s="2" customFormat="1" x14ac:dyDescent="0.25">
      <c r="B4245" s="9"/>
    </row>
    <row r="4246" spans="2:2" s="2" customFormat="1" x14ac:dyDescent="0.25">
      <c r="B4246" s="9"/>
    </row>
    <row r="4247" spans="2:2" s="2" customFormat="1" x14ac:dyDescent="0.25">
      <c r="B4247" s="9"/>
    </row>
    <row r="4248" spans="2:2" s="2" customFormat="1" x14ac:dyDescent="0.25">
      <c r="B4248" s="9"/>
    </row>
    <row r="4249" spans="2:2" s="2" customFormat="1" x14ac:dyDescent="0.25">
      <c r="B4249" s="9"/>
    </row>
    <row r="4250" spans="2:2" s="2" customFormat="1" x14ac:dyDescent="0.25">
      <c r="B4250" s="9"/>
    </row>
    <row r="4251" spans="2:2" s="2" customFormat="1" x14ac:dyDescent="0.25">
      <c r="B4251" s="9"/>
    </row>
    <row r="4252" spans="2:2" s="2" customFormat="1" x14ac:dyDescent="0.25">
      <c r="B4252" s="9"/>
    </row>
    <row r="4253" spans="2:2" s="2" customFormat="1" x14ac:dyDescent="0.25">
      <c r="B4253" s="9"/>
    </row>
    <row r="4254" spans="2:2" s="2" customFormat="1" x14ac:dyDescent="0.25">
      <c r="B4254" s="9"/>
    </row>
    <row r="4255" spans="2:2" s="2" customFormat="1" x14ac:dyDescent="0.25">
      <c r="B4255" s="9"/>
    </row>
    <row r="4256" spans="2:2" s="2" customFormat="1" x14ac:dyDescent="0.25">
      <c r="B4256" s="9"/>
    </row>
    <row r="4257" spans="2:2" s="2" customFormat="1" x14ac:dyDescent="0.25">
      <c r="B4257" s="9"/>
    </row>
    <row r="4258" spans="2:2" s="2" customFormat="1" x14ac:dyDescent="0.25">
      <c r="B4258" s="9"/>
    </row>
    <row r="4259" spans="2:2" s="2" customFormat="1" x14ac:dyDescent="0.25">
      <c r="B4259" s="9"/>
    </row>
    <row r="4260" spans="2:2" s="2" customFormat="1" x14ac:dyDescent="0.25">
      <c r="B4260" s="9"/>
    </row>
    <row r="4261" spans="2:2" s="2" customFormat="1" x14ac:dyDescent="0.25">
      <c r="B4261" s="9"/>
    </row>
    <row r="4262" spans="2:2" s="2" customFormat="1" x14ac:dyDescent="0.25">
      <c r="B4262" s="9"/>
    </row>
    <row r="4263" spans="2:2" s="2" customFormat="1" x14ac:dyDescent="0.25">
      <c r="B4263" s="9"/>
    </row>
    <row r="4264" spans="2:2" s="2" customFormat="1" x14ac:dyDescent="0.25">
      <c r="B4264" s="9"/>
    </row>
    <row r="4265" spans="2:2" s="2" customFormat="1" x14ac:dyDescent="0.25">
      <c r="B4265" s="9"/>
    </row>
    <row r="4266" spans="2:2" s="2" customFormat="1" x14ac:dyDescent="0.25">
      <c r="B4266" s="9"/>
    </row>
    <row r="4267" spans="2:2" s="2" customFormat="1" x14ac:dyDescent="0.25">
      <c r="B4267" s="9"/>
    </row>
    <row r="4268" spans="2:2" s="2" customFormat="1" x14ac:dyDescent="0.25">
      <c r="B4268" s="9"/>
    </row>
    <row r="4269" spans="2:2" s="2" customFormat="1" x14ac:dyDescent="0.25">
      <c r="B4269" s="9"/>
    </row>
    <row r="4270" spans="2:2" s="2" customFormat="1" x14ac:dyDescent="0.25">
      <c r="B4270" s="9"/>
    </row>
    <row r="4271" spans="2:2" s="2" customFormat="1" x14ac:dyDescent="0.25">
      <c r="B4271" s="9"/>
    </row>
    <row r="4272" spans="2:2" s="2" customFormat="1" x14ac:dyDescent="0.25">
      <c r="B4272" s="9"/>
    </row>
    <row r="4273" spans="2:2" s="2" customFormat="1" x14ac:dyDescent="0.25">
      <c r="B4273" s="9"/>
    </row>
    <row r="4274" spans="2:2" s="2" customFormat="1" x14ac:dyDescent="0.25">
      <c r="B4274" s="9"/>
    </row>
    <row r="4275" spans="2:2" s="2" customFormat="1" x14ac:dyDescent="0.25">
      <c r="B4275" s="9"/>
    </row>
    <row r="4276" spans="2:2" s="2" customFormat="1" x14ac:dyDescent="0.25">
      <c r="B4276" s="9"/>
    </row>
    <row r="4277" spans="2:2" s="2" customFormat="1" x14ac:dyDescent="0.25">
      <c r="B4277" s="9"/>
    </row>
    <row r="4278" spans="2:2" s="2" customFormat="1" x14ac:dyDescent="0.25">
      <c r="B4278" s="9"/>
    </row>
    <row r="4279" spans="2:2" s="2" customFormat="1" x14ac:dyDescent="0.25">
      <c r="B4279" s="9"/>
    </row>
    <row r="4280" spans="2:2" s="2" customFormat="1" x14ac:dyDescent="0.25">
      <c r="B4280" s="9"/>
    </row>
    <row r="4281" spans="2:2" s="2" customFormat="1" x14ac:dyDescent="0.25">
      <c r="B4281" s="9"/>
    </row>
    <row r="4282" spans="2:2" s="2" customFormat="1" x14ac:dyDescent="0.25">
      <c r="B4282" s="9"/>
    </row>
    <row r="4283" spans="2:2" s="2" customFormat="1" x14ac:dyDescent="0.25">
      <c r="B4283" s="9"/>
    </row>
    <row r="4284" spans="2:2" s="2" customFormat="1" x14ac:dyDescent="0.25">
      <c r="B4284" s="9"/>
    </row>
    <row r="4285" spans="2:2" s="2" customFormat="1" x14ac:dyDescent="0.25">
      <c r="B4285" s="9"/>
    </row>
    <row r="4286" spans="2:2" s="2" customFormat="1" x14ac:dyDescent="0.25">
      <c r="B4286" s="9"/>
    </row>
    <row r="4287" spans="2:2" s="2" customFormat="1" x14ac:dyDescent="0.25">
      <c r="B4287" s="9"/>
    </row>
    <row r="4288" spans="2:2" s="2" customFormat="1" x14ac:dyDescent="0.25">
      <c r="B4288" s="9"/>
    </row>
    <row r="4289" spans="2:2" s="2" customFormat="1" x14ac:dyDescent="0.25">
      <c r="B4289" s="9"/>
    </row>
    <row r="4290" spans="2:2" s="2" customFormat="1" x14ac:dyDescent="0.25">
      <c r="B4290" s="9"/>
    </row>
    <row r="4291" spans="2:2" s="2" customFormat="1" x14ac:dyDescent="0.25">
      <c r="B4291" s="9"/>
    </row>
    <row r="4292" spans="2:2" s="2" customFormat="1" x14ac:dyDescent="0.25">
      <c r="B4292" s="9"/>
    </row>
    <row r="4293" spans="2:2" s="2" customFormat="1" x14ac:dyDescent="0.25">
      <c r="B4293" s="9"/>
    </row>
    <row r="4294" spans="2:2" s="2" customFormat="1" x14ac:dyDescent="0.25">
      <c r="B4294" s="9"/>
    </row>
    <row r="4295" spans="2:2" s="2" customFormat="1" x14ac:dyDescent="0.25">
      <c r="B4295" s="9"/>
    </row>
    <row r="4296" spans="2:2" s="2" customFormat="1" x14ac:dyDescent="0.25">
      <c r="B4296" s="9"/>
    </row>
    <row r="4297" spans="2:2" s="2" customFormat="1" x14ac:dyDescent="0.25">
      <c r="B4297" s="9"/>
    </row>
    <row r="4298" spans="2:2" s="2" customFormat="1" x14ac:dyDescent="0.25">
      <c r="B4298" s="9"/>
    </row>
    <row r="4299" spans="2:2" s="2" customFormat="1" x14ac:dyDescent="0.25">
      <c r="B4299" s="9"/>
    </row>
    <row r="4300" spans="2:2" s="2" customFormat="1" x14ac:dyDescent="0.25">
      <c r="B4300" s="9"/>
    </row>
    <row r="4301" spans="2:2" s="2" customFormat="1" x14ac:dyDescent="0.25">
      <c r="B4301" s="9"/>
    </row>
    <row r="4302" spans="2:2" s="2" customFormat="1" x14ac:dyDescent="0.25">
      <c r="B4302" s="9"/>
    </row>
    <row r="4303" spans="2:2" s="2" customFormat="1" x14ac:dyDescent="0.25">
      <c r="B4303" s="9"/>
    </row>
    <row r="4304" spans="2:2" s="2" customFormat="1" x14ac:dyDescent="0.25">
      <c r="B4304" s="9"/>
    </row>
    <row r="4305" spans="2:2" s="2" customFormat="1" x14ac:dyDescent="0.25">
      <c r="B4305" s="9"/>
    </row>
    <row r="4306" spans="2:2" s="2" customFormat="1" x14ac:dyDescent="0.25">
      <c r="B4306" s="9"/>
    </row>
    <row r="4307" spans="2:2" s="2" customFormat="1" x14ac:dyDescent="0.25">
      <c r="B4307" s="9"/>
    </row>
    <row r="4308" spans="2:2" s="2" customFormat="1" x14ac:dyDescent="0.25">
      <c r="B4308" s="9"/>
    </row>
    <row r="4309" spans="2:2" s="2" customFormat="1" x14ac:dyDescent="0.25">
      <c r="B4309" s="9"/>
    </row>
    <row r="4310" spans="2:2" s="2" customFormat="1" x14ac:dyDescent="0.25">
      <c r="B4310" s="9"/>
    </row>
    <row r="4311" spans="2:2" s="2" customFormat="1" x14ac:dyDescent="0.25">
      <c r="B4311" s="9"/>
    </row>
    <row r="4312" spans="2:2" s="2" customFormat="1" x14ac:dyDescent="0.25">
      <c r="B4312" s="9"/>
    </row>
    <row r="4313" spans="2:2" s="2" customFormat="1" x14ac:dyDescent="0.25">
      <c r="B4313" s="9"/>
    </row>
    <row r="4314" spans="2:2" s="2" customFormat="1" x14ac:dyDescent="0.25">
      <c r="B4314" s="9"/>
    </row>
    <row r="4315" spans="2:2" s="2" customFormat="1" x14ac:dyDescent="0.25">
      <c r="B4315" s="9"/>
    </row>
    <row r="4316" spans="2:2" s="2" customFormat="1" x14ac:dyDescent="0.25">
      <c r="B4316" s="9"/>
    </row>
    <row r="4317" spans="2:2" s="2" customFormat="1" x14ac:dyDescent="0.25">
      <c r="B4317" s="9"/>
    </row>
    <row r="4318" spans="2:2" s="2" customFormat="1" x14ac:dyDescent="0.25">
      <c r="B4318" s="9"/>
    </row>
    <row r="4319" spans="2:2" s="2" customFormat="1" x14ac:dyDescent="0.25">
      <c r="B4319" s="9"/>
    </row>
    <row r="4320" spans="2:2" s="2" customFormat="1" x14ac:dyDescent="0.25">
      <c r="B4320" s="9"/>
    </row>
    <row r="4321" spans="2:2" s="2" customFormat="1" x14ac:dyDescent="0.25">
      <c r="B4321" s="9"/>
    </row>
    <row r="4322" spans="2:2" s="2" customFormat="1" x14ac:dyDescent="0.25">
      <c r="B4322" s="9"/>
    </row>
    <row r="4323" spans="2:2" s="2" customFormat="1" x14ac:dyDescent="0.25">
      <c r="B4323" s="9"/>
    </row>
    <row r="4324" spans="2:2" s="2" customFormat="1" x14ac:dyDescent="0.25">
      <c r="B4324" s="9"/>
    </row>
    <row r="4325" spans="2:2" s="2" customFormat="1" x14ac:dyDescent="0.25">
      <c r="B4325" s="9"/>
    </row>
    <row r="4326" spans="2:2" s="2" customFormat="1" x14ac:dyDescent="0.25">
      <c r="B4326" s="9"/>
    </row>
    <row r="4327" spans="2:2" s="2" customFormat="1" x14ac:dyDescent="0.25">
      <c r="B4327" s="9"/>
    </row>
    <row r="4328" spans="2:2" s="2" customFormat="1" x14ac:dyDescent="0.25">
      <c r="B4328" s="9"/>
    </row>
    <row r="4329" spans="2:2" s="2" customFormat="1" x14ac:dyDescent="0.25">
      <c r="B4329" s="9"/>
    </row>
    <row r="4330" spans="2:2" s="2" customFormat="1" x14ac:dyDescent="0.25">
      <c r="B4330" s="9"/>
    </row>
    <row r="4331" spans="2:2" s="2" customFormat="1" x14ac:dyDescent="0.25">
      <c r="B4331" s="9"/>
    </row>
    <row r="4332" spans="2:2" s="2" customFormat="1" x14ac:dyDescent="0.25">
      <c r="B4332" s="9"/>
    </row>
    <row r="4333" spans="2:2" s="2" customFormat="1" x14ac:dyDescent="0.25">
      <c r="B4333" s="9"/>
    </row>
    <row r="4334" spans="2:2" s="2" customFormat="1" x14ac:dyDescent="0.25">
      <c r="B4334" s="9"/>
    </row>
    <row r="4335" spans="2:2" s="2" customFormat="1" x14ac:dyDescent="0.25">
      <c r="B4335" s="9"/>
    </row>
    <row r="4336" spans="2:2" s="2" customFormat="1" x14ac:dyDescent="0.25">
      <c r="B4336" s="9"/>
    </row>
    <row r="4337" spans="2:2" s="2" customFormat="1" x14ac:dyDescent="0.25">
      <c r="B4337" s="9"/>
    </row>
    <row r="4338" spans="2:2" s="2" customFormat="1" x14ac:dyDescent="0.25">
      <c r="B4338" s="9"/>
    </row>
    <row r="4339" spans="2:2" s="2" customFormat="1" x14ac:dyDescent="0.25">
      <c r="B4339" s="9"/>
    </row>
    <row r="4340" spans="2:2" s="2" customFormat="1" x14ac:dyDescent="0.25">
      <c r="B4340" s="9"/>
    </row>
    <row r="4341" spans="2:2" s="2" customFormat="1" x14ac:dyDescent="0.25">
      <c r="B4341" s="9"/>
    </row>
    <row r="4342" spans="2:2" s="2" customFormat="1" x14ac:dyDescent="0.25">
      <c r="B4342" s="9"/>
    </row>
    <row r="4343" spans="2:2" s="2" customFormat="1" x14ac:dyDescent="0.25">
      <c r="B4343" s="9"/>
    </row>
    <row r="4344" spans="2:2" s="2" customFormat="1" x14ac:dyDescent="0.25">
      <c r="B4344" s="9"/>
    </row>
    <row r="4345" spans="2:2" s="2" customFormat="1" x14ac:dyDescent="0.25">
      <c r="B4345" s="9"/>
    </row>
    <row r="4346" spans="2:2" s="2" customFormat="1" x14ac:dyDescent="0.25">
      <c r="B4346" s="9"/>
    </row>
    <row r="4347" spans="2:2" s="2" customFormat="1" x14ac:dyDescent="0.25">
      <c r="B4347" s="9"/>
    </row>
    <row r="4348" spans="2:2" s="2" customFormat="1" x14ac:dyDescent="0.25">
      <c r="B4348" s="9"/>
    </row>
    <row r="4349" spans="2:2" s="2" customFormat="1" x14ac:dyDescent="0.25">
      <c r="B4349" s="9"/>
    </row>
    <row r="4350" spans="2:2" s="2" customFormat="1" x14ac:dyDescent="0.25">
      <c r="B4350" s="9"/>
    </row>
    <row r="4351" spans="2:2" s="2" customFormat="1" x14ac:dyDescent="0.25">
      <c r="B4351" s="9"/>
    </row>
    <row r="4352" spans="2:2" s="2" customFormat="1" x14ac:dyDescent="0.25">
      <c r="B4352" s="9"/>
    </row>
    <row r="4353" spans="2:2" s="2" customFormat="1" x14ac:dyDescent="0.25">
      <c r="B4353" s="9"/>
    </row>
    <row r="4354" spans="2:2" s="2" customFormat="1" x14ac:dyDescent="0.25">
      <c r="B4354" s="9"/>
    </row>
    <row r="4355" spans="2:2" s="2" customFormat="1" x14ac:dyDescent="0.25">
      <c r="B4355" s="9"/>
    </row>
    <row r="4356" spans="2:2" s="2" customFormat="1" x14ac:dyDescent="0.25">
      <c r="B4356" s="9"/>
    </row>
    <row r="4357" spans="2:2" s="2" customFormat="1" x14ac:dyDescent="0.25">
      <c r="B4357" s="9"/>
    </row>
    <row r="4358" spans="2:2" s="2" customFormat="1" x14ac:dyDescent="0.25">
      <c r="B4358" s="9"/>
    </row>
    <row r="4359" spans="2:2" s="2" customFormat="1" x14ac:dyDescent="0.25">
      <c r="B4359" s="9"/>
    </row>
    <row r="4360" spans="2:2" s="2" customFormat="1" x14ac:dyDescent="0.25">
      <c r="B4360" s="9"/>
    </row>
    <row r="4361" spans="2:2" s="2" customFormat="1" x14ac:dyDescent="0.25">
      <c r="B4361" s="9"/>
    </row>
    <row r="4362" spans="2:2" s="2" customFormat="1" x14ac:dyDescent="0.25">
      <c r="B4362" s="9"/>
    </row>
    <row r="4363" spans="2:2" s="2" customFormat="1" x14ac:dyDescent="0.25">
      <c r="B4363" s="9"/>
    </row>
    <row r="4364" spans="2:2" s="2" customFormat="1" x14ac:dyDescent="0.25">
      <c r="B4364" s="9"/>
    </row>
    <row r="4365" spans="2:2" s="2" customFormat="1" x14ac:dyDescent="0.25">
      <c r="B4365" s="9"/>
    </row>
    <row r="4366" spans="2:2" s="2" customFormat="1" x14ac:dyDescent="0.25">
      <c r="B4366" s="9"/>
    </row>
    <row r="4367" spans="2:2" s="2" customFormat="1" x14ac:dyDescent="0.25">
      <c r="B4367" s="9"/>
    </row>
    <row r="4368" spans="2:2" s="2" customFormat="1" x14ac:dyDescent="0.25">
      <c r="B4368" s="9"/>
    </row>
    <row r="4369" spans="2:2" s="2" customFormat="1" x14ac:dyDescent="0.25">
      <c r="B4369" s="9"/>
    </row>
    <row r="4370" spans="2:2" s="2" customFormat="1" x14ac:dyDescent="0.25">
      <c r="B4370" s="9"/>
    </row>
    <row r="4371" spans="2:2" s="2" customFormat="1" x14ac:dyDescent="0.25">
      <c r="B4371" s="9"/>
    </row>
    <row r="4372" spans="2:2" s="2" customFormat="1" x14ac:dyDescent="0.25">
      <c r="B4372" s="9"/>
    </row>
    <row r="4373" spans="2:2" s="2" customFormat="1" x14ac:dyDescent="0.25">
      <c r="B4373" s="9"/>
    </row>
    <row r="4374" spans="2:2" s="2" customFormat="1" x14ac:dyDescent="0.25">
      <c r="B4374" s="9"/>
    </row>
    <row r="4375" spans="2:2" s="2" customFormat="1" x14ac:dyDescent="0.25">
      <c r="B4375" s="9"/>
    </row>
    <row r="4376" spans="2:2" s="2" customFormat="1" x14ac:dyDescent="0.25">
      <c r="B4376" s="9"/>
    </row>
    <row r="4377" spans="2:2" s="2" customFormat="1" x14ac:dyDescent="0.25">
      <c r="B4377" s="9"/>
    </row>
    <row r="4378" spans="2:2" s="2" customFormat="1" x14ac:dyDescent="0.25">
      <c r="B4378" s="9"/>
    </row>
    <row r="4379" spans="2:2" s="2" customFormat="1" x14ac:dyDescent="0.25">
      <c r="B4379" s="9"/>
    </row>
    <row r="4380" spans="2:2" s="2" customFormat="1" x14ac:dyDescent="0.25">
      <c r="B4380" s="9"/>
    </row>
    <row r="4381" spans="2:2" s="2" customFormat="1" x14ac:dyDescent="0.25">
      <c r="B4381" s="9"/>
    </row>
    <row r="4382" spans="2:2" s="2" customFormat="1" x14ac:dyDescent="0.25">
      <c r="B4382" s="9"/>
    </row>
    <row r="4383" spans="2:2" s="2" customFormat="1" x14ac:dyDescent="0.25">
      <c r="B4383" s="9"/>
    </row>
    <row r="4384" spans="2:2" s="2" customFormat="1" x14ac:dyDescent="0.25">
      <c r="B4384" s="9"/>
    </row>
    <row r="4385" spans="2:2" s="2" customFormat="1" x14ac:dyDescent="0.25">
      <c r="B4385" s="9"/>
    </row>
    <row r="4386" spans="2:2" s="2" customFormat="1" x14ac:dyDescent="0.25">
      <c r="B4386" s="9"/>
    </row>
    <row r="4387" spans="2:2" s="2" customFormat="1" x14ac:dyDescent="0.25">
      <c r="B4387" s="9"/>
    </row>
    <row r="4388" spans="2:2" s="2" customFormat="1" x14ac:dyDescent="0.25">
      <c r="B4388" s="9"/>
    </row>
    <row r="4389" spans="2:2" s="2" customFormat="1" x14ac:dyDescent="0.25">
      <c r="B4389" s="9"/>
    </row>
    <row r="4390" spans="2:2" s="2" customFormat="1" x14ac:dyDescent="0.25">
      <c r="B4390" s="9"/>
    </row>
    <row r="4391" spans="2:2" s="2" customFormat="1" x14ac:dyDescent="0.25">
      <c r="B4391" s="9"/>
    </row>
    <row r="4392" spans="2:2" s="2" customFormat="1" x14ac:dyDescent="0.25">
      <c r="B4392" s="9"/>
    </row>
    <row r="4393" spans="2:2" s="2" customFormat="1" x14ac:dyDescent="0.25">
      <c r="B4393" s="9"/>
    </row>
    <row r="4394" spans="2:2" s="2" customFormat="1" x14ac:dyDescent="0.25">
      <c r="B4394" s="9"/>
    </row>
    <row r="4395" spans="2:2" s="2" customFormat="1" x14ac:dyDescent="0.25">
      <c r="B4395" s="9"/>
    </row>
    <row r="4396" spans="2:2" s="2" customFormat="1" x14ac:dyDescent="0.25">
      <c r="B4396" s="9"/>
    </row>
    <row r="4397" spans="2:2" s="2" customFormat="1" x14ac:dyDescent="0.25">
      <c r="B4397" s="9"/>
    </row>
    <row r="4398" spans="2:2" s="2" customFormat="1" x14ac:dyDescent="0.25">
      <c r="B4398" s="9"/>
    </row>
    <row r="4399" spans="2:2" s="2" customFormat="1" x14ac:dyDescent="0.25">
      <c r="B4399" s="9"/>
    </row>
    <row r="4400" spans="2:2" s="2" customFormat="1" x14ac:dyDescent="0.25">
      <c r="B4400" s="9"/>
    </row>
    <row r="4401" spans="2:2" s="2" customFormat="1" x14ac:dyDescent="0.25">
      <c r="B4401" s="9"/>
    </row>
    <row r="4402" spans="2:2" s="2" customFormat="1" x14ac:dyDescent="0.25">
      <c r="B4402" s="9"/>
    </row>
    <row r="4403" spans="2:2" s="2" customFormat="1" x14ac:dyDescent="0.25">
      <c r="B4403" s="9"/>
    </row>
    <row r="4404" spans="2:2" s="2" customFormat="1" x14ac:dyDescent="0.25">
      <c r="B4404" s="9"/>
    </row>
    <row r="4405" spans="2:2" s="2" customFormat="1" x14ac:dyDescent="0.25">
      <c r="B4405" s="9"/>
    </row>
    <row r="4406" spans="2:2" s="2" customFormat="1" x14ac:dyDescent="0.25">
      <c r="B4406" s="9"/>
    </row>
    <row r="4407" spans="2:2" s="2" customFormat="1" x14ac:dyDescent="0.25">
      <c r="B4407" s="9"/>
    </row>
    <row r="4408" spans="2:2" s="2" customFormat="1" x14ac:dyDescent="0.25">
      <c r="B4408" s="9"/>
    </row>
    <row r="4409" spans="2:2" s="2" customFormat="1" x14ac:dyDescent="0.25">
      <c r="B4409" s="9"/>
    </row>
    <row r="4410" spans="2:2" s="2" customFormat="1" x14ac:dyDescent="0.25">
      <c r="B4410" s="9"/>
    </row>
    <row r="4411" spans="2:2" s="2" customFormat="1" x14ac:dyDescent="0.25">
      <c r="B4411" s="9"/>
    </row>
    <row r="4412" spans="2:2" s="2" customFormat="1" x14ac:dyDescent="0.25">
      <c r="B4412" s="9"/>
    </row>
    <row r="4413" spans="2:2" s="2" customFormat="1" x14ac:dyDescent="0.25">
      <c r="B4413" s="9"/>
    </row>
    <row r="4414" spans="2:2" s="2" customFormat="1" x14ac:dyDescent="0.25">
      <c r="B4414" s="9"/>
    </row>
    <row r="4415" spans="2:2" s="2" customFormat="1" x14ac:dyDescent="0.25">
      <c r="B4415" s="9"/>
    </row>
    <row r="4416" spans="2:2" s="2" customFormat="1" x14ac:dyDescent="0.25">
      <c r="B4416" s="9"/>
    </row>
    <row r="4417" spans="2:2" s="2" customFormat="1" x14ac:dyDescent="0.25">
      <c r="B4417" s="9"/>
    </row>
    <row r="4418" spans="2:2" s="2" customFormat="1" x14ac:dyDescent="0.25">
      <c r="B4418" s="9"/>
    </row>
    <row r="4419" spans="2:2" s="2" customFormat="1" x14ac:dyDescent="0.25">
      <c r="B4419" s="9"/>
    </row>
    <row r="4420" spans="2:2" s="2" customFormat="1" x14ac:dyDescent="0.25">
      <c r="B4420" s="9"/>
    </row>
    <row r="4421" spans="2:2" s="2" customFormat="1" x14ac:dyDescent="0.25">
      <c r="B4421" s="9"/>
    </row>
    <row r="4422" spans="2:2" s="2" customFormat="1" x14ac:dyDescent="0.25">
      <c r="B4422" s="9"/>
    </row>
    <row r="4423" spans="2:2" s="2" customFormat="1" x14ac:dyDescent="0.25">
      <c r="B4423" s="9"/>
    </row>
    <row r="4424" spans="2:2" s="2" customFormat="1" x14ac:dyDescent="0.25">
      <c r="B4424" s="9"/>
    </row>
    <row r="4425" spans="2:2" s="2" customFormat="1" x14ac:dyDescent="0.25">
      <c r="B4425" s="9"/>
    </row>
    <row r="4426" spans="2:2" s="2" customFormat="1" x14ac:dyDescent="0.25">
      <c r="B4426" s="9"/>
    </row>
    <row r="4427" spans="2:2" s="2" customFormat="1" x14ac:dyDescent="0.25">
      <c r="B4427" s="9"/>
    </row>
    <row r="4428" spans="2:2" s="2" customFormat="1" x14ac:dyDescent="0.25">
      <c r="B4428" s="9"/>
    </row>
    <row r="4429" spans="2:2" s="2" customFormat="1" x14ac:dyDescent="0.25">
      <c r="B4429" s="9"/>
    </row>
    <row r="4430" spans="2:2" s="2" customFormat="1" x14ac:dyDescent="0.25">
      <c r="B4430" s="9"/>
    </row>
    <row r="4431" spans="2:2" s="2" customFormat="1" x14ac:dyDescent="0.25">
      <c r="B4431" s="9"/>
    </row>
    <row r="4432" spans="2:2" s="2" customFormat="1" x14ac:dyDescent="0.25">
      <c r="B4432" s="9"/>
    </row>
    <row r="4433" spans="2:2" s="2" customFormat="1" x14ac:dyDescent="0.25">
      <c r="B4433" s="9"/>
    </row>
    <row r="4434" spans="2:2" s="2" customFormat="1" x14ac:dyDescent="0.25">
      <c r="B4434" s="9"/>
    </row>
    <row r="4435" spans="2:2" s="2" customFormat="1" x14ac:dyDescent="0.25">
      <c r="B4435" s="9"/>
    </row>
    <row r="4436" spans="2:2" s="2" customFormat="1" x14ac:dyDescent="0.25">
      <c r="B4436" s="9"/>
    </row>
    <row r="4437" spans="2:2" s="2" customFormat="1" x14ac:dyDescent="0.25">
      <c r="B4437" s="9"/>
    </row>
    <row r="4438" spans="2:2" s="2" customFormat="1" x14ac:dyDescent="0.25">
      <c r="B4438" s="9"/>
    </row>
    <row r="4439" spans="2:2" s="2" customFormat="1" x14ac:dyDescent="0.25">
      <c r="B4439" s="9"/>
    </row>
    <row r="4440" spans="2:2" s="2" customFormat="1" x14ac:dyDescent="0.25">
      <c r="B4440" s="9"/>
    </row>
    <row r="4441" spans="2:2" s="2" customFormat="1" x14ac:dyDescent="0.25">
      <c r="B4441" s="9"/>
    </row>
    <row r="4442" spans="2:2" s="2" customFormat="1" x14ac:dyDescent="0.25">
      <c r="B4442" s="9"/>
    </row>
    <row r="4443" spans="2:2" s="2" customFormat="1" x14ac:dyDescent="0.25">
      <c r="B4443" s="9"/>
    </row>
    <row r="4444" spans="2:2" s="2" customFormat="1" x14ac:dyDescent="0.25">
      <c r="B4444" s="9"/>
    </row>
    <row r="4445" spans="2:2" s="2" customFormat="1" x14ac:dyDescent="0.25">
      <c r="B4445" s="9"/>
    </row>
    <row r="4446" spans="2:2" s="2" customFormat="1" x14ac:dyDescent="0.25">
      <c r="B4446" s="9"/>
    </row>
    <row r="4447" spans="2:2" s="2" customFormat="1" x14ac:dyDescent="0.25">
      <c r="B4447" s="9"/>
    </row>
    <row r="4448" spans="2:2" s="2" customFormat="1" x14ac:dyDescent="0.25">
      <c r="B4448" s="9"/>
    </row>
    <row r="4449" spans="2:2" s="2" customFormat="1" x14ac:dyDescent="0.25">
      <c r="B4449" s="9"/>
    </row>
    <row r="4450" spans="2:2" s="2" customFormat="1" x14ac:dyDescent="0.25">
      <c r="B4450" s="9"/>
    </row>
    <row r="4451" spans="2:2" s="2" customFormat="1" x14ac:dyDescent="0.25">
      <c r="B4451" s="9"/>
    </row>
    <row r="4452" spans="2:2" s="2" customFormat="1" x14ac:dyDescent="0.25">
      <c r="B4452" s="9"/>
    </row>
    <row r="4453" spans="2:2" s="2" customFormat="1" x14ac:dyDescent="0.25">
      <c r="B4453" s="9"/>
    </row>
    <row r="4454" spans="2:2" s="2" customFormat="1" x14ac:dyDescent="0.25">
      <c r="B4454" s="9"/>
    </row>
    <row r="4455" spans="2:2" s="2" customFormat="1" x14ac:dyDescent="0.25">
      <c r="B4455" s="9"/>
    </row>
    <row r="4456" spans="2:2" s="2" customFormat="1" x14ac:dyDescent="0.25">
      <c r="B4456" s="9"/>
    </row>
    <row r="4457" spans="2:2" s="2" customFormat="1" x14ac:dyDescent="0.25">
      <c r="B4457" s="9"/>
    </row>
    <row r="4458" spans="2:2" s="2" customFormat="1" x14ac:dyDescent="0.25">
      <c r="B4458" s="9"/>
    </row>
    <row r="4459" spans="2:2" s="2" customFormat="1" x14ac:dyDescent="0.25">
      <c r="B4459" s="9"/>
    </row>
    <row r="4460" spans="2:2" s="2" customFormat="1" x14ac:dyDescent="0.25">
      <c r="B4460" s="9"/>
    </row>
    <row r="4461" spans="2:2" s="2" customFormat="1" x14ac:dyDescent="0.25">
      <c r="B4461" s="9"/>
    </row>
    <row r="4462" spans="2:2" s="2" customFormat="1" x14ac:dyDescent="0.25">
      <c r="B4462" s="9"/>
    </row>
    <row r="4463" spans="2:2" s="2" customFormat="1" x14ac:dyDescent="0.25">
      <c r="B4463" s="9"/>
    </row>
    <row r="4464" spans="2:2" s="2" customFormat="1" x14ac:dyDescent="0.25">
      <c r="B4464" s="9"/>
    </row>
    <row r="4465" spans="2:2" s="2" customFormat="1" x14ac:dyDescent="0.25">
      <c r="B4465" s="9"/>
    </row>
    <row r="4466" spans="2:2" s="2" customFormat="1" x14ac:dyDescent="0.25">
      <c r="B4466" s="9"/>
    </row>
    <row r="4467" spans="2:2" s="2" customFormat="1" x14ac:dyDescent="0.25">
      <c r="B4467" s="9"/>
    </row>
    <row r="4468" spans="2:2" s="2" customFormat="1" x14ac:dyDescent="0.25">
      <c r="B4468" s="9"/>
    </row>
    <row r="4469" spans="2:2" s="2" customFormat="1" x14ac:dyDescent="0.25">
      <c r="B4469" s="9"/>
    </row>
    <row r="4470" spans="2:2" s="2" customFormat="1" x14ac:dyDescent="0.25">
      <c r="B4470" s="9"/>
    </row>
    <row r="4471" spans="2:2" s="2" customFormat="1" x14ac:dyDescent="0.25">
      <c r="B4471" s="9"/>
    </row>
    <row r="4472" spans="2:2" s="2" customFormat="1" x14ac:dyDescent="0.25">
      <c r="B4472" s="9"/>
    </row>
    <row r="4473" spans="2:2" s="2" customFormat="1" x14ac:dyDescent="0.25">
      <c r="B4473" s="9"/>
    </row>
    <row r="4474" spans="2:2" s="2" customFormat="1" x14ac:dyDescent="0.25">
      <c r="B4474" s="9"/>
    </row>
    <row r="4475" spans="2:2" s="2" customFormat="1" x14ac:dyDescent="0.25">
      <c r="B4475" s="9"/>
    </row>
    <row r="4476" spans="2:2" s="2" customFormat="1" x14ac:dyDescent="0.25">
      <c r="B4476" s="9"/>
    </row>
    <row r="4477" spans="2:2" s="2" customFormat="1" x14ac:dyDescent="0.25">
      <c r="B4477" s="9"/>
    </row>
    <row r="4478" spans="2:2" s="2" customFormat="1" x14ac:dyDescent="0.25">
      <c r="B4478" s="9"/>
    </row>
    <row r="4479" spans="2:2" s="2" customFormat="1" x14ac:dyDescent="0.25">
      <c r="B4479" s="9"/>
    </row>
    <row r="4480" spans="2:2" s="2" customFormat="1" x14ac:dyDescent="0.25">
      <c r="B4480" s="9"/>
    </row>
    <row r="4481" spans="2:2" s="2" customFormat="1" x14ac:dyDescent="0.25">
      <c r="B4481" s="9"/>
    </row>
    <row r="4482" spans="2:2" s="2" customFormat="1" x14ac:dyDescent="0.25">
      <c r="B4482" s="9"/>
    </row>
    <row r="4483" spans="2:2" s="2" customFormat="1" x14ac:dyDescent="0.25">
      <c r="B4483" s="9"/>
    </row>
    <row r="4484" spans="2:2" s="2" customFormat="1" x14ac:dyDescent="0.25">
      <c r="B4484" s="9"/>
    </row>
    <row r="4485" spans="2:2" s="2" customFormat="1" x14ac:dyDescent="0.25">
      <c r="B4485" s="9"/>
    </row>
    <row r="4486" spans="2:2" s="2" customFormat="1" x14ac:dyDescent="0.25">
      <c r="B4486" s="9"/>
    </row>
    <row r="4487" spans="2:2" s="2" customFormat="1" x14ac:dyDescent="0.25">
      <c r="B4487" s="9"/>
    </row>
    <row r="4488" spans="2:2" s="2" customFormat="1" x14ac:dyDescent="0.25">
      <c r="B4488" s="9"/>
    </row>
    <row r="4489" spans="2:2" s="2" customFormat="1" x14ac:dyDescent="0.25">
      <c r="B4489" s="9"/>
    </row>
    <row r="4490" spans="2:2" s="2" customFormat="1" x14ac:dyDescent="0.25">
      <c r="B4490" s="9"/>
    </row>
    <row r="4491" spans="2:2" s="2" customFormat="1" x14ac:dyDescent="0.25">
      <c r="B4491" s="9"/>
    </row>
    <row r="4492" spans="2:2" s="2" customFormat="1" x14ac:dyDescent="0.25">
      <c r="B4492" s="9"/>
    </row>
    <row r="4493" spans="2:2" s="2" customFormat="1" x14ac:dyDescent="0.25">
      <c r="B4493" s="9"/>
    </row>
    <row r="4494" spans="2:2" s="2" customFormat="1" x14ac:dyDescent="0.25">
      <c r="B4494" s="9"/>
    </row>
    <row r="4495" spans="2:2" s="2" customFormat="1" x14ac:dyDescent="0.25">
      <c r="B4495" s="9"/>
    </row>
    <row r="4496" spans="2:2" s="2" customFormat="1" x14ac:dyDescent="0.25">
      <c r="B4496" s="9"/>
    </row>
    <row r="4497" spans="2:2" s="2" customFormat="1" x14ac:dyDescent="0.25">
      <c r="B4497" s="9"/>
    </row>
    <row r="4498" spans="2:2" s="2" customFormat="1" x14ac:dyDescent="0.25">
      <c r="B4498" s="9"/>
    </row>
    <row r="4499" spans="2:2" s="2" customFormat="1" x14ac:dyDescent="0.25">
      <c r="B4499" s="9"/>
    </row>
    <row r="4500" spans="2:2" s="2" customFormat="1" x14ac:dyDescent="0.25">
      <c r="B4500" s="9"/>
    </row>
    <row r="4501" spans="2:2" s="2" customFormat="1" x14ac:dyDescent="0.25">
      <c r="B4501" s="9"/>
    </row>
    <row r="4502" spans="2:2" s="2" customFormat="1" x14ac:dyDescent="0.25">
      <c r="B4502" s="9"/>
    </row>
    <row r="4503" spans="2:2" s="2" customFormat="1" x14ac:dyDescent="0.25">
      <c r="B4503" s="9"/>
    </row>
    <row r="4504" spans="2:2" s="2" customFormat="1" x14ac:dyDescent="0.25">
      <c r="B4504" s="9"/>
    </row>
    <row r="4505" spans="2:2" s="2" customFormat="1" x14ac:dyDescent="0.25">
      <c r="B4505" s="9"/>
    </row>
    <row r="4506" spans="2:2" s="2" customFormat="1" x14ac:dyDescent="0.25">
      <c r="B4506" s="9"/>
    </row>
    <row r="4507" spans="2:2" s="2" customFormat="1" x14ac:dyDescent="0.25">
      <c r="B4507" s="9"/>
    </row>
    <row r="4508" spans="2:2" s="2" customFormat="1" x14ac:dyDescent="0.25">
      <c r="B4508" s="9"/>
    </row>
    <row r="4509" spans="2:2" s="2" customFormat="1" x14ac:dyDescent="0.25">
      <c r="B4509" s="9"/>
    </row>
    <row r="4510" spans="2:2" s="2" customFormat="1" x14ac:dyDescent="0.25">
      <c r="B4510" s="9"/>
    </row>
    <row r="4511" spans="2:2" s="2" customFormat="1" x14ac:dyDescent="0.25">
      <c r="B4511" s="9"/>
    </row>
    <row r="4512" spans="2:2" s="2" customFormat="1" x14ac:dyDescent="0.25">
      <c r="B4512" s="9"/>
    </row>
    <row r="4513" spans="2:2" s="2" customFormat="1" x14ac:dyDescent="0.25">
      <c r="B4513" s="9"/>
    </row>
    <row r="4514" spans="2:2" s="2" customFormat="1" x14ac:dyDescent="0.25">
      <c r="B4514" s="9"/>
    </row>
    <row r="4515" spans="2:2" s="2" customFormat="1" x14ac:dyDescent="0.25">
      <c r="B4515" s="9"/>
    </row>
    <row r="4516" spans="2:2" s="2" customFormat="1" x14ac:dyDescent="0.25">
      <c r="B4516" s="9"/>
    </row>
    <row r="4517" spans="2:2" s="2" customFormat="1" x14ac:dyDescent="0.25">
      <c r="B4517" s="9"/>
    </row>
    <row r="4518" spans="2:2" s="2" customFormat="1" x14ac:dyDescent="0.25">
      <c r="B4518" s="9"/>
    </row>
    <row r="4519" spans="2:2" s="2" customFormat="1" x14ac:dyDescent="0.25">
      <c r="B4519" s="9"/>
    </row>
    <row r="4520" spans="2:2" s="2" customFormat="1" x14ac:dyDescent="0.25">
      <c r="B4520" s="9"/>
    </row>
    <row r="4521" spans="2:2" s="2" customFormat="1" x14ac:dyDescent="0.25">
      <c r="B4521" s="9"/>
    </row>
    <row r="4522" spans="2:2" s="2" customFormat="1" x14ac:dyDescent="0.25">
      <c r="B4522" s="9"/>
    </row>
    <row r="4523" spans="2:2" s="2" customFormat="1" x14ac:dyDescent="0.25">
      <c r="B4523" s="9"/>
    </row>
    <row r="4524" spans="2:2" s="2" customFormat="1" x14ac:dyDescent="0.25">
      <c r="B4524" s="9"/>
    </row>
    <row r="4525" spans="2:2" s="2" customFormat="1" x14ac:dyDescent="0.25">
      <c r="B4525" s="9"/>
    </row>
    <row r="4526" spans="2:2" s="2" customFormat="1" x14ac:dyDescent="0.25">
      <c r="B4526" s="9"/>
    </row>
    <row r="4527" spans="2:2" s="2" customFormat="1" x14ac:dyDescent="0.25">
      <c r="B4527" s="9"/>
    </row>
    <row r="4528" spans="2:2" s="2" customFormat="1" x14ac:dyDescent="0.25">
      <c r="B4528" s="9"/>
    </row>
    <row r="4529" spans="2:2" s="2" customFormat="1" x14ac:dyDescent="0.25">
      <c r="B4529" s="9"/>
    </row>
    <row r="4530" spans="2:2" s="2" customFormat="1" x14ac:dyDescent="0.25">
      <c r="B4530" s="9"/>
    </row>
    <row r="4531" spans="2:2" s="2" customFormat="1" x14ac:dyDescent="0.25">
      <c r="B4531" s="9"/>
    </row>
    <row r="4532" spans="2:2" s="2" customFormat="1" x14ac:dyDescent="0.25">
      <c r="B4532" s="9"/>
    </row>
    <row r="4533" spans="2:2" s="2" customFormat="1" x14ac:dyDescent="0.25">
      <c r="B4533" s="9"/>
    </row>
    <row r="4534" spans="2:2" s="2" customFormat="1" x14ac:dyDescent="0.25">
      <c r="B4534" s="9"/>
    </row>
    <row r="4535" spans="2:2" s="2" customFormat="1" x14ac:dyDescent="0.25">
      <c r="B4535" s="9"/>
    </row>
    <row r="4536" spans="2:2" s="2" customFormat="1" x14ac:dyDescent="0.25">
      <c r="B4536" s="9"/>
    </row>
    <row r="4537" spans="2:2" s="2" customFormat="1" x14ac:dyDescent="0.25">
      <c r="B4537" s="9"/>
    </row>
    <row r="4538" spans="2:2" s="2" customFormat="1" x14ac:dyDescent="0.25">
      <c r="B4538" s="9"/>
    </row>
    <row r="4539" spans="2:2" s="2" customFormat="1" x14ac:dyDescent="0.25">
      <c r="B4539" s="9"/>
    </row>
    <row r="4540" spans="2:2" s="2" customFormat="1" x14ac:dyDescent="0.25">
      <c r="B4540" s="9"/>
    </row>
    <row r="4541" spans="2:2" s="2" customFormat="1" x14ac:dyDescent="0.25">
      <c r="B4541" s="9"/>
    </row>
    <row r="4542" spans="2:2" s="2" customFormat="1" x14ac:dyDescent="0.25">
      <c r="B4542" s="9"/>
    </row>
    <row r="4543" spans="2:2" s="2" customFormat="1" x14ac:dyDescent="0.25">
      <c r="B4543" s="9"/>
    </row>
    <row r="4544" spans="2:2" s="2" customFormat="1" x14ac:dyDescent="0.25">
      <c r="B4544" s="9"/>
    </row>
    <row r="4545" spans="2:2" s="2" customFormat="1" x14ac:dyDescent="0.25">
      <c r="B4545" s="9"/>
    </row>
    <row r="4546" spans="2:2" s="2" customFormat="1" x14ac:dyDescent="0.25">
      <c r="B4546" s="9"/>
    </row>
    <row r="4547" spans="2:2" s="2" customFormat="1" x14ac:dyDescent="0.25">
      <c r="B4547" s="9"/>
    </row>
    <row r="4548" spans="2:2" s="2" customFormat="1" x14ac:dyDescent="0.25">
      <c r="B4548" s="9"/>
    </row>
    <row r="4549" spans="2:2" s="2" customFormat="1" x14ac:dyDescent="0.25">
      <c r="B4549" s="9"/>
    </row>
    <row r="4550" spans="2:2" s="2" customFormat="1" x14ac:dyDescent="0.25">
      <c r="B4550" s="9"/>
    </row>
    <row r="4551" spans="2:2" s="2" customFormat="1" x14ac:dyDescent="0.25">
      <c r="B4551" s="9"/>
    </row>
    <row r="4552" spans="2:2" s="2" customFormat="1" x14ac:dyDescent="0.25">
      <c r="B4552" s="9"/>
    </row>
    <row r="4553" spans="2:2" s="2" customFormat="1" x14ac:dyDescent="0.25">
      <c r="B4553" s="9"/>
    </row>
    <row r="4554" spans="2:2" s="2" customFormat="1" x14ac:dyDescent="0.25">
      <c r="B4554" s="9"/>
    </row>
    <row r="4555" spans="2:2" s="2" customFormat="1" x14ac:dyDescent="0.25">
      <c r="B4555" s="9"/>
    </row>
    <row r="4556" spans="2:2" s="2" customFormat="1" x14ac:dyDescent="0.25">
      <c r="B4556" s="9"/>
    </row>
    <row r="4557" spans="2:2" s="2" customFormat="1" x14ac:dyDescent="0.25">
      <c r="B4557" s="9"/>
    </row>
    <row r="4558" spans="2:2" s="2" customFormat="1" x14ac:dyDescent="0.25">
      <c r="B4558" s="9"/>
    </row>
    <row r="4559" spans="2:2" s="2" customFormat="1" x14ac:dyDescent="0.25">
      <c r="B4559" s="9"/>
    </row>
    <row r="4560" spans="2:2" s="2" customFormat="1" x14ac:dyDescent="0.25">
      <c r="B4560" s="9"/>
    </row>
    <row r="4561" spans="2:2" s="2" customFormat="1" x14ac:dyDescent="0.25">
      <c r="B4561" s="9"/>
    </row>
    <row r="4562" spans="2:2" s="2" customFormat="1" x14ac:dyDescent="0.25">
      <c r="B4562" s="9"/>
    </row>
    <row r="4563" spans="2:2" s="2" customFormat="1" x14ac:dyDescent="0.25">
      <c r="B4563" s="9"/>
    </row>
    <row r="4564" spans="2:2" s="2" customFormat="1" x14ac:dyDescent="0.25">
      <c r="B4564" s="9"/>
    </row>
    <row r="4565" spans="2:2" s="2" customFormat="1" x14ac:dyDescent="0.25">
      <c r="B4565" s="9"/>
    </row>
    <row r="4566" spans="2:2" s="2" customFormat="1" x14ac:dyDescent="0.25">
      <c r="B4566" s="9"/>
    </row>
    <row r="4567" spans="2:2" s="2" customFormat="1" x14ac:dyDescent="0.25">
      <c r="B4567" s="9"/>
    </row>
    <row r="4568" spans="2:2" s="2" customFormat="1" x14ac:dyDescent="0.25">
      <c r="B4568" s="9"/>
    </row>
    <row r="4569" spans="2:2" s="2" customFormat="1" x14ac:dyDescent="0.25">
      <c r="B4569" s="9"/>
    </row>
    <row r="4570" spans="2:2" s="2" customFormat="1" x14ac:dyDescent="0.25">
      <c r="B4570" s="9"/>
    </row>
    <row r="4571" spans="2:2" s="2" customFormat="1" x14ac:dyDescent="0.25">
      <c r="B4571" s="9"/>
    </row>
    <row r="4572" spans="2:2" s="2" customFormat="1" x14ac:dyDescent="0.25">
      <c r="B4572" s="9"/>
    </row>
    <row r="4573" spans="2:2" s="2" customFormat="1" x14ac:dyDescent="0.25">
      <c r="B4573" s="9"/>
    </row>
    <row r="4574" spans="2:2" s="2" customFormat="1" x14ac:dyDescent="0.25">
      <c r="B4574" s="9"/>
    </row>
    <row r="4575" spans="2:2" s="2" customFormat="1" x14ac:dyDescent="0.25">
      <c r="B4575" s="9"/>
    </row>
    <row r="4576" spans="2:2" s="2" customFormat="1" x14ac:dyDescent="0.25">
      <c r="B4576" s="9"/>
    </row>
    <row r="4577" spans="2:2" s="2" customFormat="1" x14ac:dyDescent="0.25">
      <c r="B4577" s="9"/>
    </row>
    <row r="4578" spans="2:2" s="2" customFormat="1" x14ac:dyDescent="0.25">
      <c r="B4578" s="9"/>
    </row>
    <row r="4579" spans="2:2" s="2" customFormat="1" x14ac:dyDescent="0.25">
      <c r="B4579" s="9"/>
    </row>
    <row r="4580" spans="2:2" s="2" customFormat="1" x14ac:dyDescent="0.25">
      <c r="B4580" s="9"/>
    </row>
    <row r="4581" spans="2:2" s="2" customFormat="1" x14ac:dyDescent="0.25">
      <c r="B4581" s="9"/>
    </row>
    <row r="4582" spans="2:2" s="2" customFormat="1" x14ac:dyDescent="0.25">
      <c r="B4582" s="9"/>
    </row>
    <row r="4583" spans="2:2" s="2" customFormat="1" x14ac:dyDescent="0.25">
      <c r="B4583" s="9"/>
    </row>
    <row r="4584" spans="2:2" s="2" customFormat="1" x14ac:dyDescent="0.25">
      <c r="B4584" s="9"/>
    </row>
    <row r="4585" spans="2:2" s="2" customFormat="1" x14ac:dyDescent="0.25">
      <c r="B4585" s="9"/>
    </row>
    <row r="4586" spans="2:2" s="2" customFormat="1" x14ac:dyDescent="0.25">
      <c r="B4586" s="9"/>
    </row>
    <row r="4587" spans="2:2" s="2" customFormat="1" x14ac:dyDescent="0.25">
      <c r="B4587" s="9"/>
    </row>
    <row r="4588" spans="2:2" s="2" customFormat="1" x14ac:dyDescent="0.25">
      <c r="B4588" s="9"/>
    </row>
    <row r="4589" spans="2:2" s="2" customFormat="1" x14ac:dyDescent="0.25">
      <c r="B4589" s="9"/>
    </row>
    <row r="4590" spans="2:2" s="2" customFormat="1" x14ac:dyDescent="0.25">
      <c r="B4590" s="9"/>
    </row>
    <row r="4591" spans="2:2" s="2" customFormat="1" x14ac:dyDescent="0.25">
      <c r="B4591" s="9"/>
    </row>
    <row r="4592" spans="2:2" s="2" customFormat="1" x14ac:dyDescent="0.25">
      <c r="B4592" s="9"/>
    </row>
    <row r="4593" spans="2:2" s="2" customFormat="1" x14ac:dyDescent="0.25">
      <c r="B4593" s="9"/>
    </row>
    <row r="4594" spans="2:2" s="2" customFormat="1" x14ac:dyDescent="0.25">
      <c r="B4594" s="9"/>
    </row>
    <row r="4595" spans="2:2" s="2" customFormat="1" x14ac:dyDescent="0.25">
      <c r="B4595" s="9"/>
    </row>
    <row r="4596" spans="2:2" s="2" customFormat="1" x14ac:dyDescent="0.25">
      <c r="B4596" s="9"/>
    </row>
    <row r="4597" spans="2:2" s="2" customFormat="1" x14ac:dyDescent="0.25">
      <c r="B4597" s="9"/>
    </row>
    <row r="4598" spans="2:2" s="2" customFormat="1" x14ac:dyDescent="0.25">
      <c r="B4598" s="9"/>
    </row>
    <row r="4599" spans="2:2" s="2" customFormat="1" x14ac:dyDescent="0.25">
      <c r="B4599" s="9"/>
    </row>
    <row r="4600" spans="2:2" s="2" customFormat="1" x14ac:dyDescent="0.25">
      <c r="B4600" s="9"/>
    </row>
    <row r="4601" spans="2:2" s="2" customFormat="1" x14ac:dyDescent="0.25">
      <c r="B4601" s="9"/>
    </row>
    <row r="4602" spans="2:2" s="2" customFormat="1" x14ac:dyDescent="0.25">
      <c r="B4602" s="9"/>
    </row>
    <row r="4603" spans="2:2" s="2" customFormat="1" x14ac:dyDescent="0.25">
      <c r="B4603" s="9"/>
    </row>
    <row r="4604" spans="2:2" s="2" customFormat="1" x14ac:dyDescent="0.25">
      <c r="B4604" s="9"/>
    </row>
    <row r="4605" spans="2:2" s="2" customFormat="1" x14ac:dyDescent="0.25">
      <c r="B4605" s="9"/>
    </row>
    <row r="4606" spans="2:2" s="2" customFormat="1" x14ac:dyDescent="0.25">
      <c r="B4606" s="9"/>
    </row>
    <row r="4607" spans="2:2" s="2" customFormat="1" x14ac:dyDescent="0.25">
      <c r="B4607" s="9"/>
    </row>
    <row r="4608" spans="2:2" s="2" customFormat="1" x14ac:dyDescent="0.25">
      <c r="B4608" s="9"/>
    </row>
    <row r="4609" spans="2:2" s="2" customFormat="1" x14ac:dyDescent="0.25">
      <c r="B4609" s="9"/>
    </row>
    <row r="4610" spans="2:2" s="2" customFormat="1" x14ac:dyDescent="0.25">
      <c r="B4610" s="9"/>
    </row>
    <row r="4611" spans="2:2" s="2" customFormat="1" x14ac:dyDescent="0.25">
      <c r="B4611" s="9"/>
    </row>
    <row r="4612" spans="2:2" s="2" customFormat="1" x14ac:dyDescent="0.25">
      <c r="B4612" s="9"/>
    </row>
    <row r="4613" spans="2:2" s="2" customFormat="1" x14ac:dyDescent="0.25">
      <c r="B4613" s="9"/>
    </row>
    <row r="4614" spans="2:2" s="2" customFormat="1" x14ac:dyDescent="0.25">
      <c r="B4614" s="9"/>
    </row>
    <row r="4615" spans="2:2" s="2" customFormat="1" x14ac:dyDescent="0.25">
      <c r="B4615" s="9"/>
    </row>
    <row r="4616" spans="2:2" s="2" customFormat="1" x14ac:dyDescent="0.25">
      <c r="B4616" s="9"/>
    </row>
    <row r="4617" spans="2:2" s="2" customFormat="1" x14ac:dyDescent="0.25">
      <c r="B4617" s="9"/>
    </row>
    <row r="4618" spans="2:2" s="2" customFormat="1" x14ac:dyDescent="0.25">
      <c r="B4618" s="9"/>
    </row>
    <row r="4619" spans="2:2" s="2" customFormat="1" x14ac:dyDescent="0.25">
      <c r="B4619" s="9"/>
    </row>
    <row r="4620" spans="2:2" s="2" customFormat="1" x14ac:dyDescent="0.25">
      <c r="B4620" s="9"/>
    </row>
    <row r="4621" spans="2:2" s="2" customFormat="1" x14ac:dyDescent="0.25">
      <c r="B4621" s="9"/>
    </row>
    <row r="4622" spans="2:2" s="2" customFormat="1" x14ac:dyDescent="0.25">
      <c r="B4622" s="9"/>
    </row>
    <row r="4623" spans="2:2" s="2" customFormat="1" x14ac:dyDescent="0.25">
      <c r="B4623" s="9"/>
    </row>
    <row r="4624" spans="2:2" s="2" customFormat="1" x14ac:dyDescent="0.25">
      <c r="B4624" s="9"/>
    </row>
    <row r="4625" spans="2:2" s="2" customFormat="1" x14ac:dyDescent="0.25">
      <c r="B4625" s="9"/>
    </row>
    <row r="4626" spans="2:2" s="2" customFormat="1" x14ac:dyDescent="0.25">
      <c r="B4626" s="9"/>
    </row>
    <row r="4627" spans="2:2" s="2" customFormat="1" x14ac:dyDescent="0.25">
      <c r="B4627" s="9"/>
    </row>
    <row r="4628" spans="2:2" s="2" customFormat="1" x14ac:dyDescent="0.25">
      <c r="B4628" s="9"/>
    </row>
    <row r="4629" spans="2:2" s="2" customFormat="1" x14ac:dyDescent="0.25">
      <c r="B4629" s="9"/>
    </row>
    <row r="4630" spans="2:2" s="2" customFormat="1" x14ac:dyDescent="0.25">
      <c r="B4630" s="9"/>
    </row>
    <row r="4631" spans="2:2" s="2" customFormat="1" x14ac:dyDescent="0.25">
      <c r="B4631" s="9"/>
    </row>
    <row r="4632" spans="2:2" s="2" customFormat="1" x14ac:dyDescent="0.25">
      <c r="B4632" s="9"/>
    </row>
    <row r="4633" spans="2:2" s="2" customFormat="1" x14ac:dyDescent="0.25">
      <c r="B4633" s="9"/>
    </row>
    <row r="4634" spans="2:2" s="2" customFormat="1" x14ac:dyDescent="0.25">
      <c r="B4634" s="9"/>
    </row>
    <row r="4635" spans="2:2" s="2" customFormat="1" x14ac:dyDescent="0.25">
      <c r="B4635" s="9"/>
    </row>
    <row r="4636" spans="2:2" s="2" customFormat="1" x14ac:dyDescent="0.25">
      <c r="B4636" s="9"/>
    </row>
    <row r="4637" spans="2:2" s="2" customFormat="1" x14ac:dyDescent="0.25">
      <c r="B4637" s="9"/>
    </row>
  </sheetData>
  <sortState ref="B16:C57">
    <sortCondition descending="1" ref="C16:C57"/>
  </sortState>
  <pageMargins left="0.7" right="0.7" top="0.75" bottom="0.75" header="0.3" footer="0.3"/>
  <pageSetup paperSize="8" scale="74" orientation="portrait" r:id="rId1"/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Technical Skills Weighting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Jive_VersionGuid" pid="2">
    <vt:lpwstr>25c407ce4b5b49c5b71b93554d4af0ef</vt:lpwstr>
  </property>
  <property fmtid="{D5CDD505-2E9C-101B-9397-08002B2CF9AE}" name="Offisync_UniqueId" pid="3">
    <vt:lpwstr>17099</vt:lpwstr>
  </property>
  <property fmtid="{D5CDD505-2E9C-101B-9397-08002B2CF9AE}" name="Offisync_ServerID" pid="4">
    <vt:lpwstr>e27731ac-4864-42ba-abe8-c3360c3b602a</vt:lpwstr>
  </property>
  <property fmtid="{D5CDD505-2E9C-101B-9397-08002B2CF9AE}" name="Offisync_ProviderInitializationData" pid="5">
    <vt:lpwstr>https://innovation.orange.com</vt:lpwstr>
  </property>
  <property fmtid="{D5CDD505-2E9C-101B-9397-08002B2CF9AE}" name="Offisync_UpdateToken" pid="6">
    <vt:lpwstr>1</vt:lpwstr>
  </property>
  <property fmtid="{D5CDD505-2E9C-101B-9397-08002B2CF9AE}" name="Jive_LatestUserAccountName" pid="7">
    <vt:lpwstr>bduvivier.ext</vt:lpwstr>
  </property>
</Properties>
</file>