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vmlDrawing9.vml" ContentType="application/vnd.openxmlformats-officedocument.vmlDrawing"/>
  <Override PartName="/xl/drawings/vmlDrawing5.vml" ContentType="application/vnd.openxmlformats-officedocument.vmlDrawing"/>
  <Override PartName="/xl/drawings/drawing4.xml" ContentType="application/vnd.openxmlformats-officedocument.drawing+xml"/>
  <Override PartName="/xl/drawings/drawing8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2.vml" ContentType="application/vnd.openxmlformats-officedocument.vmlDrawing"/>
  <Override PartName="/xl/drawings/vmlDrawing4.vml" ContentType="application/vnd.openxmlformats-officedocument.vmlDrawing"/>
  <Override PartName="/xl/drawings/drawing2.xml" ContentType="application/vnd.openxmlformats-officedocument.drawing+xml"/>
  <Override PartName="/xl/drawings/drawing9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6" firstSheet="0" activeTab="11"/>
  </bookViews>
  <sheets>
    <sheet name="Zaheer" sheetId="1" state="visible" r:id="rId2"/>
    <sheet name="Dev" sheetId="2" state="visible" r:id="rId3"/>
    <sheet name="Guillaume" sheetId="3" state="visible" r:id="rId4"/>
    <sheet name="Lishoy" sheetId="4" state="visible" r:id="rId5"/>
    <sheet name="Claudio" sheetId="5" state="visible" r:id="rId6"/>
    <sheet name="Jevon" sheetId="6" state="visible" r:id="rId7"/>
    <sheet name="Ben" sheetId="7" state="visible" r:id="rId8"/>
    <sheet name="Tahir" sheetId="8" state="visible" r:id="rId9"/>
    <sheet name="Peng" sheetId="9" state="visible" r:id="rId10"/>
    <sheet name="Teresa" sheetId="10" state="visible" r:id="rId11"/>
    <sheet name="Guillaume_VIE" sheetId="11" state="visible" r:id="rId12"/>
    <sheet name="Benjamin_VIE" sheetId="12" state="visible" r:id="rId13"/>
    <sheet name="Lists" sheetId="13" state="visible" r:id="rId14"/>
    <sheet name="D%$&amp;01_DevSheet" sheetId="14" state="hidden" r:id="rId15"/>
  </sheets>
  <definedNames>
    <definedName function="false" hidden="false" name="ProjectList" vbProcedure="false">Lists!$A$2:$A$33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0.5 already charged in Feb.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0.5 already charged in Feb.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Division R&amp;D:
</t>
        </r>
        <r>
          <rPr>
            <sz val="9"/>
            <color rgb="FF000000"/>
            <rFont val="Tahoma"/>
            <family val="2"/>
            <charset val="1"/>
          </rPr>
          <t xml:space="preserve">Avatar Msg (PM=Kashif)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+0.5</t>
        </r>
      </text>
    </comment>
    <comment ref="F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0 + 0.5</t>
        </r>
      </text>
    </comment>
    <comment ref="G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March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G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Potential MoB project security review (unbillable now)</t>
        </r>
      </text>
    </comment>
    <comment ref="G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3 days already charged in March</t>
        </r>
      </text>
    </comment>
    <comment ref="G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1 day already charged in March</t>
        </r>
      </text>
    </comment>
    <comment ref="G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Compensate GV's 1 day</t>
        </r>
      </text>
    </comment>
    <comment ref="G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-2.75</t>
        </r>
      </text>
    </comment>
    <comment ref="H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Division R&amp;D:
</t>
        </r>
        <r>
          <rPr>
            <sz val="9"/>
            <color rgb="FF000000"/>
            <rFont val="Tahoma"/>
            <family val="2"/>
            <charset val="1"/>
          </rPr>
          <t xml:space="preserve">drop-in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0.5 already charged in Feb.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+0.5</t>
        </r>
      </text>
    </comment>
    <comment ref="E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-0.5</t>
        </r>
      </text>
    </comment>
    <comment ref="F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0.5 + 0.5</t>
        </r>
      </text>
    </comment>
    <comment ref="F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18.25 - 0.5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Division R&amp;D:
</t>
        </r>
        <r>
          <rPr>
            <sz val="9"/>
            <color rgb="FF000000"/>
            <rFont val="Tahoma"/>
            <family val="2"/>
            <charset val="1"/>
          </rPr>
          <t xml:space="preserve">Avatar Msg (PM=Kashif)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E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+1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-2</t>
        </r>
      </text>
    </comment>
    <comment ref="E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+1</t>
        </r>
      </text>
    </comment>
    <comment ref="F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1 + 1</t>
        </r>
      </text>
    </comment>
    <comment ref="F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17.25 - 2</t>
        </r>
      </text>
    </comment>
    <comment ref="F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2 + 1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G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Tansir AHMED:
</t>
        </r>
        <r>
          <rPr>
            <sz val="9"/>
            <color rgb="FF000000"/>
            <rFont val="Tahoma"/>
            <family val="2"/>
            <charset val="1"/>
          </rPr>
          <t xml:space="preserve">Potential contiburion in Contact Sharing (unbillable for now)</t>
        </r>
      </text>
    </comment>
  </commentList>
</comments>
</file>

<file path=xl/sharedStrings.xml><?xml version="1.0" encoding="utf-8"?>
<sst xmlns="http://schemas.openxmlformats.org/spreadsheetml/2006/main" count="826" uniqueCount="99">
  <si>
    <t>NAME:</t>
  </si>
  <si>
    <t>Zaheer AHMAD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</si>
  <si>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</si>
  <si>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</si>
  <si>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</si>
  <si>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</si>
  <si>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</si>
  <si>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</si>
  <si>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</si>
  <si>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</si>
  <si>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</si>
  <si>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</si>
  <si>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</si>
  <si>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</si>
  <si>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</si>
  <si>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Cumulative</t>
  </si>
  <si>
    <t>NOTE:</t>
  </si>
  <si>
    <t>Bookable Days in Month</t>
  </si>
  <si>
    <t>Verify &amp; correct, if necessary, previous month (admin + project)</t>
  </si>
  <si>
    <t>Admin</t>
  </si>
  <si>
    <t>Holiday</t>
  </si>
  <si>
    <t>Forecast current month (admin only)</t>
  </si>
  <si>
    <t>Special leave</t>
  </si>
  <si>
    <t>Training</t>
  </si>
  <si>
    <t>IT</t>
  </si>
  <si>
    <t>Sickness</t>
  </si>
  <si>
    <t>Townhall</t>
  </si>
  <si>
    <t>Team meetings</t>
  </si>
  <si>
    <t>Lab improvements</t>
  </si>
  <si>
    <t>Appraisal</t>
  </si>
  <si>
    <t>patent</t>
  </si>
  <si>
    <t>admin/unbillable projects</t>
  </si>
  <si>
    <t>Projects</t>
  </si>
  <si>
    <t>PM</t>
  </si>
  <si>
    <t>Project</t>
  </si>
  <si>
    <t>OSS/Human Semantcis</t>
  </si>
  <si>
    <t>Dual Persona Research</t>
  </si>
  <si>
    <t>TEE</t>
  </si>
  <si>
    <t>SEEDS (Shindig, Passive User Profiling, Avatar Msg, etc.)</t>
  </si>
  <si>
    <t>Dual Persona Anticipation</t>
  </si>
  <si>
    <t>TOTALS</t>
  </si>
  <si>
    <t>ADMIN</t>
  </si>
  <si>
    <t>TOTAL</t>
  </si>
  <si>
    <t>PROJECT</t>
  </si>
  <si>
    <t>ADMIN+PROJECT</t>
  </si>
  <si>
    <t>PROJECT %</t>
  </si>
  <si>
    <t>Dev AUDSIN</t>
  </si>
  <si>
    <t>Trusted Cloud</t>
  </si>
  <si>
    <t>Data Provenance 2014</t>
  </si>
  <si>
    <t>Guillaume VALVERDE</t>
  </si>
  <si>
    <t>Blind Operator Research</t>
  </si>
  <si>
    <t>Lishoy FRANCIS</t>
  </si>
  <si>
    <t>CoCall</t>
  </si>
  <si>
    <t>Trusted Link</t>
  </si>
  <si>
    <t>Claudio PALUMBO</t>
  </si>
  <si>
    <t>Jevon BECKLES</t>
  </si>
  <si>
    <t>Cloud Device</t>
  </si>
  <si>
    <t>Claudiu</t>
  </si>
  <si>
    <t>Ben Chen</t>
  </si>
  <si>
    <t>Mesh device</t>
  </si>
  <si>
    <t>Tahir MAHMOOD</t>
  </si>
  <si>
    <t>Peng JIANG</t>
  </si>
  <si>
    <t>Teresa JIMENEZ-ARREOLA</t>
  </si>
  <si>
    <t>Guillaume DAMOUR</t>
  </si>
  <si>
    <t>Benjamin DUVIVIER</t>
  </si>
  <si>
    <t>Project List</t>
  </si>
  <si>
    <t>Tansir</t>
  </si>
  <si>
    <t>Blind Operator Anticipation</t>
  </si>
  <si>
    <t>Personal Identity</t>
  </si>
  <si>
    <t>Mobeen</t>
  </si>
  <si>
    <t>Joyn/RCS API &amp; use cases</t>
  </si>
  <si>
    <t>EMEA Contact Sharing</t>
  </si>
  <si>
    <t>Maria</t>
  </si>
  <si>
    <t>4G Rich Communication</t>
  </si>
  <si>
    <t>Digital Mirror</t>
  </si>
  <si>
    <t>Mobile Gaming</t>
  </si>
  <si>
    <t>Twin PLayer Romania</t>
  </si>
  <si>
    <t>Pweek RCS Anticipation</t>
  </si>
  <si>
    <t>Orange Entry Point Delivery</t>
  </si>
  <si>
    <t>Orange Entry Point Anticipation</t>
  </si>
  <si>
    <t>OMTP VVM in Life Support</t>
  </si>
  <si>
    <t>Libon (HTML5 + Backend)</t>
  </si>
  <si>
    <t>Ash</t>
  </si>
  <si>
    <t>Sales Pad</t>
  </si>
  <si>
    <t>Smartphone testing</t>
  </si>
  <si>
    <t>Web UI &amp; Tizen wrapup</t>
  </si>
  <si>
    <t>HTML5 Cineday for France</t>
  </si>
  <si>
    <t>Cineday OFR</t>
  </si>
  <si>
    <t>New Generation UX</t>
  </si>
  <si>
    <t>Avatar Messenger</t>
  </si>
  <si>
    <t>Various</t>
  </si>
  <si>
    <t>End List</t>
  </si>
  <si>
    <t>D%$&amp;01_69f4b372b29e411082c9e7e66f346c6d</t>
  </si>
  <si>
    <t>Division R&amp;D_6126_FRANCE TELECOM_Windows (32-bit) NT 6.01_UK-ILAB-LISHFRA_lmjz1862$$$02062014</t>
  </si>
  <si>
    <t>";7#!9137"</t>
  </si>
  <si>
    <t>Division R&amp;D_7109_FRANCE TELECOM_Windows (32-bit) NT 6.01_UK-ILAB-ZAHEER2_qkck7111$$$02062014</t>
  </si>
  <si>
    <t>"9sn!180"</t>
  </si>
  <si>
    <t>Division R&amp;D_4756_FRANCE TELECOM_Windows (32-bit) NT 6.01_UK-ILAB-GUIDAM_TPKX7081$$$02062014</t>
  </si>
  <si>
    <t>"dfV!1"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</si>
</sst>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%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C6EFCE"/>
        <bgColor rgb="FFB7DEE8"/>
      </patternFill>
    </fill>
    <fill>
      <patternFill patternType="solid">
        <fgColor rgb="FFBFBFBF"/>
        <bgColor rgb="FFCCC1DA"/>
      </patternFill>
    </fill>
    <fill>
      <patternFill patternType="solid">
        <fgColor rgb="FF92D050"/>
        <bgColor rgb="FFBFBFBF"/>
      </patternFill>
    </fill>
    <fill>
      <patternFill patternType="solid">
        <fgColor rgb="FFEEECE1"/>
        <bgColor rgb="FFFFFFFF"/>
      </patternFill>
    </fill>
    <fill>
      <patternFill patternType="solid">
        <fgColor rgb="FFFCD5B5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C6EFCE"/>
      </patternFill>
    </fill>
    <fill>
      <patternFill patternType="solid">
        <fgColor rgb="FFCCC1DA"/>
        <bgColor rgb="FFBFBFBF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6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7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8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8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  <dxfs count="46"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00B050"/>
        </patternFill>
      </fill>
    </dxf>
    <dxf>
      <font>
        <sz val="11"/>
        <color rgb="FF000000"/>
        <name val="Calibri"/>
        <family val="2"/>
        <charset val="1"/>
      </font>
      <numFmt numFmtId="164" formatCode="GENERAL"/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7DEE8"/>
      <rgbColor rgb="FFFF99CC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0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1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2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3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4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5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226800</xdr:colOff>
      <xdr:row>49</xdr:row>
      <xdr:rowOff>190080</xdr:rowOff>
    </xdr:to>
    <xdr:sp>
      <xdr:nvSpPr>
        <xdr:cNvPr id="6" name="CustomShape 1"/>
        <xdr:cNvSpPr/>
      </xdr:nvSpPr>
      <xdr:spPr>
        <a:xfrm>
          <a:off x="27000" y="0"/>
          <a:ext cx="126334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7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8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9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10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11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12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102960</xdr:colOff>
      <xdr:row>49</xdr:row>
      <xdr:rowOff>190080</xdr:rowOff>
    </xdr:to>
    <xdr:sp>
      <xdr:nvSpPr>
        <xdr:cNvPr id="13" name="CustomShape 1"/>
        <xdr:cNvSpPr/>
      </xdr:nvSpPr>
      <xdr:spPr>
        <a:xfrm>
          <a:off x="27000" y="0"/>
          <a:ext cx="126748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14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15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16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17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18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19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0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1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2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3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4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5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6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7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8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29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0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1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2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3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4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5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6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7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8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39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40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312480</xdr:colOff>
      <xdr:row>49</xdr:row>
      <xdr:rowOff>190080</xdr:rowOff>
    </xdr:to>
    <xdr:sp>
      <xdr:nvSpPr>
        <xdr:cNvPr id="41" name="CustomShape 1"/>
        <xdr:cNvSpPr/>
      </xdr:nvSpPr>
      <xdr:spPr>
        <a:xfrm>
          <a:off x="27000" y="0"/>
          <a:ext cx="126050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2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3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4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5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6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7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8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49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0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1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2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3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4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5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6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7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8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59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0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1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2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3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4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5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6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7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8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69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0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1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2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3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4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5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6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7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8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79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80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81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82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398160</xdr:colOff>
      <xdr:row>49</xdr:row>
      <xdr:rowOff>190080</xdr:rowOff>
    </xdr:to>
    <xdr:sp>
      <xdr:nvSpPr>
        <xdr:cNvPr id="83" name="CustomShape 1"/>
        <xdr:cNvSpPr/>
      </xdr:nvSpPr>
      <xdr:spPr>
        <a:xfrm>
          <a:off x="27000" y="0"/>
          <a:ext cx="12576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84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85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86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87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88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89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293400</xdr:colOff>
      <xdr:row>49</xdr:row>
      <xdr:rowOff>190080</xdr:rowOff>
    </xdr:to>
    <xdr:sp>
      <xdr:nvSpPr>
        <xdr:cNvPr id="90" name="CustomShape 1"/>
        <xdr:cNvSpPr/>
      </xdr:nvSpPr>
      <xdr:spPr>
        <a:xfrm>
          <a:off x="27000" y="0"/>
          <a:ext cx="126111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1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2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3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4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5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6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7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50</xdr:row>
      <xdr:rowOff>190080</xdr:rowOff>
    </xdr:to>
    <xdr:sp>
      <xdr:nvSpPr>
        <xdr:cNvPr id="98" name="CustomShape 1"/>
        <xdr:cNvSpPr/>
      </xdr:nvSpPr>
      <xdr:spPr>
        <a:xfrm>
          <a:off x="27000" y="0"/>
          <a:ext cx="12681000" cy="9714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99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0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1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2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3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4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5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6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7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8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09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0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1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2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3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4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5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6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7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83880</xdr:colOff>
      <xdr:row>49</xdr:row>
      <xdr:rowOff>190080</xdr:rowOff>
    </xdr:to>
    <xdr:sp>
      <xdr:nvSpPr>
        <xdr:cNvPr id="118" name="CustomShape 1"/>
        <xdr:cNvSpPr/>
      </xdr:nvSpPr>
      <xdr:spPr>
        <a:xfrm>
          <a:off x="27000" y="0"/>
          <a:ext cx="126810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19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20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21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22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23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24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15</xdr:col>
      <xdr:colOff>45720</xdr:colOff>
      <xdr:row>49</xdr:row>
      <xdr:rowOff>190080</xdr:rowOff>
    </xdr:to>
    <xdr:sp>
      <xdr:nvSpPr>
        <xdr:cNvPr id="125" name="CustomShape 1"/>
        <xdr:cNvSpPr/>
      </xdr:nvSpPr>
      <xdr:spPr>
        <a:xfrm>
          <a:off x="27000" y="0"/>
          <a:ext cx="1269360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26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27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28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29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0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1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2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3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4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5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6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7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8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39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0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1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2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3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4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5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6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7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8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49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0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1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2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3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4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5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6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7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8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59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0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1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2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3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4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5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6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379080</xdr:colOff>
      <xdr:row>49</xdr:row>
      <xdr:rowOff>190080</xdr:rowOff>
    </xdr:to>
    <xdr:sp>
      <xdr:nvSpPr>
        <xdr:cNvPr id="167" name="CustomShape 1"/>
        <xdr:cNvSpPr/>
      </xdr:nvSpPr>
      <xdr:spPr>
        <a:xfrm>
          <a:off x="27000" y="0"/>
          <a:ext cx="125827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68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69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70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71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72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73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14</xdr:col>
      <xdr:colOff>407520</xdr:colOff>
      <xdr:row>50</xdr:row>
      <xdr:rowOff>9000</xdr:rowOff>
    </xdr:to>
    <xdr:sp>
      <xdr:nvSpPr>
        <xdr:cNvPr id="174" name="CustomShape 1"/>
        <xdr:cNvSpPr/>
      </xdr:nvSpPr>
      <xdr:spPr>
        <a:xfrm>
          <a:off x="27000" y="0"/>
          <a:ext cx="125730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3.xml"/><Relationship Id="rId5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5.xml"/><Relationship Id="rId5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6.xml"/><Relationship Id="rId5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7.xml"/><Relationship Id="rId5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D09-016@019" TargetMode="External"/><Relationship Id="rId2" Type="http://schemas.openxmlformats.org/officeDocument/2006/relationships/hyperlink" Target="mailto:D09-016@020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8.xml"/><Relationship Id="rId5" Type="http://schemas.openxmlformats.org/officeDocument/2006/relationships/vmlDrawing" Target="../drawings/vmlDrawing8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D09-016@019" TargetMode="External"/><Relationship Id="rId2" Type="http://schemas.openxmlformats.org/officeDocument/2006/relationships/hyperlink" Target="mailto:D09-016@020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mailto:D09-016@019" TargetMode="External"/><Relationship Id="rId3" Type="http://schemas.openxmlformats.org/officeDocument/2006/relationships/hyperlink" Target="mailto:D09-016@020" TargetMode="External"/><Relationship Id="rId4" Type="http://schemas.openxmlformats.org/officeDocument/2006/relationships/drawing" Target="../drawings/drawing9.xml"/><Relationship Id="rId5" Type="http://schemas.openxmlformats.org/officeDocument/2006/relationships/vmlDrawing" Target="../drawings/vmlDrawing9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D09-016@019" TargetMode="External"/><Relationship Id="rId2" Type="http://schemas.openxmlformats.org/officeDocument/2006/relationships/hyperlink" Target="mailto:D09-016@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10.2834008097166"/>
    <col collapsed="false" hidden="false" max="4" min="4" style="0" width="5.85425101214575"/>
    <col collapsed="false" hidden="false" max="5" min="5" style="0" width="6.1417004048583"/>
    <col collapsed="false" hidden="false" max="6" min="6" style="0" width="6"/>
    <col collapsed="false" hidden="false" max="7" min="7" style="0" width="6.1417004048583"/>
    <col collapsed="false" hidden="false" max="9" min="8" style="0" width="5.71255060728745"/>
    <col collapsed="false" hidden="false" max="10" min="10" style="0" width="6"/>
    <col collapsed="false" hidden="false" max="11" min="11" style="0" width="5.2834008097166"/>
    <col collapsed="false" hidden="false" max="12" min="12" style="0" width="5.85425101214575"/>
    <col collapsed="false" hidden="false" max="13" min="13" style="0" width="5.2834008097166"/>
    <col collapsed="false" hidden="false" max="14" min="14" style="0" width="6.71255060728745"/>
    <col collapsed="false" hidden="false" max="15" min="15" style="0" width="6.2834008097166"/>
    <col collapsed="false" hidden="false" max="16" min="16" style="0" width="11.5708502024291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6</v>
      </c>
      <c r="E4" s="11"/>
      <c r="F4" s="11"/>
      <c r="G4" s="11"/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6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 t="n">
        <v>2.5</v>
      </c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2.5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/>
      <c r="G6" s="11" t="n">
        <v>1</v>
      </c>
      <c r="H6" s="11" t="n">
        <v>1.5</v>
      </c>
      <c r="I6" s="11" t="n">
        <v>2</v>
      </c>
      <c r="J6" s="12"/>
      <c r="K6" s="12"/>
      <c r="L6" s="11"/>
      <c r="M6" s="11"/>
      <c r="N6" s="11"/>
      <c r="O6" s="11"/>
      <c r="P6" s="9" t="n">
        <f aca="false">SUM(D6:O6)</f>
        <v>4.5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 t="n">
        <v>1</v>
      </c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1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/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0.25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 t="n">
        <v>0.5</v>
      </c>
      <c r="I10" s="13" t="n">
        <v>0.5</v>
      </c>
      <c r="J10" s="12"/>
      <c r="K10" s="12"/>
      <c r="L10" s="11"/>
      <c r="M10" s="11"/>
      <c r="N10" s="11"/>
      <c r="O10" s="11"/>
      <c r="P10" s="9" t="n">
        <f aca="false">SUM(D10:O10)</f>
        <v>3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 t="n">
        <v>5</v>
      </c>
      <c r="E13" s="11" t="n">
        <v>2</v>
      </c>
      <c r="F13" s="11" t="n">
        <v>2.25</v>
      </c>
      <c r="G13" s="11" t="n">
        <v>1</v>
      </c>
      <c r="H13" s="11" t="n">
        <v>2</v>
      </c>
      <c r="I13" s="11" t="n">
        <v>1</v>
      </c>
      <c r="J13" s="12"/>
      <c r="K13" s="12"/>
      <c r="L13" s="11"/>
      <c r="M13" s="11"/>
      <c r="N13" s="11"/>
      <c r="O13" s="11"/>
      <c r="P13" s="9" t="n">
        <f aca="false">SUM(D13:O13)</f>
        <v>13.25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35</v>
      </c>
      <c r="C16" s="1" t="str">
        <f aca="false">VLOOKUP(B16,Lists!A2:B32,2,0)</f>
        <v>Mobeen</v>
      </c>
      <c r="D16" s="20" t="n">
        <v>3</v>
      </c>
      <c r="E16" s="20" t="n">
        <v>5.75</v>
      </c>
      <c r="F16" s="20" t="n">
        <v>8</v>
      </c>
      <c r="G16" s="20" t="n">
        <v>4</v>
      </c>
      <c r="H16" s="20" t="n">
        <v>1</v>
      </c>
      <c r="I16" s="20"/>
      <c r="J16" s="20"/>
      <c r="K16" s="21"/>
      <c r="L16" s="20"/>
      <c r="M16" s="20"/>
      <c r="N16" s="20"/>
      <c r="O16" s="20"/>
      <c r="P16" s="9" t="n">
        <f aca="false">SUM(D16:O16)</f>
        <v>21.75</v>
      </c>
      <c r="Q16" s="4"/>
    </row>
    <row r="17" customFormat="false" ht="15" hidden="false" customHeight="false" outlineLevel="0" collapsed="false">
      <c r="A17" s="1" t="s">
        <v>34</v>
      </c>
      <c r="B17" s="1" t="s">
        <v>36</v>
      </c>
      <c r="C17" s="1" t="str">
        <f aca="false">VLOOKUP(B17,Lists!A2:B32,2,0)</f>
        <v>Mobeen</v>
      </c>
      <c r="D17" s="20"/>
      <c r="E17" s="20" t="n">
        <v>10</v>
      </c>
      <c r="F17" s="20" t="n">
        <v>3.5</v>
      </c>
      <c r="G17" s="20" t="n">
        <v>2</v>
      </c>
      <c r="H17" s="20" t="n">
        <v>4</v>
      </c>
      <c r="I17" s="20"/>
      <c r="J17" s="21"/>
      <c r="K17" s="21"/>
      <c r="L17" s="20"/>
      <c r="M17" s="20"/>
      <c r="N17" s="20"/>
      <c r="O17" s="20"/>
      <c r="P17" s="9" t="n">
        <f aca="false">SUM(D17:O17)</f>
        <v>19.5</v>
      </c>
      <c r="Q17" s="4"/>
    </row>
    <row r="18" customFormat="false" ht="15" hidden="false" customHeight="false" outlineLevel="0" collapsed="false">
      <c r="A18" s="1" t="s">
        <v>34</v>
      </c>
      <c r="B18" s="1" t="s">
        <v>37</v>
      </c>
      <c r="C18" s="1" t="str">
        <f aca="false">VLOOKUP(B18,Lists!A2:B32,2,0)</f>
        <v>Tansir</v>
      </c>
      <c r="D18" s="20" t="n">
        <v>7.5</v>
      </c>
      <c r="E18" s="20"/>
      <c r="F18" s="20" t="n">
        <v>4.25</v>
      </c>
      <c r="G18" s="20" t="n">
        <v>6</v>
      </c>
      <c r="H18" s="20" t="n">
        <v>7</v>
      </c>
      <c r="I18" s="20"/>
      <c r="J18" s="21"/>
      <c r="K18" s="21"/>
      <c r="L18" s="20"/>
      <c r="M18" s="20"/>
      <c r="N18" s="20"/>
      <c r="O18" s="20"/>
      <c r="P18" s="9" t="n">
        <f aca="false">SUM(D18:O18)</f>
        <v>24.75</v>
      </c>
      <c r="Q18" s="4"/>
    </row>
    <row r="19" customFormat="false" ht="15" hidden="false" customHeight="false" outlineLevel="0" collapsed="false">
      <c r="A19" s="1" t="s">
        <v>34</v>
      </c>
      <c r="B19" s="1" t="s">
        <v>38</v>
      </c>
      <c r="C19" s="1" t="str">
        <f aca="false">VLOOKUP(B19,Lists!A2:B33,2,0)</f>
        <v>Various</v>
      </c>
      <c r="D19" s="20"/>
      <c r="E19" s="20"/>
      <c r="F19" s="20" t="n">
        <v>0.5</v>
      </c>
      <c r="G19" s="20" t="n">
        <v>0.5</v>
      </c>
      <c r="H19" s="20" t="n">
        <v>0.5</v>
      </c>
      <c r="I19" s="20"/>
      <c r="J19" s="21"/>
      <c r="K19" s="21"/>
      <c r="L19" s="20"/>
      <c r="M19" s="20"/>
      <c r="N19" s="20"/>
      <c r="O19" s="20"/>
      <c r="P19" s="9" t="n">
        <f aca="false">SUM(D19:O19)</f>
        <v>1.5</v>
      </c>
      <c r="Q19" s="4"/>
    </row>
    <row r="20" customFormat="false" ht="15" hidden="false" customHeight="false" outlineLevel="0" collapsed="false">
      <c r="A20" s="1" t="s">
        <v>34</v>
      </c>
      <c r="B20" s="1" t="s">
        <v>39</v>
      </c>
      <c r="C20" s="1" t="str">
        <f aca="false">VLOOKUP(B20,Lists!A2:B33,2,0)</f>
        <v>Mobeen</v>
      </c>
      <c r="D20" s="20"/>
      <c r="E20" s="20"/>
      <c r="F20" s="20" t="n">
        <v>2</v>
      </c>
      <c r="G20" s="20" t="n">
        <v>2.5</v>
      </c>
      <c r="H20" s="20" t="n">
        <v>3.5</v>
      </c>
      <c r="I20" s="20"/>
      <c r="J20" s="21"/>
      <c r="K20" s="21"/>
      <c r="L20" s="20"/>
      <c r="M20" s="20"/>
      <c r="N20" s="20"/>
      <c r="O20" s="20"/>
      <c r="P20" s="9" t="n">
        <f aca="false">SUM(D20:O20)</f>
        <v>8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11.5</v>
      </c>
      <c r="E23" s="23" t="n">
        <f aca="false">SUM(E4:E14)</f>
        <v>4.25</v>
      </c>
      <c r="F23" s="23" t="n">
        <f aca="false">SUM(F4:F14)</f>
        <v>2.75</v>
      </c>
      <c r="G23" s="23" t="n">
        <f aca="false">SUM(G4:G14)</f>
        <v>5</v>
      </c>
      <c r="H23" s="23" t="n">
        <f aca="false">SUM(H4:H14)</f>
        <v>4</v>
      </c>
      <c r="I23" s="23" t="n">
        <f aca="false">SUM(I4:I14)</f>
        <v>3.5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31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10.5</v>
      </c>
      <c r="E24" s="23" t="n">
        <f aca="false">SUM(E16:E22)</f>
        <v>15.75</v>
      </c>
      <c r="F24" s="23" t="n">
        <f aca="false">SUM(F16:F22)</f>
        <v>18.25</v>
      </c>
      <c r="G24" s="23" t="n">
        <f aca="false">SUM(G16:G22)</f>
        <v>15</v>
      </c>
      <c r="H24" s="23" t="n">
        <f aca="false">SUM(H16:H22)</f>
        <v>16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75.5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20</v>
      </c>
      <c r="I25" s="23" t="n">
        <f aca="false">SUM(I23:I24)</f>
        <v>3.5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106.5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0.477272727272727</v>
      </c>
      <c r="E26" s="25" t="n">
        <f aca="false">E24/E25</f>
        <v>0.7875</v>
      </c>
      <c r="F26" s="25" t="n">
        <f aca="false">F24/F25</f>
        <v>0.869047619047619</v>
      </c>
      <c r="G26" s="25" t="n">
        <f aca="false">G24/G25</f>
        <v>0.75</v>
      </c>
      <c r="H26" s="25" t="n">
        <f aca="false">H24/H25</f>
        <v>0.8</v>
      </c>
      <c r="I26" s="25" t="n">
        <f aca="false">I24/I25</f>
        <v>0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0.708920187793427</v>
      </c>
      <c r="Q26" s="4"/>
    </row>
  </sheetData>
  <conditionalFormatting sqref="D26:P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0" activeCellId="0" sqref="T10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8.4251012145749"/>
    <col collapsed="false" hidden="false" max="4" min="4" style="0" width="5.85425101214575"/>
    <col collapsed="false" hidden="false" max="5" min="5" style="0" width="5.2834008097166"/>
    <col collapsed="false" hidden="false" max="6" min="6" style="0" width="6"/>
    <col collapsed="false" hidden="false" max="8" min="7" style="0" width="5.85425101214575"/>
    <col collapsed="false" hidden="false" max="9" min="9" style="0" width="5.71255060728745"/>
    <col collapsed="false" hidden="false" max="11" min="10" style="0" width="5.2834008097166"/>
    <col collapsed="false" hidden="false" max="12" min="12" style="0" width="5.57085020242915"/>
    <col collapsed="false" hidden="false" max="13" min="13" style="0" width="5.2834008097166"/>
    <col collapsed="false" hidden="false" max="14" min="14" style="0" width="6.1417004048583"/>
    <col collapsed="false" hidden="false" max="15" min="15" style="0" width="6.2834008097166"/>
    <col collapsed="false" hidden="false" max="16" min="16" style="0" width="12.5668016194332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46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="2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/>
      <c r="E4" s="11" t="n">
        <v>1</v>
      </c>
      <c r="F4" s="11" t="n">
        <v>4</v>
      </c>
      <c r="G4" s="11"/>
      <c r="H4" s="11"/>
      <c r="I4" s="11" t="n">
        <v>2</v>
      </c>
      <c r="J4" s="12"/>
      <c r="K4" s="12"/>
      <c r="L4" s="11"/>
      <c r="M4" s="11"/>
      <c r="N4" s="11"/>
      <c r="O4" s="11"/>
      <c r="P4" s="9" t="n">
        <f aca="false">SUM(D4:O4)</f>
        <v>7</v>
      </c>
      <c r="Q4" s="4" t="s">
        <v>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0.5</v>
      </c>
      <c r="G6" s="11" t="n">
        <v>1</v>
      </c>
      <c r="H6" s="11" t="n">
        <v>1.5</v>
      </c>
      <c r="I6" s="11" t="n">
        <v>2</v>
      </c>
      <c r="J6" s="12"/>
      <c r="K6" s="12"/>
      <c r="L6" s="11"/>
      <c r="M6" s="11"/>
      <c r="N6" s="11"/>
      <c r="O6" s="11"/>
      <c r="P6" s="9" t="n">
        <f aca="false">SUM(D6:O6)</f>
        <v>5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 t="n">
        <v>0.25</v>
      </c>
      <c r="J9" s="12"/>
      <c r="K9" s="12"/>
      <c r="L9" s="11"/>
      <c r="M9" s="11"/>
      <c r="N9" s="11"/>
      <c r="O9" s="11"/>
      <c r="P9" s="9" t="n">
        <f aca="false">SUM(D9:O9)</f>
        <v>0.75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1</v>
      </c>
      <c r="E10" s="11" t="n">
        <v>0.5</v>
      </c>
      <c r="F10" s="11" t="n">
        <v>0.5</v>
      </c>
      <c r="G10" s="11" t="n">
        <v>0.5</v>
      </c>
      <c r="H10" s="11" t="n">
        <v>0.5</v>
      </c>
      <c r="I10" s="13" t="n">
        <v>0.5</v>
      </c>
      <c r="J10" s="12"/>
      <c r="K10" s="12"/>
      <c r="L10" s="11"/>
      <c r="M10" s="11"/>
      <c r="N10" s="11"/>
      <c r="O10" s="11"/>
      <c r="P10" s="9" t="n">
        <f aca="false">SUM(D10:O10)</f>
        <v>3.5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="2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" hidden="false" customHeight="false" outlineLevel="0" collapsed="false">
      <c r="A16" s="1" t="s">
        <v>34</v>
      </c>
      <c r="B16" s="1" t="s">
        <v>35</v>
      </c>
      <c r="C16" s="1" t="str">
        <f aca="false">VLOOKUP(B16,Lists!A2:B32,2,0)</f>
        <v>Mobeen</v>
      </c>
      <c r="D16" s="20" t="n">
        <v>5</v>
      </c>
      <c r="E16" s="20" t="n">
        <v>8</v>
      </c>
      <c r="F16" s="20" t="n">
        <v>10</v>
      </c>
      <c r="G16" s="20"/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23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" hidden="false" customHeight="false" outlineLevel="0" collapsed="false">
      <c r="A17" s="1" t="s">
        <v>34</v>
      </c>
      <c r="B17" s="1" t="s">
        <v>47</v>
      </c>
      <c r="C17" s="1" t="str">
        <f aca="false">VLOOKUP(B17,Lists!A3:B33,2,0)</f>
        <v>Tansir</v>
      </c>
      <c r="D17" s="20"/>
      <c r="E17" s="20" t="n">
        <v>3.75</v>
      </c>
      <c r="F17" s="20" t="n">
        <v>0.25</v>
      </c>
      <c r="G17" s="20" t="n">
        <v>13.25</v>
      </c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17.25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" hidden="false" customHeight="false" outlineLevel="0" collapsed="false">
      <c r="A18" s="1" t="s">
        <v>34</v>
      </c>
      <c r="B18" s="1" t="s">
        <v>36</v>
      </c>
      <c r="C18" s="1" t="str">
        <f aca="false">VLOOKUP(B18,Lists!A4:B34,2,0)</f>
        <v>Mobeen</v>
      </c>
      <c r="D18" s="20" t="n">
        <v>4</v>
      </c>
      <c r="E18" s="20" t="n">
        <v>2</v>
      </c>
      <c r="F18" s="20" t="n">
        <v>3.75</v>
      </c>
      <c r="G18" s="20" t="n">
        <v>2</v>
      </c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11.75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" hidden="false" customHeight="false" outlineLevel="0" collapsed="false">
      <c r="A19" s="1" t="s">
        <v>34</v>
      </c>
      <c r="B19" s="1" t="s">
        <v>38</v>
      </c>
      <c r="C19" s="1" t="str">
        <f aca="false">VLOOKUP(B19,Lists!A5:B35,2,0)</f>
        <v>Various</v>
      </c>
      <c r="D19" s="20" t="n">
        <v>2</v>
      </c>
      <c r="E19" s="20" t="n">
        <v>4</v>
      </c>
      <c r="F19" s="20" t="n">
        <v>2</v>
      </c>
      <c r="G19" s="20" t="n">
        <v>1</v>
      </c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9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" hidden="false" customHeight="false" outlineLevel="0" collapsed="false">
      <c r="A20" s="1" t="s">
        <v>34</v>
      </c>
      <c r="B20" s="1" t="s">
        <v>48</v>
      </c>
      <c r="C20" s="1" t="str">
        <f aca="false">VLOOKUP(B20,Lists!A2:B33,2,0)</f>
        <v>Tansir</v>
      </c>
      <c r="D20" s="20" t="n">
        <v>10</v>
      </c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10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 t="n">
        <v>2</v>
      </c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2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1</v>
      </c>
      <c r="E23" s="23" t="n">
        <f aca="false">SUM(E4:E14)</f>
        <v>2.25</v>
      </c>
      <c r="F23" s="23" t="n">
        <f aca="false">SUM(F4:F14)</f>
        <v>5</v>
      </c>
      <c r="G23" s="23" t="n">
        <f aca="false">SUM(G4:G14)</f>
        <v>1.75</v>
      </c>
      <c r="H23" s="23" t="n">
        <f aca="false">SUM(H4:H14)</f>
        <v>2</v>
      </c>
      <c r="I23" s="23" t="n">
        <f aca="false">SUM(I4:I14)</f>
        <v>4.75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16.75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21</v>
      </c>
      <c r="E24" s="23" t="n">
        <f aca="false">SUM(E16:E22)</f>
        <v>17.75</v>
      </c>
      <c r="F24" s="23" t="n">
        <f aca="false">SUM(F16:F22)</f>
        <v>16</v>
      </c>
      <c r="G24" s="23" t="n">
        <f aca="false">SUM(G16:G22)</f>
        <v>18.25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73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2</v>
      </c>
      <c r="I25" s="23" t="n">
        <f aca="false">SUM(I23:I24)</f>
        <v>4.75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89.75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0.954545454545455</v>
      </c>
      <c r="E26" s="25" t="n">
        <f aca="false">E24/E25</f>
        <v>0.8875</v>
      </c>
      <c r="F26" s="25" t="n">
        <f aca="false">F24/F25</f>
        <v>0.761904761904762</v>
      </c>
      <c r="G26" s="25" t="n">
        <f aca="false">G24/G25</f>
        <v>0.9125</v>
      </c>
      <c r="H26" s="25" t="n">
        <f aca="false">H24/H25</f>
        <v>0</v>
      </c>
      <c r="I26" s="25" t="n">
        <f aca="false">I24/I25</f>
        <v>0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0.813370473537604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8.4251012145749"/>
    <col collapsed="false" hidden="false" max="4" min="4" style="0" width="6"/>
    <col collapsed="false" hidden="false" max="5" min="5" style="0" width="6.1417004048583"/>
    <col collapsed="false" hidden="false" max="7" min="6" style="0" width="6"/>
    <col collapsed="false" hidden="false" max="8" min="8" style="0" width="5.57085020242915"/>
    <col collapsed="false" hidden="false" max="9" min="9" style="0" width="5.71255060728745"/>
    <col collapsed="false" hidden="false" max="10" min="10" style="0" width="5.85425101214575"/>
    <col collapsed="false" hidden="false" max="11" min="11" style="0" width="6.1417004048583"/>
    <col collapsed="false" hidden="false" max="12" min="12" style="0" width="5.57085020242915"/>
    <col collapsed="false" hidden="false" max="13" min="13" style="0" width="5.2834008097166"/>
    <col collapsed="false" hidden="false" max="14" min="14" style="0" width="7"/>
    <col collapsed="false" hidden="false" max="15" min="15" style="0" width="6.2834008097166"/>
    <col collapsed="false" hidden="false" max="16" min="16" style="0" width="11.8542510121458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49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="2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2</v>
      </c>
      <c r="E4" s="11"/>
      <c r="F4" s="11"/>
      <c r="G4" s="11" t="n">
        <v>4</v>
      </c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6</v>
      </c>
      <c r="Q4" s="4" t="s">
        <v>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/>
      <c r="G6" s="11"/>
      <c r="H6" s="11"/>
      <c r="I6" s="11"/>
      <c r="J6" s="12"/>
      <c r="K6" s="12"/>
      <c r="L6" s="11"/>
      <c r="M6" s="11"/>
      <c r="N6" s="11"/>
      <c r="O6" s="11"/>
      <c r="P6" s="9" t="n">
        <f aca="false">SUM(D6:O6)</f>
        <v>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 t="n">
        <v>1</v>
      </c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1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/>
      <c r="I10" s="13"/>
      <c r="J10" s="12"/>
      <c r="K10" s="12"/>
      <c r="L10" s="11"/>
      <c r="M10" s="11"/>
      <c r="N10" s="11"/>
      <c r="O10" s="11"/>
      <c r="P10" s="9" t="n">
        <f aca="false">SUM(D10:O10)</f>
        <v>2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 t="n">
        <v>0.75</v>
      </c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0.75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="2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" hidden="false" customHeight="false" outlineLevel="0" collapsed="false">
      <c r="A16" s="1" t="s">
        <v>34</v>
      </c>
      <c r="B16" s="1" t="s">
        <v>50</v>
      </c>
      <c r="C16" s="1" t="str">
        <f aca="false">VLOOKUP(B16,Lists!A2:B32,2,0)</f>
        <v>Tansir</v>
      </c>
      <c r="D16" s="20" t="n">
        <v>12</v>
      </c>
      <c r="E16" s="20" t="n">
        <v>11</v>
      </c>
      <c r="F16" s="20" t="n">
        <v>12.25</v>
      </c>
      <c r="G16" s="20"/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35.25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" hidden="false" customHeight="false" outlineLevel="0" collapsed="false">
      <c r="A17" s="1" t="s">
        <v>34</v>
      </c>
      <c r="B17" s="1" t="s">
        <v>37</v>
      </c>
      <c r="C17" s="1" t="str">
        <f aca="false">VLOOKUP(B17,Lists!A2:B32,2,0)</f>
        <v>Tansir</v>
      </c>
      <c r="D17" s="20" t="n">
        <v>5</v>
      </c>
      <c r="E17" s="20" t="n">
        <v>4.75</v>
      </c>
      <c r="F17" s="20" t="n">
        <v>5</v>
      </c>
      <c r="G17" s="20"/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14.75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" hidden="false" customHeight="false" outlineLevel="0" collapsed="false">
      <c r="A18" s="1" t="s">
        <v>34</v>
      </c>
      <c r="B18" s="1" t="s">
        <v>38</v>
      </c>
      <c r="C18" s="1" t="str">
        <f aca="false">VLOOKUP(B18,Lists!A2:B32,2,0)</f>
        <v>Various</v>
      </c>
      <c r="D18" s="20" t="n">
        <v>2.5</v>
      </c>
      <c r="E18" s="20" t="n">
        <v>3</v>
      </c>
      <c r="F18" s="20" t="n">
        <v>2.5</v>
      </c>
      <c r="G18" s="20"/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" hidden="false" customHeight="false" outlineLevel="0" collapsed="false">
      <c r="A19" s="1" t="s">
        <v>34</v>
      </c>
      <c r="B19" s="1"/>
      <c r="C19" s="1" t="e">
        <f aca="false">VLOOKUP(B19,Lists!A2:B33,2,0)</f>
        <v>#N/A</v>
      </c>
      <c r="D19" s="20"/>
      <c r="E19" s="20"/>
      <c r="F19" s="20"/>
      <c r="G19" s="20" t="n">
        <v>14.25</v>
      </c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14.25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2.5</v>
      </c>
      <c r="E23" s="23" t="n">
        <f aca="false">SUM(E4:E14)</f>
        <v>1.25</v>
      </c>
      <c r="F23" s="23" t="n">
        <f aca="false">SUM(F4:F14)</f>
        <v>1.25</v>
      </c>
      <c r="G23" s="23" t="n">
        <f aca="false">SUM(G4:G14)</f>
        <v>5.75</v>
      </c>
      <c r="H23" s="23" t="n">
        <f aca="false">SUM(H4:H14)</f>
        <v>0</v>
      </c>
      <c r="I23" s="23" t="n">
        <f aca="false">SUM(I4:I14)</f>
        <v>0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10.75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19.5</v>
      </c>
      <c r="E24" s="23" t="n">
        <f aca="false">SUM(E16:E22)</f>
        <v>18.75</v>
      </c>
      <c r="F24" s="23" t="n">
        <f aca="false">SUM(F16:F22)</f>
        <v>19.75</v>
      </c>
      <c r="G24" s="23" t="n">
        <f aca="false">SUM(G16:G22)</f>
        <v>14.25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72.25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0</v>
      </c>
      <c r="I25" s="23" t="n">
        <f aca="false">SUM(I23:I24)</f>
        <v>0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83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0.886363636363636</v>
      </c>
      <c r="E26" s="25" t="n">
        <f aca="false">E24/E25</f>
        <v>0.9375</v>
      </c>
      <c r="F26" s="25" t="n">
        <f aca="false">F24/F25</f>
        <v>0.94047619047619</v>
      </c>
      <c r="G26" s="25" t="n">
        <f aca="false">G24/G25</f>
        <v>0.7125</v>
      </c>
      <c r="H26" s="25" t="e">
        <f aca="false">H24/H25</f>
        <v>#DIV/0!</v>
      </c>
      <c r="I26" s="25" t="e">
        <f aca="false">I24/I25</f>
        <v>#DIV/0!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0.870481927710843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8"/>
    <col collapsed="false" hidden="false" max="4" min="4" style="0" width="6.71255060728745"/>
    <col collapsed="false" hidden="false" max="5" min="5" style="0" width="6.57085020242915"/>
    <col collapsed="false" hidden="false" max="7" min="6" style="0" width="6"/>
    <col collapsed="false" hidden="false" max="8" min="8" style="0" width="5.85425101214575"/>
    <col collapsed="false" hidden="false" max="10" min="9" style="0" width="6"/>
    <col collapsed="false" hidden="false" max="11" min="11" style="0" width="5.42914979757085"/>
    <col collapsed="false" hidden="false" max="12" min="12" style="0" width="5.57085020242915"/>
    <col collapsed="false" hidden="false" max="13" min="13" style="0" width="5.2834008097166"/>
    <col collapsed="false" hidden="false" max="14" min="14" style="0" width="5"/>
    <col collapsed="false" hidden="false" max="15" min="15" style="0" width="6.2834008097166"/>
    <col collapsed="false" hidden="false" max="16" min="16" style="0" width="11.7125506072874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51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="2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9</v>
      </c>
      <c r="E4" s="11"/>
      <c r="F4" s="11"/>
      <c r="G4" s="11"/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9</v>
      </c>
      <c r="Q4" s="4" t="s">
        <v>21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3</v>
      </c>
      <c r="G6" s="11" t="n">
        <v>1</v>
      </c>
      <c r="H6" s="11" t="n">
        <v>1</v>
      </c>
      <c r="I6" s="11" t="n">
        <v>1.5</v>
      </c>
      <c r="J6" s="12"/>
      <c r="K6" s="12"/>
      <c r="L6" s="11"/>
      <c r="M6" s="11"/>
      <c r="N6" s="11"/>
      <c r="O6" s="11"/>
      <c r="P6" s="9" t="n">
        <f aca="false">SUM(D6:O6)</f>
        <v>6.5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 t="n">
        <v>2</v>
      </c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2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 t="n">
        <v>0.25</v>
      </c>
      <c r="J9" s="12"/>
      <c r="K9" s="12"/>
      <c r="L9" s="11"/>
      <c r="M9" s="11"/>
      <c r="N9" s="11"/>
      <c r="O9" s="11"/>
      <c r="P9" s="9" t="n">
        <f aca="false">SUM(D9:O9)</f>
        <v>0.75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 t="n">
        <v>0.5</v>
      </c>
      <c r="I10" s="13" t="n">
        <v>0.5</v>
      </c>
      <c r="J10" s="12"/>
      <c r="K10" s="12"/>
      <c r="L10" s="11"/>
      <c r="M10" s="11"/>
      <c r="N10" s="11"/>
      <c r="O10" s="11"/>
      <c r="P10" s="9" t="n">
        <f aca="false">SUM(D10:O10)</f>
        <v>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 t="n">
        <v>2</v>
      </c>
      <c r="E13" s="11" t="n">
        <v>2</v>
      </c>
      <c r="F13" s="11" t="n">
        <v>4.25</v>
      </c>
      <c r="G13" s="11" t="n">
        <v>4</v>
      </c>
      <c r="H13" s="11" t="n">
        <v>2</v>
      </c>
      <c r="I13" s="11" t="n">
        <v>2</v>
      </c>
      <c r="J13" s="12"/>
      <c r="K13" s="12"/>
      <c r="L13" s="11"/>
      <c r="M13" s="11"/>
      <c r="N13" s="11"/>
      <c r="O13" s="11"/>
      <c r="P13" s="9" t="n">
        <f aca="false">SUM(D13:O13)</f>
        <v>16.25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 t="n">
        <v>5</v>
      </c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5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="2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Format="false" ht="15" hidden="false" customHeight="false" outlineLevel="0" collapsed="false">
      <c r="A16" s="1" t="s">
        <v>34</v>
      </c>
      <c r="B16" s="1" t="s">
        <v>37</v>
      </c>
      <c r="C16" s="1" t="str">
        <f aca="false">VLOOKUP(B16,Lists!A2:B32,2,0)</f>
        <v>Tansir</v>
      </c>
      <c r="D16" s="20" t="n">
        <v>4</v>
      </c>
      <c r="E16" s="20" t="n">
        <v>4.75</v>
      </c>
      <c r="F16" s="20" t="n">
        <v>5</v>
      </c>
      <c r="G16" s="20" t="n">
        <v>3</v>
      </c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16.75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customFormat="false" ht="15" hidden="false" customHeight="false" outlineLevel="0" collapsed="false">
      <c r="A17" s="1" t="s">
        <v>34</v>
      </c>
      <c r="B17" s="1" t="s">
        <v>52</v>
      </c>
      <c r="C17" s="1" t="str">
        <f aca="false">VLOOKUP(B17,Lists!A2:B32,2,0)</f>
        <v>Maria</v>
      </c>
      <c r="D17" s="20" t="n">
        <v>5</v>
      </c>
      <c r="E17" s="20" t="n">
        <v>5</v>
      </c>
      <c r="F17" s="20" t="n">
        <v>4.25</v>
      </c>
      <c r="G17" s="20" t="n">
        <v>4</v>
      </c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18.25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customFormat="false" ht="15" hidden="false" customHeight="false" outlineLevel="0" collapsed="false">
      <c r="A18" s="1" t="s">
        <v>34</v>
      </c>
      <c r="B18" s="1" t="s">
        <v>38</v>
      </c>
      <c r="C18" s="1" t="str">
        <f aca="false">VLOOKUP(B18,Lists!A2:B32,2,0)</f>
        <v>Various</v>
      </c>
      <c r="D18" s="20" t="n">
        <v>1.5</v>
      </c>
      <c r="E18" s="20" t="n">
        <v>5</v>
      </c>
      <c r="F18" s="20" t="n">
        <v>1.25</v>
      </c>
      <c r="G18" s="20" t="n">
        <v>2.25</v>
      </c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10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customFormat="false" ht="15" hidden="false" customHeight="false" outlineLevel="0" collapsed="false">
      <c r="A19" s="1" t="s">
        <v>34</v>
      </c>
      <c r="B19" s="1" t="s">
        <v>53</v>
      </c>
      <c r="C19" s="1" t="str">
        <f aca="false">VLOOKUP(B19,Lists!A2:B33,2,0)</f>
        <v>Tansir</v>
      </c>
      <c r="D19" s="20"/>
      <c r="E19" s="20"/>
      <c r="F19" s="20" t="n">
        <v>2.75</v>
      </c>
      <c r="G19" s="20"/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2.75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11.5</v>
      </c>
      <c r="E23" s="23" t="n">
        <f aca="false">SUM(E4:E14)</f>
        <v>5.25</v>
      </c>
      <c r="F23" s="23" t="n">
        <f aca="false">SUM(F4:F14)</f>
        <v>7.75</v>
      </c>
      <c r="G23" s="23" t="n">
        <f aca="false">SUM(G4:G14)</f>
        <v>10.75</v>
      </c>
      <c r="H23" s="23" t="n">
        <f aca="false">SUM(H4:H14)</f>
        <v>3.5</v>
      </c>
      <c r="I23" s="23" t="n">
        <f aca="false">SUM(I4:I14)</f>
        <v>4.25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43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10.5</v>
      </c>
      <c r="E24" s="23" t="n">
        <f aca="false">SUM(E16:E22)</f>
        <v>14.75</v>
      </c>
      <c r="F24" s="23" t="n">
        <f aca="false">SUM(F16:F22)</f>
        <v>13.25</v>
      </c>
      <c r="G24" s="23" t="n">
        <f aca="false">SUM(G16:G22)</f>
        <v>9.25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47.75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3.5</v>
      </c>
      <c r="I25" s="23" t="n">
        <f aca="false">SUM(I23:I24)</f>
        <v>4.25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90.75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0.477272727272727</v>
      </c>
      <c r="E26" s="25" t="n">
        <f aca="false">E24/E25</f>
        <v>0.7375</v>
      </c>
      <c r="F26" s="25" t="n">
        <f aca="false">F24/F25</f>
        <v>0.630952380952381</v>
      </c>
      <c r="G26" s="25" t="n">
        <f aca="false">G24/G25</f>
        <v>0.4625</v>
      </c>
      <c r="H26" s="25" t="n">
        <f aca="false">H24/H25</f>
        <v>0</v>
      </c>
      <c r="I26" s="25" t="n">
        <f aca="false">I24/I25</f>
        <v>0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0.526170798898072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19" activeCellId="0" sqref="H19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11.4251012145749"/>
    <col collapsed="false" hidden="false" max="4" min="4" style="0" width="5.85425101214575"/>
    <col collapsed="false" hidden="false" max="6" min="5" style="0" width="6"/>
    <col collapsed="false" hidden="false" max="7" min="7" style="0" width="5.57085020242915"/>
    <col collapsed="false" hidden="false" max="8" min="8" style="0" width="5.85425101214575"/>
    <col collapsed="false" hidden="false" max="10" min="9" style="0" width="5.42914979757085"/>
    <col collapsed="false" hidden="false" max="11" min="11" style="0" width="5.2834008097166"/>
    <col collapsed="false" hidden="false" max="12" min="12" style="0" width="5.57085020242915"/>
    <col collapsed="false" hidden="false" max="13" min="13" style="0" width="5.2834008097166"/>
    <col collapsed="false" hidden="false" max="15" min="14" style="0" width="6.2834008097166"/>
    <col collapsed="false" hidden="false" max="16" min="16" style="0" width="11.1417004048583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54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/>
      <c r="E4" s="11"/>
      <c r="F4" s="11" t="n">
        <v>5</v>
      </c>
      <c r="G4" s="11" t="n">
        <v>1</v>
      </c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6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0.5</v>
      </c>
      <c r="G6" s="11" t="n">
        <v>0.5</v>
      </c>
      <c r="H6" s="11" t="n">
        <v>0.5</v>
      </c>
      <c r="I6" s="11"/>
      <c r="J6" s="12"/>
      <c r="K6" s="12"/>
      <c r="L6" s="11"/>
      <c r="M6" s="11"/>
      <c r="N6" s="11"/>
      <c r="O6" s="11"/>
      <c r="P6" s="9" t="n">
        <f aca="false">SUM(D6:O6)</f>
        <v>1.5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1.5</v>
      </c>
      <c r="E10" s="11" t="n">
        <v>1.5</v>
      </c>
      <c r="F10" s="11" t="n">
        <v>0.5</v>
      </c>
      <c r="G10" s="11" t="n">
        <v>0.5</v>
      </c>
      <c r="H10" s="11" t="n">
        <v>0.5</v>
      </c>
      <c r="I10" s="13"/>
      <c r="J10" s="12"/>
      <c r="K10" s="12"/>
      <c r="L10" s="11"/>
      <c r="M10" s="11"/>
      <c r="N10" s="11"/>
      <c r="O10" s="11"/>
      <c r="P10" s="9" t="n">
        <f aca="false">SUM(D10:O10)</f>
        <v>4.5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37</v>
      </c>
      <c r="C16" s="1" t="str">
        <f aca="false">VLOOKUP(B16,Lists!A2:B32,2,0)</f>
        <v>Tansir</v>
      </c>
      <c r="D16" s="20" t="n">
        <v>16.5</v>
      </c>
      <c r="E16" s="20" t="n">
        <v>14.25</v>
      </c>
      <c r="F16" s="20" t="n">
        <v>5.25</v>
      </c>
      <c r="G16" s="29" t="n">
        <v>17.25</v>
      </c>
      <c r="H16" s="20" t="n">
        <v>15.5</v>
      </c>
      <c r="I16" s="20"/>
      <c r="J16" s="20"/>
      <c r="K16" s="21"/>
      <c r="L16" s="20"/>
      <c r="M16" s="20"/>
      <c r="N16" s="20"/>
      <c r="O16" s="20"/>
      <c r="P16" s="9" t="n">
        <f aca="false">SUM(D16:O16)</f>
        <v>68.75</v>
      </c>
      <c r="Q16" s="4"/>
    </row>
    <row r="17" customFormat="false" ht="15" hidden="false" customHeight="false" outlineLevel="0" collapsed="false">
      <c r="A17" s="1" t="s">
        <v>34</v>
      </c>
      <c r="B17" s="1" t="s">
        <v>50</v>
      </c>
      <c r="C17" s="1" t="str">
        <f aca="false">VLOOKUP(B17,Lists!A2:B32,2,0)</f>
        <v>Tansir</v>
      </c>
      <c r="D17" s="20" t="n">
        <v>3.5</v>
      </c>
      <c r="E17" s="20" t="n">
        <v>3</v>
      </c>
      <c r="F17" s="20" t="n">
        <v>9.25</v>
      </c>
      <c r="G17" s="20"/>
      <c r="H17" s="20" t="n">
        <v>3</v>
      </c>
      <c r="I17" s="20"/>
      <c r="J17" s="21"/>
      <c r="K17" s="21"/>
      <c r="L17" s="20"/>
      <c r="M17" s="20"/>
      <c r="N17" s="20"/>
      <c r="O17" s="20"/>
      <c r="P17" s="9" t="n">
        <f aca="false">SUM(D17:O17)</f>
        <v>18.75</v>
      </c>
      <c r="Q17" s="4"/>
    </row>
    <row r="18" customFormat="false" ht="15" hidden="false" customHeight="false" outlineLevel="0" collapsed="false">
      <c r="A18" s="1" t="s">
        <v>34</v>
      </c>
      <c r="B18" s="1" t="s">
        <v>38</v>
      </c>
      <c r="C18" s="1" t="str">
        <f aca="false">VLOOKUP(B18,Lists!A2:B32,2,0)</f>
        <v>Various</v>
      </c>
      <c r="D18" s="20" t="n">
        <v>0.5</v>
      </c>
      <c r="E18" s="20" t="n">
        <v>0.5</v>
      </c>
      <c r="F18" s="20" t="n">
        <v>0.5</v>
      </c>
      <c r="G18" s="20" t="n">
        <v>0.5</v>
      </c>
      <c r="H18" s="20" t="n">
        <v>0.5</v>
      </c>
      <c r="I18" s="20"/>
      <c r="J18" s="21"/>
      <c r="K18" s="21"/>
      <c r="L18" s="20"/>
      <c r="M18" s="20"/>
      <c r="N18" s="20"/>
      <c r="O18" s="20"/>
      <c r="P18" s="9" t="n">
        <f aca="false">SUM(D18:O18)</f>
        <v>2.5</v>
      </c>
      <c r="Q18" s="4"/>
    </row>
    <row r="19" customFormat="false" ht="15" hidden="false" customHeight="false" outlineLevel="0" collapsed="false">
      <c r="A19" s="1" t="s">
        <v>34</v>
      </c>
      <c r="B19" s="1"/>
      <c r="C19" s="1" t="e">
        <f aca="false">VLOOKUP(B19,Lists!A2:B33,2,0)</f>
        <v>#N/A</v>
      </c>
      <c r="D19" s="20"/>
      <c r="E19" s="20"/>
      <c r="F19" s="20"/>
      <c r="G19" s="20"/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0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1.5</v>
      </c>
      <c r="E23" s="23" t="n">
        <f aca="false">SUM(E4:E14)</f>
        <v>2.25</v>
      </c>
      <c r="F23" s="23" t="n">
        <f aca="false">SUM(F4:F14)</f>
        <v>6</v>
      </c>
      <c r="G23" s="23" t="n">
        <f aca="false">SUM(G4:G14)</f>
        <v>2.25</v>
      </c>
      <c r="H23" s="23" t="n">
        <f aca="false">SUM(H4:H14)</f>
        <v>1</v>
      </c>
      <c r="I23" s="23" t="n">
        <f aca="false">SUM(I4:I14)</f>
        <v>0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13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20.5</v>
      </c>
      <c r="E24" s="23" t="n">
        <f aca="false">SUM(E16:E22)</f>
        <v>17.75</v>
      </c>
      <c r="F24" s="23" t="n">
        <f aca="false">SUM(F16:F22)</f>
        <v>15</v>
      </c>
      <c r="G24" s="23" t="n">
        <f aca="false">SUM(G16:G22)</f>
        <v>17.75</v>
      </c>
      <c r="H24" s="23" t="n">
        <f aca="false">SUM(H16:H22)</f>
        <v>19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90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20</v>
      </c>
      <c r="I25" s="23" t="n">
        <f aca="false">SUM(I23:I24)</f>
        <v>0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103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0.931818181818182</v>
      </c>
      <c r="E26" s="25" t="n">
        <f aca="false">E24/E25</f>
        <v>0.8875</v>
      </c>
      <c r="F26" s="25" t="n">
        <f aca="false">F24/F25</f>
        <v>0.714285714285714</v>
      </c>
      <c r="G26" s="25" t="n">
        <f aca="false">G24/G25</f>
        <v>0.8875</v>
      </c>
      <c r="H26" s="25" t="n">
        <f aca="false">H24/H25</f>
        <v>0.95</v>
      </c>
      <c r="I26" s="25" t="e">
        <f aca="false">I24/I25</f>
        <v>#DIV/0!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0.87378640776699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8.4251012145749"/>
    <col collapsed="false" hidden="false" max="4" min="4" style="0" width="5.71255060728745"/>
    <col collapsed="false" hidden="false" max="6" min="5" style="0" width="6"/>
    <col collapsed="false" hidden="false" max="8" min="7" style="0" width="5.85425101214575"/>
    <col collapsed="false" hidden="false" max="9" min="9" style="0" width="5.71255060728745"/>
    <col collapsed="false" hidden="false" max="10" min="10" style="0" width="5.57085020242915"/>
    <col collapsed="false" hidden="false" max="11" min="11" style="0" width="5.85425101214575"/>
    <col collapsed="false" hidden="false" max="12" min="12" style="0" width="5.57085020242915"/>
    <col collapsed="false" hidden="false" max="13" min="13" style="0" width="5.2834008097166"/>
    <col collapsed="false" hidden="false" max="14" min="14" style="0" width="5"/>
    <col collapsed="false" hidden="false" max="15" min="15" style="0" width="6.2834008097166"/>
    <col collapsed="false" hidden="false" max="16" min="16" style="0" width="11.1417004048583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55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4</v>
      </c>
      <c r="E4" s="11" t="n">
        <v>2</v>
      </c>
      <c r="F4" s="11"/>
      <c r="G4" s="11"/>
      <c r="H4" s="11"/>
      <c r="I4" s="11" t="n">
        <v>2</v>
      </c>
      <c r="J4" s="12"/>
      <c r="K4" s="12"/>
      <c r="L4" s="11"/>
      <c r="M4" s="11"/>
      <c r="N4" s="11"/>
      <c r="O4" s="11"/>
      <c r="P4" s="9" t="n">
        <f aca="false">SUM(D4:O4)</f>
        <v>8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1</v>
      </c>
      <c r="G6" s="11"/>
      <c r="H6" s="11"/>
      <c r="I6" s="11" t="n">
        <v>1</v>
      </c>
      <c r="J6" s="12"/>
      <c r="K6" s="12"/>
      <c r="L6" s="11"/>
      <c r="M6" s="11"/>
      <c r="N6" s="11"/>
      <c r="O6" s="11"/>
      <c r="P6" s="9" t="n">
        <f aca="false">SUM(D6:O6)</f>
        <v>2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 t="n">
        <v>0.25</v>
      </c>
      <c r="J9" s="12"/>
      <c r="K9" s="12"/>
      <c r="L9" s="11"/>
      <c r="M9" s="11"/>
      <c r="N9" s="11"/>
      <c r="O9" s="11"/>
      <c r="P9" s="9" t="n">
        <f aca="false">SUM(D9:O9)</f>
        <v>0.75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 t="n">
        <v>0.5</v>
      </c>
      <c r="I10" s="13"/>
      <c r="J10" s="12"/>
      <c r="K10" s="12"/>
      <c r="L10" s="11"/>
      <c r="M10" s="11"/>
      <c r="N10" s="11"/>
      <c r="O10" s="11"/>
      <c r="P10" s="9" t="n">
        <f aca="false">SUM(D10:O10)</f>
        <v>2.5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37</v>
      </c>
      <c r="C16" s="1" t="str">
        <f aca="false">VLOOKUP(B16,Lists!A2:B32,2,0)</f>
        <v>Tansir</v>
      </c>
      <c r="D16" s="20" t="n">
        <v>1</v>
      </c>
      <c r="E16" s="20" t="n">
        <v>1.25</v>
      </c>
      <c r="F16" s="20" t="n">
        <v>0</v>
      </c>
      <c r="G16" s="20" t="n">
        <v>0</v>
      </c>
      <c r="H16" s="20" t="n">
        <v>4</v>
      </c>
      <c r="I16" s="20"/>
      <c r="J16" s="20"/>
      <c r="K16" s="21"/>
      <c r="L16" s="20"/>
      <c r="M16" s="20"/>
      <c r="N16" s="20"/>
      <c r="O16" s="20"/>
      <c r="P16" s="9" t="n">
        <f aca="false">SUM(D16:O16)</f>
        <v>6.25</v>
      </c>
      <c r="Q16" s="4"/>
    </row>
    <row r="17" customFormat="false" ht="15" hidden="false" customHeight="false" outlineLevel="0" collapsed="false">
      <c r="A17" s="1" t="s">
        <v>34</v>
      </c>
      <c r="B17" s="1" t="s">
        <v>53</v>
      </c>
      <c r="C17" s="1" t="str">
        <f aca="false">VLOOKUP(B17,Lists!A2:B32,2,0)</f>
        <v>Tansir</v>
      </c>
      <c r="D17" s="20" t="n">
        <v>16</v>
      </c>
      <c r="E17" s="20" t="n">
        <v>15</v>
      </c>
      <c r="F17" s="20" t="n">
        <v>18</v>
      </c>
      <c r="G17" s="20" t="n">
        <v>18.75</v>
      </c>
      <c r="H17" s="20" t="n">
        <v>9</v>
      </c>
      <c r="I17" s="20"/>
      <c r="J17" s="21"/>
      <c r="K17" s="21"/>
      <c r="L17" s="20"/>
      <c r="M17" s="20"/>
      <c r="N17" s="20"/>
      <c r="O17" s="20"/>
      <c r="P17" s="9" t="n">
        <f aca="false">SUM(D17:O17)</f>
        <v>76.75</v>
      </c>
      <c r="Q17" s="4"/>
    </row>
    <row r="18" customFormat="false" ht="15" hidden="false" customHeight="false" outlineLevel="0" collapsed="false">
      <c r="A18" s="1" t="s">
        <v>34</v>
      </c>
      <c r="B18" s="1" t="s">
        <v>56</v>
      </c>
      <c r="C18" s="1" t="s">
        <v>57</v>
      </c>
      <c r="D18" s="20" t="n">
        <v>0</v>
      </c>
      <c r="E18" s="20" t="n">
        <v>0</v>
      </c>
      <c r="F18" s="20" t="n">
        <v>0</v>
      </c>
      <c r="G18" s="20" t="n">
        <v>0</v>
      </c>
      <c r="H18" s="20" t="n">
        <v>6</v>
      </c>
      <c r="I18" s="20"/>
      <c r="J18" s="21"/>
      <c r="K18" s="21"/>
      <c r="L18" s="20"/>
      <c r="M18" s="20"/>
      <c r="N18" s="20"/>
      <c r="O18" s="20"/>
      <c r="P18" s="9"/>
      <c r="Q18" s="4"/>
    </row>
    <row r="19" customFormat="false" ht="15" hidden="false" customHeight="false" outlineLevel="0" collapsed="false">
      <c r="A19" s="1" t="s">
        <v>34</v>
      </c>
      <c r="B19" s="1" t="s">
        <v>38</v>
      </c>
      <c r="C19" s="1" t="str">
        <f aca="false">VLOOKUP(B19,Lists!A2:B32,2,0)</f>
        <v>Various</v>
      </c>
      <c r="D19" s="20" t="n">
        <v>0.5</v>
      </c>
      <c r="E19" s="20" t="n">
        <v>0.5</v>
      </c>
      <c r="F19" s="20" t="n">
        <v>1.5</v>
      </c>
      <c r="G19" s="20" t="n">
        <v>0.5</v>
      </c>
      <c r="H19" s="20" t="n">
        <v>0.5</v>
      </c>
      <c r="I19" s="20"/>
      <c r="J19" s="21"/>
      <c r="K19" s="21"/>
      <c r="L19" s="20"/>
      <c r="M19" s="20"/>
      <c r="N19" s="20"/>
      <c r="O19" s="20"/>
      <c r="P19" s="9" t="n">
        <f aca="false">SUM(D19:O19)</f>
        <v>3.5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1" t="s">
        <v>34</v>
      </c>
      <c r="B23" s="1"/>
      <c r="C23" s="1" t="e">
        <f aca="false">VLOOKUP(B23,Lists!A2:B33,2,0)</f>
        <v>#N/A</v>
      </c>
      <c r="D23" s="20"/>
      <c r="E23" s="20"/>
      <c r="F23" s="20"/>
      <c r="G23" s="20"/>
      <c r="H23" s="20"/>
      <c r="I23" s="20"/>
      <c r="J23" s="21"/>
      <c r="K23" s="21"/>
      <c r="L23" s="20"/>
      <c r="M23" s="20"/>
      <c r="N23" s="20"/>
      <c r="O23" s="20"/>
      <c r="P23" s="9" t="n">
        <f aca="false">SUM(D23:O23)</f>
        <v>0</v>
      </c>
      <c r="Q23" s="4"/>
    </row>
    <row r="24" customFormat="false" ht="15" hidden="false" customHeight="false" outlineLevel="0" collapsed="false">
      <c r="A24" s="22" t="s">
        <v>40</v>
      </c>
      <c r="B24" s="22" t="s">
        <v>41</v>
      </c>
      <c r="C24" s="22"/>
      <c r="D24" s="23" t="n">
        <f aca="false">SUM(D4:D14)</f>
        <v>4.5</v>
      </c>
      <c r="E24" s="23" t="n">
        <f aca="false">SUM(E4:E14)</f>
        <v>3.25</v>
      </c>
      <c r="F24" s="23" t="n">
        <f aca="false">SUM(F4:F14)</f>
        <v>1.5</v>
      </c>
      <c r="G24" s="23" t="n">
        <f aca="false">SUM(G4:G14)</f>
        <v>0.75</v>
      </c>
      <c r="H24" s="23" t="n">
        <f aca="false">SUM(H4:H14)</f>
        <v>0.5</v>
      </c>
      <c r="I24" s="23" t="n">
        <f aca="false">SUM(I4:I14)</f>
        <v>3.25</v>
      </c>
      <c r="J24" s="23" t="n">
        <f aca="false">SUM(J4:J14)</f>
        <v>0</v>
      </c>
      <c r="K24" s="23" t="n">
        <f aca="false">SUM(K4:K14)</f>
        <v>0</v>
      </c>
      <c r="L24" s="23" t="n">
        <f aca="false">SUM(L4:L14)</f>
        <v>0</v>
      </c>
      <c r="M24" s="23" t="n">
        <f aca="false">SUM(M4:M14)</f>
        <v>0</v>
      </c>
      <c r="N24" s="23" t="n">
        <f aca="false">SUM(N4:N14)</f>
        <v>0</v>
      </c>
      <c r="O24" s="23" t="n">
        <f aca="false">SUM(O4:O14)</f>
        <v>0</v>
      </c>
      <c r="P24" s="24" t="n">
        <f aca="false">SUM(D24:O24)</f>
        <v>13.75</v>
      </c>
      <c r="Q24" s="4"/>
    </row>
    <row r="25" customFormat="false" ht="15" hidden="false" customHeight="false" outlineLevel="0" collapsed="false">
      <c r="A25" s="22" t="s">
        <v>42</v>
      </c>
      <c r="B25" s="22" t="s">
        <v>43</v>
      </c>
      <c r="C25" s="22"/>
      <c r="D25" s="23" t="n">
        <f aca="false">SUM(D16:D23)</f>
        <v>17.5</v>
      </c>
      <c r="E25" s="23" t="n">
        <f aca="false">SUM(E16:E23)</f>
        <v>16.75</v>
      </c>
      <c r="F25" s="23" t="n">
        <f aca="false">SUM(F16:F23)</f>
        <v>19.5</v>
      </c>
      <c r="G25" s="23" t="n">
        <f aca="false">SUM(G16:G23)</f>
        <v>19.25</v>
      </c>
      <c r="H25" s="23" t="n">
        <f aca="false">SUM(H16:H23)</f>
        <v>19.5</v>
      </c>
      <c r="I25" s="23" t="n">
        <f aca="false">SUM(I16:I23)</f>
        <v>0</v>
      </c>
      <c r="J25" s="23" t="n">
        <f aca="false">SUM(J16:J23)</f>
        <v>0</v>
      </c>
      <c r="K25" s="23" t="n">
        <f aca="false">SUM(K16:K23)</f>
        <v>0</v>
      </c>
      <c r="L25" s="23" t="n">
        <f aca="false">SUM(L16:L23)</f>
        <v>0</v>
      </c>
      <c r="M25" s="23" t="n">
        <f aca="false">SUM(M16:M23)</f>
        <v>0</v>
      </c>
      <c r="N25" s="23" t="n">
        <f aca="false">SUM(N16:N23)</f>
        <v>0</v>
      </c>
      <c r="O25" s="23" t="n">
        <f aca="false">SUM(O16:O23)</f>
        <v>0</v>
      </c>
      <c r="P25" s="24" t="n">
        <f aca="false">SUM(D25:O25)</f>
        <v>92.5</v>
      </c>
      <c r="Q25" s="4"/>
    </row>
    <row r="26" customFormat="false" ht="15" hidden="false" customHeight="false" outlineLevel="0" collapsed="false">
      <c r="A26" s="22" t="s">
        <v>42</v>
      </c>
      <c r="B26" s="22" t="s">
        <v>44</v>
      </c>
      <c r="C26" s="22"/>
      <c r="D26" s="23" t="n">
        <f aca="false">SUM(D24:D25)</f>
        <v>22</v>
      </c>
      <c r="E26" s="23" t="n">
        <f aca="false">SUM(E24:E25)</f>
        <v>20</v>
      </c>
      <c r="F26" s="23" t="n">
        <f aca="false">SUM(F24:F25)</f>
        <v>21</v>
      </c>
      <c r="G26" s="23" t="n">
        <f aca="false">SUM(G24:G25)</f>
        <v>20</v>
      </c>
      <c r="H26" s="23" t="n">
        <f aca="false">SUM(H24:H25)</f>
        <v>20</v>
      </c>
      <c r="I26" s="23" t="n">
        <f aca="false">SUM(I24:I25)</f>
        <v>3.25</v>
      </c>
      <c r="J26" s="23" t="n">
        <f aca="false">SUM(J24:J25)</f>
        <v>0</v>
      </c>
      <c r="K26" s="23" t="n">
        <f aca="false">SUM(K24:K25)</f>
        <v>0</v>
      </c>
      <c r="L26" s="23" t="n">
        <f aca="false">SUM(L24:L25)</f>
        <v>0</v>
      </c>
      <c r="M26" s="23" t="n">
        <f aca="false">SUM(M24:M25)</f>
        <v>0</v>
      </c>
      <c r="N26" s="23" t="n">
        <f aca="false">SUM(N24:N25)</f>
        <v>0</v>
      </c>
      <c r="O26" s="23" t="n">
        <f aca="false">SUM(O24:O25)</f>
        <v>0</v>
      </c>
      <c r="P26" s="24" t="n">
        <f aca="false">SUM(D26:O26)</f>
        <v>106.25</v>
      </c>
      <c r="Q26" s="4"/>
    </row>
    <row r="27" customFormat="false" ht="15" hidden="false" customHeight="false" outlineLevel="0" collapsed="false">
      <c r="A27" s="22" t="s">
        <v>42</v>
      </c>
      <c r="B27" s="22" t="s">
        <v>45</v>
      </c>
      <c r="C27" s="22"/>
      <c r="D27" s="25" t="n">
        <f aca="false">D25/D26</f>
        <v>0.795454545454545</v>
      </c>
      <c r="E27" s="25" t="n">
        <f aca="false">E25/E26</f>
        <v>0.8375</v>
      </c>
      <c r="F27" s="25" t="n">
        <f aca="false">F25/F26</f>
        <v>0.928571428571429</v>
      </c>
      <c r="G27" s="25" t="n">
        <f aca="false">G25/G26</f>
        <v>0.9625</v>
      </c>
      <c r="H27" s="25" t="n">
        <f aca="false">H25/H26</f>
        <v>0.975</v>
      </c>
      <c r="I27" s="25" t="n">
        <f aca="false">I25/I26</f>
        <v>0</v>
      </c>
      <c r="J27" s="25" t="e">
        <f aca="false">J25/J26</f>
        <v>#DIV/0!</v>
      </c>
      <c r="K27" s="25" t="e">
        <f aca="false">K25/K26</f>
        <v>#DIV/0!</v>
      </c>
      <c r="L27" s="25" t="e">
        <f aca="false">L25/L26</f>
        <v>#DIV/0!</v>
      </c>
      <c r="M27" s="25" t="e">
        <f aca="false">M25/M26</f>
        <v>#DIV/0!</v>
      </c>
      <c r="N27" s="25" t="e">
        <f aca="false">N25/N26</f>
        <v>#DIV/0!</v>
      </c>
      <c r="O27" s="25" t="e">
        <f aca="false">O25/O26</f>
        <v>#DIV/0!</v>
      </c>
      <c r="P27" s="26" t="n">
        <f aca="false">P25/P26</f>
        <v>0.870588235294118</v>
      </c>
      <c r="Q27" s="4"/>
    </row>
  </sheetData>
  <conditionalFormatting sqref="D27:O27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7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3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9.85425101214575"/>
    <col collapsed="false" hidden="false" max="4" min="4" style="0" width="5.85425101214575"/>
    <col collapsed="false" hidden="false" max="5" min="5" style="0" width="5.71255060728745"/>
    <col collapsed="false" hidden="false" max="6" min="6" style="0" width="6"/>
    <col collapsed="false" hidden="false" max="7" min="7" style="0" width="5.85425101214575"/>
    <col collapsed="false" hidden="false" max="9" min="8" style="0" width="5.42914979757085"/>
    <col collapsed="false" hidden="false" max="10" min="10" style="0" width="5.57085020242915"/>
    <col collapsed="false" hidden="false" max="11" min="11" style="0" width="5.2834008097166"/>
    <col collapsed="false" hidden="false" max="12" min="12" style="0" width="5.57085020242915"/>
    <col collapsed="false" hidden="false" max="13" min="13" style="0" width="5.2834008097166"/>
    <col collapsed="false" hidden="false" max="14" min="14" style="0" width="5.57085020242915"/>
    <col collapsed="false" hidden="false" max="15" min="15" style="0" width="6.2834008097166"/>
    <col collapsed="false" hidden="false" max="16" min="16" style="0" width="11.2834008097166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58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13</v>
      </c>
      <c r="E4" s="11"/>
      <c r="F4" s="11"/>
      <c r="G4" s="11"/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13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1</v>
      </c>
      <c r="G6" s="11"/>
      <c r="H6" s="11"/>
      <c r="I6" s="11"/>
      <c r="J6" s="12"/>
      <c r="K6" s="12"/>
      <c r="L6" s="11"/>
      <c r="M6" s="11"/>
      <c r="N6" s="11"/>
      <c r="O6" s="11"/>
      <c r="P6" s="9" t="n">
        <f aca="false">SUM(D6:O6)</f>
        <v>1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/>
      <c r="I10" s="13"/>
      <c r="J10" s="12"/>
      <c r="K10" s="12"/>
      <c r="L10" s="11"/>
      <c r="M10" s="11"/>
      <c r="N10" s="11"/>
      <c r="O10" s="11"/>
      <c r="P10" s="9" t="n">
        <f aca="false">SUM(D10:O10)</f>
        <v>2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 t="n">
        <v>0.5</v>
      </c>
      <c r="E13" s="11"/>
      <c r="F13" s="11" t="n">
        <v>0.75</v>
      </c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1.25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47</v>
      </c>
      <c r="C16" s="1" t="str">
        <f aca="false">VLOOKUP(B16,Lists!A2:B32,2,0)</f>
        <v>Tansir</v>
      </c>
      <c r="D16" s="20" t="n">
        <v>3.5</v>
      </c>
      <c r="E16" s="20" t="n">
        <v>3.25</v>
      </c>
      <c r="F16" s="20" t="n">
        <v>2.75</v>
      </c>
      <c r="G16" s="20"/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9.5</v>
      </c>
      <c r="Q16" s="4"/>
    </row>
    <row r="17" customFormat="false" ht="15" hidden="false" customHeight="false" outlineLevel="0" collapsed="false">
      <c r="A17" s="1" t="s">
        <v>34</v>
      </c>
      <c r="B17" s="1" t="s">
        <v>53</v>
      </c>
      <c r="C17" s="1" t="str">
        <f aca="false">VLOOKUP(B17,Lists!A2:B32,2,0)</f>
        <v>Tansir</v>
      </c>
      <c r="D17" s="20" t="n">
        <v>4.5</v>
      </c>
      <c r="E17" s="20" t="n">
        <v>9.5</v>
      </c>
      <c r="F17" s="20"/>
      <c r="G17" s="20"/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14</v>
      </c>
      <c r="Q17" s="4"/>
    </row>
    <row r="18" customFormat="false" ht="15" hidden="false" customHeight="false" outlineLevel="0" collapsed="false">
      <c r="A18" s="1" t="s">
        <v>34</v>
      </c>
      <c r="B18" s="1" t="s">
        <v>38</v>
      </c>
      <c r="C18" s="1" t="str">
        <f aca="false">VLOOKUP(B18,Lists!A2:B32,2,0)</f>
        <v>Various</v>
      </c>
      <c r="D18" s="20"/>
      <c r="E18" s="20" t="n">
        <v>6</v>
      </c>
      <c r="F18" s="20"/>
      <c r="G18" s="20" t="n">
        <v>0.5</v>
      </c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6.5</v>
      </c>
      <c r="Q18" s="4"/>
    </row>
    <row r="19" customFormat="false" ht="15" hidden="false" customHeight="false" outlineLevel="0" collapsed="false">
      <c r="A19" s="1" t="s">
        <v>34</v>
      </c>
      <c r="B19" s="1" t="s">
        <v>59</v>
      </c>
      <c r="C19" s="1" t="str">
        <f aca="false">VLOOKUP(B19,Lists!A2:B33,2,0)</f>
        <v>Maria</v>
      </c>
      <c r="D19" s="20"/>
      <c r="E19" s="20"/>
      <c r="F19" s="20" t="n">
        <v>16</v>
      </c>
      <c r="G19" s="20" t="n">
        <v>18.75</v>
      </c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34.75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14</v>
      </c>
      <c r="E23" s="23" t="n">
        <f aca="false">SUM(E4:E14)</f>
        <v>1.25</v>
      </c>
      <c r="F23" s="23" t="n">
        <f aca="false">SUM(F4:F14)</f>
        <v>2.25</v>
      </c>
      <c r="G23" s="23" t="n">
        <f aca="false">SUM(G4:G14)</f>
        <v>0.75</v>
      </c>
      <c r="H23" s="23" t="n">
        <f aca="false">SUM(H4:H14)</f>
        <v>0</v>
      </c>
      <c r="I23" s="23" t="n">
        <f aca="false">SUM(I4:I14)</f>
        <v>0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18.25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8</v>
      </c>
      <c r="E24" s="23" t="n">
        <f aca="false">SUM(E16:E22)</f>
        <v>18.75</v>
      </c>
      <c r="F24" s="23" t="n">
        <f aca="false">SUM(F16:F22)</f>
        <v>18.75</v>
      </c>
      <c r="G24" s="23" t="n">
        <f aca="false">SUM(G16:G22)</f>
        <v>19.25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64.75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0</v>
      </c>
      <c r="I25" s="23" t="n">
        <f aca="false">SUM(I23:I24)</f>
        <v>0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83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0.363636363636364</v>
      </c>
      <c r="E26" s="25" t="n">
        <f aca="false">E24/E25</f>
        <v>0.9375</v>
      </c>
      <c r="F26" s="25" t="n">
        <f aca="false">F24/F25</f>
        <v>0.892857142857143</v>
      </c>
      <c r="G26" s="25" t="n">
        <f aca="false">G24/G25</f>
        <v>0.9625</v>
      </c>
      <c r="H26" s="25" t="e">
        <f aca="false">H24/H25</f>
        <v>#DIV/0!</v>
      </c>
      <c r="I26" s="25" t="e">
        <f aca="false">I24/I25</f>
        <v>#DIV/0!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0.780120481927711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11.9959514170041"/>
    <col collapsed="false" hidden="false" max="4" min="4" style="0" width="5.71255060728745"/>
    <col collapsed="false" hidden="false" max="5" min="5" style="0" width="6.1417004048583"/>
    <col collapsed="false" hidden="false" max="6" min="6" style="0" width="6"/>
    <col collapsed="false" hidden="false" max="7" min="7" style="0" width="5.71255060728745"/>
    <col collapsed="false" hidden="false" max="10" min="8" style="0" width="5.42914979757085"/>
    <col collapsed="false" hidden="false" max="11" min="11" style="0" width="5.2834008097166"/>
    <col collapsed="false" hidden="false" max="12" min="12" style="0" width="5.57085020242915"/>
    <col collapsed="false" hidden="false" max="13" min="13" style="0" width="5.2834008097166"/>
    <col collapsed="false" hidden="false" max="14" min="14" style="0" width="5.71255060728745"/>
    <col collapsed="false" hidden="false" max="15" min="15" style="0" width="6.2834008097166"/>
    <col collapsed="false" hidden="false" max="16" min="16" style="0" width="11.1417004048583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60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/>
      <c r="E4" s="11"/>
      <c r="F4" s="11" t="n">
        <v>3</v>
      </c>
      <c r="G4" s="11" t="n">
        <v>8</v>
      </c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11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0.5</v>
      </c>
      <c r="G6" s="11"/>
      <c r="H6" s="11"/>
      <c r="I6" s="11"/>
      <c r="J6" s="12"/>
      <c r="K6" s="12"/>
      <c r="L6" s="11"/>
      <c r="M6" s="11"/>
      <c r="N6" s="11"/>
      <c r="O6" s="11"/>
      <c r="P6" s="9" t="n">
        <f aca="false">SUM(D6:O6)</f>
        <v>0.5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/>
      <c r="I10" s="13"/>
      <c r="J10" s="12"/>
      <c r="K10" s="12"/>
      <c r="L10" s="11"/>
      <c r="M10" s="11"/>
      <c r="N10" s="11"/>
      <c r="O10" s="11"/>
      <c r="P10" s="9" t="n">
        <f aca="false">SUM(D10:O10)</f>
        <v>2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 t="n">
        <v>5</v>
      </c>
      <c r="E13" s="11" t="n">
        <v>5</v>
      </c>
      <c r="F13" s="11" t="n">
        <v>5</v>
      </c>
      <c r="G13" s="11" t="n">
        <v>2</v>
      </c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17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36</v>
      </c>
      <c r="C16" s="1" t="str">
        <f aca="false">VLOOKUP(B16,Lists!A2:B32,2,0)</f>
        <v>Mobeen</v>
      </c>
      <c r="D16" s="20" t="n">
        <v>5</v>
      </c>
      <c r="E16" s="20" t="n">
        <v>5</v>
      </c>
      <c r="F16" s="20" t="n">
        <v>3</v>
      </c>
      <c r="G16" s="20" t="n">
        <v>1.5</v>
      </c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14.5</v>
      </c>
      <c r="Q16" s="4"/>
    </row>
    <row r="17" customFormat="false" ht="15" hidden="false" customHeight="false" outlineLevel="0" collapsed="false">
      <c r="A17" s="1" t="s">
        <v>34</v>
      </c>
      <c r="B17" s="1" t="s">
        <v>53</v>
      </c>
      <c r="C17" s="1" t="str">
        <f aca="false">VLOOKUP(B17,Lists!A2:B32,2,0)</f>
        <v>Tansir</v>
      </c>
      <c r="D17" s="20"/>
      <c r="E17" s="20" t="n">
        <v>8.25</v>
      </c>
      <c r="F17" s="20" t="n">
        <v>6.5</v>
      </c>
      <c r="G17" s="20" t="n">
        <v>4.75</v>
      </c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19.5</v>
      </c>
      <c r="Q17" s="4"/>
    </row>
    <row r="18" customFormat="false" ht="15" hidden="false" customHeight="false" outlineLevel="0" collapsed="false">
      <c r="A18" s="1" t="s">
        <v>34</v>
      </c>
      <c r="B18" s="1" t="s">
        <v>38</v>
      </c>
      <c r="C18" s="1" t="str">
        <f aca="false">VLOOKUP(B18,Lists!A2:B32,2,0)</f>
        <v>Various</v>
      </c>
      <c r="D18" s="20" t="n">
        <v>0.5</v>
      </c>
      <c r="E18" s="20" t="n">
        <v>0.5</v>
      </c>
      <c r="F18" s="20" t="n">
        <v>0.5</v>
      </c>
      <c r="G18" s="20"/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1.5</v>
      </c>
      <c r="Q18" s="4"/>
    </row>
    <row r="19" customFormat="false" ht="15" hidden="false" customHeight="false" outlineLevel="0" collapsed="false">
      <c r="A19" s="1" t="s">
        <v>34</v>
      </c>
      <c r="B19" s="1" t="s">
        <v>39</v>
      </c>
      <c r="C19" s="1" t="str">
        <f aca="false">VLOOKUP(B19,Lists!A2:B33,2,0)</f>
        <v>Mobeen</v>
      </c>
      <c r="D19" s="20"/>
      <c r="E19" s="20"/>
      <c r="F19" s="20" t="n">
        <v>2</v>
      </c>
      <c r="G19" s="20" t="n">
        <v>3</v>
      </c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5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5.5</v>
      </c>
      <c r="E23" s="23" t="n">
        <f aca="false">SUM(E4:E14)</f>
        <v>6.25</v>
      </c>
      <c r="F23" s="23" t="n">
        <f aca="false">SUM(F4:F14)</f>
        <v>9</v>
      </c>
      <c r="G23" s="23" t="n">
        <f aca="false">SUM(G4:G14)</f>
        <v>10.75</v>
      </c>
      <c r="H23" s="23" t="n">
        <f aca="false">SUM(H4:H14)</f>
        <v>0</v>
      </c>
      <c r="I23" s="23" t="n">
        <f aca="false">SUM(I4:I14)</f>
        <v>0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31.5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5.5</v>
      </c>
      <c r="E24" s="23" t="n">
        <f aca="false">SUM(E16:E22)</f>
        <v>13.75</v>
      </c>
      <c r="F24" s="23" t="n">
        <f aca="false">SUM(F16:F22)</f>
        <v>12</v>
      </c>
      <c r="G24" s="23" t="n">
        <f aca="false">SUM(G16:G22)</f>
        <v>9.25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40.5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11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0</v>
      </c>
      <c r="I25" s="23" t="n">
        <f aca="false">SUM(I23:I24)</f>
        <v>0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72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0.5</v>
      </c>
      <c r="E26" s="25" t="n">
        <f aca="false">E24/E25</f>
        <v>0.6875</v>
      </c>
      <c r="F26" s="25" t="n">
        <f aca="false">F24/F25</f>
        <v>0.571428571428571</v>
      </c>
      <c r="G26" s="25" t="n">
        <f aca="false">G24/G25</f>
        <v>0.4625</v>
      </c>
      <c r="H26" s="25" t="e">
        <f aca="false">H24/H25</f>
        <v>#DIV/0!</v>
      </c>
      <c r="I26" s="25" t="e">
        <f aca="false">I24/I25</f>
        <v>#DIV/0!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0.5625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1" display="Admin"/>
    <hyperlink ref="A12" r:id="rId2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11.5708502024291"/>
    <col collapsed="false" hidden="false" max="4" min="4" style="0" width="5.57085020242915"/>
    <col collapsed="false" hidden="false" max="5" min="5" style="0" width="5.71255060728745"/>
    <col collapsed="false" hidden="false" max="6" min="6" style="0" width="6"/>
    <col collapsed="false" hidden="false" max="7" min="7" style="0" width="5.42914979757085"/>
    <col collapsed="false" hidden="false" max="8" min="8" style="0" width="6"/>
    <col collapsed="false" hidden="false" max="9" min="9" style="0" width="5.2834008097166"/>
    <col collapsed="false" hidden="false" max="10" min="10" style="0" width="4.57085020242915"/>
    <col collapsed="false" hidden="false" max="11" min="11" style="0" width="5.2834008097166"/>
    <col collapsed="false" hidden="false" max="12" min="12" style="0" width="5.57085020242915"/>
    <col collapsed="false" hidden="false" max="13" min="13" style="0" width="5.2834008097166"/>
    <col collapsed="false" hidden="false" max="14" min="14" style="0" width="6.42914979757085"/>
    <col collapsed="false" hidden="false" max="15" min="15" style="0" width="6.2834008097166"/>
    <col collapsed="false" hidden="false" max="16" min="16" style="0" width="11.1417004048583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61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1</v>
      </c>
      <c r="E4" s="11" t="n">
        <v>2</v>
      </c>
      <c r="F4" s="11" t="n">
        <v>2</v>
      </c>
      <c r="G4" s="11"/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5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/>
      <c r="G6" s="11"/>
      <c r="H6" s="11"/>
      <c r="I6" s="11"/>
      <c r="J6" s="12"/>
      <c r="K6" s="12"/>
      <c r="L6" s="11"/>
      <c r="M6" s="11"/>
      <c r="N6" s="11"/>
      <c r="O6" s="11"/>
      <c r="P6" s="9" t="n">
        <f aca="false">SUM(D6:O6)</f>
        <v>0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 t="n">
        <v>0.5</v>
      </c>
      <c r="I10" s="13"/>
      <c r="J10" s="12"/>
      <c r="K10" s="12"/>
      <c r="L10" s="11"/>
      <c r="M10" s="11"/>
      <c r="N10" s="11"/>
      <c r="O10" s="11"/>
      <c r="P10" s="9" t="n">
        <f aca="false">SUM(D10:O10)</f>
        <v>2.5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37</v>
      </c>
      <c r="C16" s="1" t="str">
        <f aca="false">VLOOKUP(B16,Lists!A2:B32,2,0)</f>
        <v>Tansir</v>
      </c>
      <c r="D16" s="20" t="n">
        <v>18.5</v>
      </c>
      <c r="E16" s="20" t="n">
        <v>14.75</v>
      </c>
      <c r="F16" s="20" t="n">
        <v>15.5</v>
      </c>
      <c r="G16" s="29" t="n">
        <v>17.25</v>
      </c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66</v>
      </c>
      <c r="Q16" s="4"/>
    </row>
    <row r="17" customFormat="false" ht="15" hidden="false" customHeight="false" outlineLevel="0" collapsed="false">
      <c r="A17" s="1" t="s">
        <v>34</v>
      </c>
      <c r="B17" s="1" t="s">
        <v>38</v>
      </c>
      <c r="C17" s="1" t="str">
        <f aca="false">VLOOKUP(B17,Lists!A2:B32,2,0)</f>
        <v>Various</v>
      </c>
      <c r="D17" s="20" t="n">
        <v>2</v>
      </c>
      <c r="E17" s="20" t="n">
        <v>2</v>
      </c>
      <c r="F17" s="20" t="n">
        <v>3</v>
      </c>
      <c r="G17" s="20" t="n">
        <v>2</v>
      </c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9</v>
      </c>
      <c r="Q17" s="4"/>
    </row>
    <row r="18" customFormat="false" ht="15" hidden="false" customHeight="false" outlineLevel="0" collapsed="false">
      <c r="A18" s="1" t="s">
        <v>34</v>
      </c>
      <c r="B18" s="1"/>
      <c r="C18" s="1" t="e">
        <f aca="false">VLOOKUP(B18,Lists!A2:B33,2,0)</f>
        <v>#N/A</v>
      </c>
      <c r="D18" s="20"/>
      <c r="E18" s="20"/>
      <c r="F18" s="20"/>
      <c r="G18" s="20"/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0</v>
      </c>
      <c r="Q18" s="4"/>
    </row>
    <row r="19" customFormat="false" ht="15" hidden="false" customHeight="false" outlineLevel="0" collapsed="false">
      <c r="A19" s="1" t="s">
        <v>34</v>
      </c>
      <c r="B19" s="1"/>
      <c r="C19" s="1" t="e">
        <f aca="false">VLOOKUP(B19,Lists!A2:B33,2,0)</f>
        <v>#N/A</v>
      </c>
      <c r="D19" s="20"/>
      <c r="E19" s="20"/>
      <c r="F19" s="20"/>
      <c r="G19" s="20"/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0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1.5</v>
      </c>
      <c r="E23" s="23" t="n">
        <f aca="false">SUM(E4:E14)</f>
        <v>3.25</v>
      </c>
      <c r="F23" s="23" t="n">
        <f aca="false">SUM(F4:F14)</f>
        <v>2.5</v>
      </c>
      <c r="G23" s="23" t="n">
        <f aca="false">SUM(G4:G14)</f>
        <v>0.75</v>
      </c>
      <c r="H23" s="23" t="n">
        <f aca="false">SUM(H4:H14)</f>
        <v>0.5</v>
      </c>
      <c r="I23" s="23" t="n">
        <f aca="false">SUM(I4:I14)</f>
        <v>0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8.5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20.5</v>
      </c>
      <c r="E24" s="23" t="n">
        <f aca="false">SUM(E16:E22)</f>
        <v>16.75</v>
      </c>
      <c r="F24" s="23" t="n">
        <f aca="false">SUM(F16:F22)</f>
        <v>18.5</v>
      </c>
      <c r="G24" s="23" t="n">
        <f aca="false">SUM(G16:G22)</f>
        <v>19.25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75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0.5</v>
      </c>
      <c r="I25" s="23" t="n">
        <f aca="false">SUM(I23:I24)</f>
        <v>0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83.5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0.931818181818182</v>
      </c>
      <c r="E26" s="25" t="n">
        <f aca="false">E24/E25</f>
        <v>0.8375</v>
      </c>
      <c r="F26" s="25" t="n">
        <f aca="false">F24/F25</f>
        <v>0.880952380952381</v>
      </c>
      <c r="G26" s="25" t="n">
        <f aca="false">G24/G25</f>
        <v>0.9625</v>
      </c>
      <c r="H26" s="25" t="n">
        <f aca="false">H24/H25</f>
        <v>0</v>
      </c>
      <c r="I26" s="25" t="e">
        <f aca="false">I24/I25</f>
        <v>#DIV/0!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0.898203592814371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11.8542510121458"/>
    <col collapsed="false" hidden="false" max="4" min="4" style="0" width="6.2834008097166"/>
    <col collapsed="false" hidden="false" max="5" min="5" style="0" width="6.85425101214575"/>
    <col collapsed="false" hidden="false" max="6" min="6" style="0" width="6.1417004048583"/>
    <col collapsed="false" hidden="false" max="7" min="7" style="0" width="6.2834008097166"/>
    <col collapsed="false" hidden="false" max="9" min="8" style="0" width="5.57085020242915"/>
    <col collapsed="false" hidden="false" max="10" min="10" style="0" width="5.71255060728745"/>
    <col collapsed="false" hidden="false" max="11" min="11" style="0" width="5.85425101214575"/>
    <col collapsed="false" hidden="false" max="12" min="12" style="0" width="5.57085020242915"/>
    <col collapsed="false" hidden="false" max="13" min="13" style="0" width="5.2834008097166"/>
    <col collapsed="false" hidden="false" max="14" min="14" style="0" width="6"/>
    <col collapsed="false" hidden="false" max="15" min="15" style="0" width="6.2834008097166"/>
    <col collapsed="false" hidden="false" max="16" min="16" style="0" width="10.8542510121457"/>
    <col collapsed="false" hidden="false" max="1025" min="17" style="0" width="8.53441295546559"/>
  </cols>
  <sheetData>
    <row r="1" customFormat="false" ht="15" hidden="false" customHeight="false" outlineLevel="0" collapsed="false">
      <c r="A1" s="1" t="s">
        <v>0</v>
      </c>
      <c r="B1" s="2" t="s">
        <v>62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7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 t="n">
        <v>2.5</v>
      </c>
      <c r="E4" s="11" t="n">
        <v>2</v>
      </c>
      <c r="F4" s="11" t="n">
        <v>1</v>
      </c>
      <c r="G4" s="11"/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5.5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/>
      <c r="G6" s="11"/>
      <c r="H6" s="11"/>
      <c r="I6" s="11"/>
      <c r="J6" s="12"/>
      <c r="K6" s="12"/>
      <c r="L6" s="11"/>
      <c r="M6" s="11"/>
      <c r="N6" s="11"/>
      <c r="O6" s="11"/>
      <c r="P6" s="9" t="n">
        <f aca="false">SUM(D6:O6)</f>
        <v>0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5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/>
      <c r="I10" s="13"/>
      <c r="J10" s="12"/>
      <c r="K10" s="12"/>
      <c r="L10" s="11"/>
      <c r="M10" s="11"/>
      <c r="N10" s="11"/>
      <c r="O10" s="11"/>
      <c r="P10" s="9" t="n">
        <f aca="false">SUM(D10:O10)</f>
        <v>2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/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</row>
    <row r="16" customFormat="false" ht="15" hidden="false" customHeight="false" outlineLevel="0" collapsed="false">
      <c r="A16" s="1" t="s">
        <v>34</v>
      </c>
      <c r="B16" s="1" t="s">
        <v>53</v>
      </c>
      <c r="C16" s="1" t="str">
        <f aca="false">VLOOKUP(B16,Lists!A2:B32,2,0)</f>
        <v>Tansir</v>
      </c>
      <c r="D16" s="20" t="n">
        <v>9</v>
      </c>
      <c r="E16" s="20" t="n">
        <v>8</v>
      </c>
      <c r="F16" s="20" t="n">
        <v>9</v>
      </c>
      <c r="G16" s="20"/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26</v>
      </c>
      <c r="Q16" s="4"/>
    </row>
    <row r="17" customFormat="false" ht="15" hidden="false" customHeight="false" outlineLevel="0" collapsed="false">
      <c r="A17" s="1" t="s">
        <v>34</v>
      </c>
      <c r="B17" s="1" t="s">
        <v>38</v>
      </c>
      <c r="C17" s="1" t="str">
        <f aca="false">VLOOKUP(B17,Lists!A2:B32,2,0)</f>
        <v>Various</v>
      </c>
      <c r="D17" s="20" t="n">
        <v>10</v>
      </c>
      <c r="E17" s="20" t="n">
        <v>8.75</v>
      </c>
      <c r="F17" s="20" t="n">
        <v>10.5</v>
      </c>
      <c r="G17" s="20" t="n">
        <v>2</v>
      </c>
      <c r="H17" s="20"/>
      <c r="I17" s="20"/>
      <c r="J17" s="21"/>
      <c r="K17" s="21"/>
      <c r="L17" s="20"/>
      <c r="M17" s="20"/>
      <c r="N17" s="20"/>
      <c r="O17" s="20"/>
      <c r="P17" s="9" t="n">
        <f aca="false">SUM(D17:O17)</f>
        <v>31.25</v>
      </c>
      <c r="Q17" s="4"/>
    </row>
    <row r="18" customFormat="false" ht="15" hidden="false" customHeight="false" outlineLevel="0" collapsed="false">
      <c r="A18" s="1" t="s">
        <v>34</v>
      </c>
      <c r="B18" s="1"/>
      <c r="C18" s="1" t="e">
        <f aca="false">VLOOKUP(B18,Lists!A2:B33,2,0)</f>
        <v>#N/A</v>
      </c>
      <c r="D18" s="20"/>
      <c r="E18" s="20"/>
      <c r="F18" s="20"/>
      <c r="G18" s="20" t="n">
        <v>17.25</v>
      </c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17.25</v>
      </c>
      <c r="Q18" s="4"/>
    </row>
    <row r="19" customFormat="false" ht="15" hidden="false" customHeight="false" outlineLevel="0" collapsed="false">
      <c r="A19" s="1" t="s">
        <v>34</v>
      </c>
      <c r="B19" s="1"/>
      <c r="C19" s="1" t="e">
        <f aca="false">VLOOKUP(B19,Lists!A2:B33,2,0)</f>
        <v>#N/A</v>
      </c>
      <c r="D19" s="20"/>
      <c r="E19" s="20"/>
      <c r="F19" s="20"/>
      <c r="G19" s="20"/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0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3</v>
      </c>
      <c r="E23" s="23" t="n">
        <f aca="false">SUM(E4:E14)</f>
        <v>3.25</v>
      </c>
      <c r="F23" s="23" t="n">
        <f aca="false">SUM(F4:F14)</f>
        <v>1.5</v>
      </c>
      <c r="G23" s="23" t="n">
        <f aca="false">SUM(G4:G14)</f>
        <v>0.75</v>
      </c>
      <c r="H23" s="23" t="n">
        <f aca="false">SUM(H4:H14)</f>
        <v>0</v>
      </c>
      <c r="I23" s="23" t="n">
        <f aca="false">SUM(I4:I14)</f>
        <v>0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8.5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19</v>
      </c>
      <c r="E24" s="23" t="n">
        <f aca="false">SUM(E16:E22)</f>
        <v>16.75</v>
      </c>
      <c r="F24" s="23" t="n">
        <f aca="false">SUM(F16:F22)</f>
        <v>19.5</v>
      </c>
      <c r="G24" s="23" t="n">
        <f aca="false">SUM(G16:G22)</f>
        <v>19.25</v>
      </c>
      <c r="H24" s="23" t="n">
        <f aca="false">SUM(H16:H22)</f>
        <v>0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74.5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22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0</v>
      </c>
      <c r="I25" s="23" t="n">
        <f aca="false">SUM(I23:I24)</f>
        <v>0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83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0.863636363636364</v>
      </c>
      <c r="E26" s="25" t="n">
        <f aca="false">E24/E25</f>
        <v>0.8375</v>
      </c>
      <c r="F26" s="25" t="n">
        <f aca="false">F24/F25</f>
        <v>0.928571428571429</v>
      </c>
      <c r="G26" s="25" t="n">
        <f aca="false">G24/G25</f>
        <v>0.9625</v>
      </c>
      <c r="H26" s="25" t="e">
        <f aca="false">H24/H25</f>
        <v>#DIV/0!</v>
      </c>
      <c r="I26" s="25" t="e">
        <f aca="false">I24/I25</f>
        <v>#DIV/0!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0.897590361445783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1" display="Admin"/>
    <hyperlink ref="A12" r:id="rId2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" min="1" style="0" width="12.8542510121458"/>
    <col collapsed="false" hidden="false" max="2" min="2" style="0" width="50.1376518218624"/>
    <col collapsed="false" hidden="false" max="3" min="3" style="0" width="11.4251012145749"/>
    <col collapsed="false" hidden="false" max="4" min="4" style="0" width="5.71255060728745"/>
    <col collapsed="false" hidden="false" max="5" min="5" style="0" width="6"/>
    <col collapsed="false" hidden="false" max="6" min="6" style="0" width="5.71255060728745"/>
    <col collapsed="false" hidden="false" max="7" min="7" style="0" width="5.42914979757085"/>
    <col collapsed="false" hidden="false" max="9" min="8" style="0" width="5.71255060728745"/>
    <col collapsed="false" hidden="false" max="10" min="10" style="0" width="5.57085020242915"/>
    <col collapsed="false" hidden="false" max="11" min="11" style="0" width="5.71255060728745"/>
    <col collapsed="false" hidden="false" max="12" min="12" style="0" width="5.2834008097166"/>
    <col collapsed="false" hidden="false" max="13" min="13" style="0" width="5.71255060728745"/>
    <col collapsed="false" hidden="false" max="14" min="14" style="0" width="6.1417004048583"/>
    <col collapsed="false" hidden="false" max="15" min="15" style="0" width="6"/>
    <col collapsed="false" hidden="false" max="16" min="16" style="0" width="11.2834008097166"/>
    <col collapsed="false" hidden="false" max="1025" min="17" style="0" width="8.57085020242915"/>
  </cols>
  <sheetData>
    <row r="1" customFormat="false" ht="15" hidden="false" customHeight="false" outlineLevel="0" collapsed="false">
      <c r="A1" s="1" t="s">
        <v>0</v>
      </c>
      <c r="B1" s="2" t="s">
        <v>63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4"/>
    </row>
    <row r="2" customFormat="fals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/>
      <c r="E4" s="11"/>
      <c r="F4" s="11"/>
      <c r="G4" s="11" t="n">
        <v>2</v>
      </c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2</v>
      </c>
      <c r="Q4" s="4" t="s">
        <v>21</v>
      </c>
    </row>
    <row r="5" customFormat="false" ht="15" hidden="false" customHeight="tru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5" hidden="false" customHeight="false" outlineLevel="0" collapsed="false">
      <c r="A6" s="1" t="s">
        <v>19</v>
      </c>
      <c r="B6" s="10" t="s">
        <v>23</v>
      </c>
      <c r="C6" s="10"/>
      <c r="D6" s="11"/>
      <c r="E6" s="11" t="n">
        <v>2</v>
      </c>
      <c r="F6" s="11" t="n">
        <v>9</v>
      </c>
      <c r="G6" s="11"/>
      <c r="H6" s="11" t="n">
        <v>11</v>
      </c>
      <c r="I6" s="11"/>
      <c r="J6" s="12"/>
      <c r="K6" s="12"/>
      <c r="L6" s="11"/>
      <c r="M6" s="11"/>
      <c r="N6" s="11"/>
      <c r="O6" s="11"/>
      <c r="P6" s="9" t="n">
        <f aca="false">SUM(D6:O6)</f>
        <v>22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5" hidden="false" customHeight="tru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1</v>
      </c>
      <c r="F10" s="11" t="n">
        <v>0.5</v>
      </c>
      <c r="G10" s="11" t="n">
        <v>0.5</v>
      </c>
      <c r="H10" s="11" t="n">
        <v>0.5</v>
      </c>
      <c r="I10" s="13" t="n">
        <v>0.5</v>
      </c>
      <c r="J10" s="12"/>
      <c r="K10" s="12"/>
      <c r="L10" s="11"/>
      <c r="M10" s="11"/>
      <c r="N10" s="11"/>
      <c r="O10" s="11"/>
      <c r="P10" s="9" t="n">
        <f aca="false">SUM(D10:O10)</f>
        <v>3.5</v>
      </c>
      <c r="Q10" s="4"/>
    </row>
    <row r="11" customFormat="false" ht="14.25" hidden="false" customHeight="tru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 t="n">
        <v>0.5</v>
      </c>
      <c r="F12" s="11" t="n">
        <v>0.5</v>
      </c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1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3" t="n">
        <v>11.75</v>
      </c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11.75</v>
      </c>
      <c r="Q14" s="4"/>
    </row>
    <row r="15" customFormat="fals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</row>
    <row r="16" customFormat="false" ht="15" hidden="false" customHeight="false" outlineLevel="0" collapsed="false">
      <c r="A16" s="1" t="s">
        <v>34</v>
      </c>
      <c r="B16" s="1" t="s">
        <v>53</v>
      </c>
      <c r="C16" s="1" t="str">
        <f aca="false">VLOOKUP(B16,Lists!A2:B32,2,0)</f>
        <v>Tansir</v>
      </c>
      <c r="D16" s="20" t="n">
        <v>19</v>
      </c>
      <c r="E16" s="20" t="n">
        <v>15.75</v>
      </c>
      <c r="F16" s="20"/>
      <c r="G16" s="20"/>
      <c r="H16" s="20"/>
      <c r="I16" s="20"/>
      <c r="J16" s="20"/>
      <c r="K16" s="21"/>
      <c r="L16" s="20"/>
      <c r="M16" s="20"/>
      <c r="N16" s="20"/>
      <c r="O16" s="20"/>
      <c r="P16" s="9" t="n">
        <f aca="false">SUM(D16:O16)</f>
        <v>34.75</v>
      </c>
      <c r="Q16" s="4"/>
    </row>
    <row r="17" customFormat="false" ht="15" hidden="false" customHeight="false" outlineLevel="0" collapsed="false">
      <c r="A17" s="1" t="s">
        <v>34</v>
      </c>
      <c r="B17" s="1" t="s">
        <v>38</v>
      </c>
      <c r="C17" s="1" t="str">
        <f aca="false">VLOOKUP(B17,Lists!A2:B32,2,0)</f>
        <v>Various</v>
      </c>
      <c r="D17" s="20" t="n">
        <v>0.5</v>
      </c>
      <c r="E17" s="20" t="n">
        <v>0.5</v>
      </c>
      <c r="F17" s="20" t="n">
        <v>1.5</v>
      </c>
      <c r="G17" s="20" t="n">
        <v>0.5</v>
      </c>
      <c r="H17" s="20" t="n">
        <v>0.5</v>
      </c>
      <c r="I17" s="20"/>
      <c r="J17" s="21"/>
      <c r="K17" s="21"/>
      <c r="L17" s="20"/>
      <c r="M17" s="20"/>
      <c r="N17" s="20"/>
      <c r="O17" s="20"/>
      <c r="P17" s="9" t="n">
        <f aca="false">SUM(D17:O17)</f>
        <v>3.5</v>
      </c>
      <c r="Q17" s="4"/>
    </row>
    <row r="18" customFormat="false" ht="15" hidden="false" customHeight="false" outlineLevel="0" collapsed="false">
      <c r="A18" s="1" t="s">
        <v>34</v>
      </c>
      <c r="B18" s="1" t="s">
        <v>39</v>
      </c>
      <c r="C18" s="1" t="str">
        <f aca="false">VLOOKUP(B18,Lists!A2:B33,2,0)</f>
        <v>Mobeen</v>
      </c>
      <c r="D18" s="20"/>
      <c r="E18" s="20"/>
      <c r="F18" s="20" t="n">
        <v>3</v>
      </c>
      <c r="G18" s="20"/>
      <c r="H18" s="20"/>
      <c r="I18" s="20"/>
      <c r="J18" s="21"/>
      <c r="K18" s="21"/>
      <c r="L18" s="20"/>
      <c r="M18" s="20"/>
      <c r="N18" s="20"/>
      <c r="O18" s="20"/>
      <c r="P18" s="9" t="n">
        <f aca="false">SUM(D18:O18)</f>
        <v>3</v>
      </c>
      <c r="Q18" s="4"/>
    </row>
    <row r="19" customFormat="false" ht="15" hidden="false" customHeight="false" outlineLevel="0" collapsed="false">
      <c r="A19" s="1" t="s">
        <v>34</v>
      </c>
      <c r="B19" s="1" t="s">
        <v>47</v>
      </c>
      <c r="C19" s="1" t="str">
        <f aca="false">VLOOKUP(B19,Lists!A2:B33,2,0)</f>
        <v>Tansir</v>
      </c>
      <c r="D19" s="20"/>
      <c r="E19" s="20"/>
      <c r="F19" s="20" t="n">
        <v>6.5</v>
      </c>
      <c r="G19" s="20" t="n">
        <v>5</v>
      </c>
      <c r="H19" s="20" t="n">
        <v>8</v>
      </c>
      <c r="I19" s="20"/>
      <c r="J19" s="21"/>
      <c r="K19" s="21"/>
      <c r="L19" s="20"/>
      <c r="M19" s="20"/>
      <c r="N19" s="20"/>
      <c r="O19" s="20"/>
      <c r="P19" s="9" t="n">
        <f aca="false">SUM(D19:O19)</f>
        <v>19.5</v>
      </c>
      <c r="Q19" s="4"/>
    </row>
    <row r="20" customFormat="false" ht="15" hidden="false" customHeight="false" outlineLevel="0" collapsed="false">
      <c r="A20" s="1" t="s">
        <v>34</v>
      </c>
      <c r="B20" s="1"/>
      <c r="C20" s="1" t="e">
        <f aca="false">VLOOKUP(B20,Lists!A2:B33,2,0)</f>
        <v>#N/A</v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0.5</v>
      </c>
      <c r="E23" s="23" t="n">
        <f aca="false">SUM(E4:E14)</f>
        <v>3.75</v>
      </c>
      <c r="F23" s="23" t="n">
        <f aca="false">SUM(F4:F14)</f>
        <v>10</v>
      </c>
      <c r="G23" s="23" t="n">
        <f aca="false">SUM(G4:G14)</f>
        <v>14.5</v>
      </c>
      <c r="H23" s="23" t="n">
        <f aca="false">SUM(H4:H14)</f>
        <v>11.5</v>
      </c>
      <c r="I23" s="23" t="n">
        <f aca="false">SUM(I4:I14)</f>
        <v>0.5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40.75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19.5</v>
      </c>
      <c r="E24" s="23" t="n">
        <f aca="false">SUM(E16:E22)</f>
        <v>16.25</v>
      </c>
      <c r="F24" s="23" t="n">
        <f aca="false">SUM(F16:F22)</f>
        <v>11</v>
      </c>
      <c r="G24" s="23" t="n">
        <f aca="false">SUM(G16:G22)</f>
        <v>5.5</v>
      </c>
      <c r="H24" s="23" t="n">
        <f aca="false">SUM(H16:H22)</f>
        <v>8.5</v>
      </c>
      <c r="I24" s="23" t="n">
        <f aca="false">SUM(I16:I22)</f>
        <v>0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60.75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20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20</v>
      </c>
      <c r="I25" s="23" t="n">
        <f aca="false">SUM(I23:I24)</f>
        <v>0.5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101.5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0.975</v>
      </c>
      <c r="E26" s="25" t="n">
        <f aca="false">E24/E25</f>
        <v>0.8125</v>
      </c>
      <c r="F26" s="25" t="n">
        <f aca="false">F24/F25</f>
        <v>0.523809523809524</v>
      </c>
      <c r="G26" s="25" t="n">
        <f aca="false">G24/G25</f>
        <v>0.275</v>
      </c>
      <c r="H26" s="25" t="n">
        <f aca="false">H24/H25</f>
        <v>0.425</v>
      </c>
      <c r="I26" s="25" t="n">
        <f aca="false">I24/I25</f>
        <v>0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0.598522167487685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2" display="Admin"/>
    <hyperlink ref="A12" r:id="rId3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/>
  <cols>
    <col collapsed="false" hidden="false" max="1" min="1" style="0" width="12.1417004048583"/>
    <col collapsed="false" hidden="false" max="2" min="2" style="0" width="52.7085020242915"/>
    <col collapsed="false" hidden="false" max="3" min="3" style="0" width="10.2834008097166"/>
    <col collapsed="false" hidden="false" max="4" min="4" style="0" width="6"/>
    <col collapsed="false" hidden="false" max="5" min="5" style="0" width="6.57085020242915"/>
    <col collapsed="false" hidden="false" max="7" min="6" style="0" width="6"/>
    <col collapsed="false" hidden="false" max="9" min="8" style="0" width="5.71255060728745"/>
    <col collapsed="false" hidden="false" max="10" min="10" style="0" width="5.2834008097166"/>
    <col collapsed="false" hidden="false" max="11" min="11" style="0" width="5.57085020242915"/>
    <col collapsed="false" hidden="false" max="12" min="12" style="0" width="5.42914979757085"/>
    <col collapsed="false" hidden="false" max="13" min="13" style="0" width="5.57085020242915"/>
    <col collapsed="false" hidden="false" max="14" min="14" style="0" width="5.85425101214575"/>
    <col collapsed="false" hidden="false" max="15" min="15" style="0" width="5.2834008097166"/>
    <col collapsed="false" hidden="false" max="16" min="16" style="0" width="11.1417004048583"/>
    <col collapsed="false" hidden="false" max="1025" min="17" style="0" width="8.57085020242915"/>
  </cols>
  <sheetData>
    <row r="1" customFormat="false" ht="15" hidden="false" customHeight="false" outlineLevel="0" collapsed="false">
      <c r="A1" s="1" t="s">
        <v>0</v>
      </c>
      <c r="B1" s="2" t="s">
        <v>64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4"/>
    </row>
    <row r="2" s="8" customFormat="true" ht="15" hidden="false" customHeight="false" outlineLevel="0" collapsed="false">
      <c r="A2" s="5"/>
      <c r="B2" s="5" t="s">
        <v>2</v>
      </c>
      <c r="C2" s="5"/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6" t="s">
        <v>15</v>
      </c>
      <c r="Q2" s="7" t="s">
        <v>16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Format="false" ht="15" hidden="false" customHeight="false" outlineLevel="0" collapsed="false">
      <c r="A3" s="5"/>
      <c r="B3" s="5" t="s">
        <v>17</v>
      </c>
      <c r="C3" s="5"/>
      <c r="D3" s="5" t="n">
        <v>22</v>
      </c>
      <c r="E3" s="5" t="n">
        <v>20</v>
      </c>
      <c r="F3" s="5" t="n">
        <v>21</v>
      </c>
      <c r="G3" s="5" t="n">
        <v>20</v>
      </c>
      <c r="H3" s="5" t="n">
        <v>20</v>
      </c>
      <c r="I3" s="5" t="n">
        <v>21</v>
      </c>
      <c r="J3" s="5" t="n">
        <v>23</v>
      </c>
      <c r="K3" s="5" t="n">
        <v>20</v>
      </c>
      <c r="L3" s="5" t="n">
        <v>22</v>
      </c>
      <c r="M3" s="5" t="n">
        <v>23</v>
      </c>
      <c r="N3" s="5" t="n">
        <v>20</v>
      </c>
      <c r="O3" s="5" t="n">
        <v>21</v>
      </c>
      <c r="P3" s="9" t="n">
        <f aca="false">SUM(D3:O3)</f>
        <v>253</v>
      </c>
      <c r="Q3" s="4" t="s">
        <v>18</v>
      </c>
    </row>
    <row r="4" customFormat="false" ht="15" hidden="false" customHeight="false" outlineLevel="0" collapsed="false">
      <c r="A4" s="1" t="s">
        <v>19</v>
      </c>
      <c r="B4" s="10" t="s">
        <v>20</v>
      </c>
      <c r="C4" s="10"/>
      <c r="D4" s="11"/>
      <c r="E4" s="11" t="n">
        <v>2.5</v>
      </c>
      <c r="F4" s="11" t="n">
        <v>1</v>
      </c>
      <c r="G4" s="11" t="n">
        <v>2.5</v>
      </c>
      <c r="H4" s="11"/>
      <c r="I4" s="11"/>
      <c r="J4" s="12"/>
      <c r="K4" s="12"/>
      <c r="L4" s="11"/>
      <c r="M4" s="11"/>
      <c r="N4" s="11"/>
      <c r="O4" s="11"/>
      <c r="P4" s="9" t="n">
        <f aca="false">SUM(D4:O4)</f>
        <v>6</v>
      </c>
      <c r="Q4" s="4" t="s">
        <v>21</v>
      </c>
    </row>
    <row r="5" customFormat="false" ht="15" hidden="false" customHeight="false" outlineLevel="0" collapsed="false">
      <c r="A5" s="1" t="s">
        <v>19</v>
      </c>
      <c r="B5" s="10" t="s">
        <v>22</v>
      </c>
      <c r="C5" s="10"/>
      <c r="D5" s="11"/>
      <c r="E5" s="11"/>
      <c r="F5" s="11"/>
      <c r="G5" s="11"/>
      <c r="H5" s="11"/>
      <c r="I5" s="11"/>
      <c r="J5" s="12"/>
      <c r="K5" s="12"/>
      <c r="L5" s="11"/>
      <c r="M5" s="11"/>
      <c r="N5" s="11"/>
      <c r="O5" s="11"/>
      <c r="P5" s="9" t="n">
        <f aca="false">SUM(D5:O5)</f>
        <v>0</v>
      </c>
      <c r="Q5" s="4"/>
    </row>
    <row r="6" customFormat="false" ht="14.9" hidden="false" customHeight="false" outlineLevel="0" collapsed="false">
      <c r="A6" s="1" t="s">
        <v>19</v>
      </c>
      <c r="B6" s="10" t="s">
        <v>23</v>
      </c>
      <c r="C6" s="10"/>
      <c r="D6" s="11"/>
      <c r="E6" s="11"/>
      <c r="F6" s="11" t="n">
        <v>2.5</v>
      </c>
      <c r="G6" s="11"/>
      <c r="H6" s="11" t="n">
        <v>0.5</v>
      </c>
      <c r="I6" s="11" t="n">
        <v>1</v>
      </c>
      <c r="J6" s="12"/>
      <c r="K6" s="12"/>
      <c r="L6" s="11"/>
      <c r="M6" s="11"/>
      <c r="N6" s="11"/>
      <c r="O6" s="11"/>
      <c r="P6" s="9" t="n">
        <f aca="false">SUM(D6:O6)</f>
        <v>4</v>
      </c>
      <c r="Q6" s="4"/>
    </row>
    <row r="7" customFormat="false" ht="15" hidden="false" customHeight="false" outlineLevel="0" collapsed="false">
      <c r="A7" s="1" t="s">
        <v>19</v>
      </c>
      <c r="B7" s="10" t="s">
        <v>24</v>
      </c>
      <c r="C7" s="10"/>
      <c r="D7" s="11"/>
      <c r="E7" s="11"/>
      <c r="F7" s="11"/>
      <c r="G7" s="11"/>
      <c r="H7" s="11"/>
      <c r="I7" s="11"/>
      <c r="J7" s="12"/>
      <c r="K7" s="12"/>
      <c r="L7" s="11"/>
      <c r="M7" s="11"/>
      <c r="N7" s="11"/>
      <c r="O7" s="11"/>
      <c r="P7" s="9" t="n">
        <f aca="false">SUM(D7:O7)</f>
        <v>0</v>
      </c>
      <c r="Q7" s="4"/>
    </row>
    <row r="8" customFormat="false" ht="15" hidden="false" customHeight="false" outlineLevel="0" collapsed="false">
      <c r="A8" s="1" t="s">
        <v>19</v>
      </c>
      <c r="B8" s="10" t="s">
        <v>25</v>
      </c>
      <c r="C8" s="10"/>
      <c r="D8" s="11"/>
      <c r="E8" s="11"/>
      <c r="F8" s="11"/>
      <c r="G8" s="11"/>
      <c r="H8" s="11"/>
      <c r="I8" s="11"/>
      <c r="J8" s="12"/>
      <c r="K8" s="12"/>
      <c r="L8" s="11"/>
      <c r="M8" s="11"/>
      <c r="N8" s="11"/>
      <c r="O8" s="11"/>
      <c r="P8" s="9" t="n">
        <f aca="false">SUM(D8:O8)</f>
        <v>0</v>
      </c>
      <c r="Q8" s="4"/>
    </row>
    <row r="9" customFormat="false" ht="15" hidden="false" customHeight="false" outlineLevel="0" collapsed="false">
      <c r="A9" s="1" t="s">
        <v>19</v>
      </c>
      <c r="B9" s="10" t="s">
        <v>26</v>
      </c>
      <c r="C9" s="10"/>
      <c r="D9" s="11"/>
      <c r="E9" s="11" t="n">
        <v>0.25</v>
      </c>
      <c r="F9" s="11"/>
      <c r="G9" s="11" t="n">
        <v>0.25</v>
      </c>
      <c r="H9" s="11"/>
      <c r="I9" s="13"/>
      <c r="J9" s="12"/>
      <c r="K9" s="12"/>
      <c r="L9" s="11"/>
      <c r="M9" s="11"/>
      <c r="N9" s="11"/>
      <c r="O9" s="11"/>
      <c r="P9" s="9" t="n">
        <f aca="false">SUM(D9:O9)</f>
        <v>0.5</v>
      </c>
      <c r="Q9" s="4"/>
    </row>
    <row r="10" customFormat="false" ht="14.9" hidden="false" customHeight="false" outlineLevel="0" collapsed="false">
      <c r="A10" s="1" t="s">
        <v>19</v>
      </c>
      <c r="B10" s="10" t="s">
        <v>27</v>
      </c>
      <c r="C10" s="10"/>
      <c r="D10" s="11" t="n">
        <v>0.5</v>
      </c>
      <c r="E10" s="11" t="n">
        <v>0.5</v>
      </c>
      <c r="F10" s="11" t="n">
        <v>0.5</v>
      </c>
      <c r="G10" s="11" t="n">
        <v>0.5</v>
      </c>
      <c r="H10" s="11" t="n">
        <v>0.5</v>
      </c>
      <c r="I10" s="13" t="n">
        <v>0.5</v>
      </c>
      <c r="J10" s="12"/>
      <c r="K10" s="12"/>
      <c r="L10" s="11"/>
      <c r="M10" s="11"/>
      <c r="N10" s="11"/>
      <c r="O10" s="11"/>
      <c r="P10" s="9" t="n">
        <f aca="false">SUM(D10:O10)</f>
        <v>3</v>
      </c>
      <c r="Q10" s="4"/>
    </row>
    <row r="11" customFormat="false" ht="15" hidden="false" customHeight="false" outlineLevel="0" collapsed="false">
      <c r="A11" s="1" t="s">
        <v>19</v>
      </c>
      <c r="B11" s="10" t="s">
        <v>28</v>
      </c>
      <c r="C11" s="10"/>
      <c r="D11" s="11"/>
      <c r="E11" s="11"/>
      <c r="F11" s="11"/>
      <c r="G11" s="11"/>
      <c r="H11" s="11"/>
      <c r="I11" s="11"/>
      <c r="J11" s="12"/>
      <c r="K11" s="12"/>
      <c r="L11" s="11"/>
      <c r="M11" s="11"/>
      <c r="N11" s="11"/>
      <c r="O11" s="11"/>
      <c r="P11" s="9" t="n">
        <f aca="false">SUM(D11:O11)</f>
        <v>0</v>
      </c>
      <c r="Q11" s="4"/>
    </row>
    <row r="12" customFormat="false" ht="15" hidden="false" customHeight="false" outlineLevel="0" collapsed="false">
      <c r="A12" s="1" t="s">
        <v>19</v>
      </c>
      <c r="B12" s="10" t="s">
        <v>29</v>
      </c>
      <c r="C12" s="10"/>
      <c r="D12" s="11"/>
      <c r="E12" s="11"/>
      <c r="F12" s="11" t="n">
        <v>0.5</v>
      </c>
      <c r="G12" s="11"/>
      <c r="H12" s="11"/>
      <c r="I12" s="11"/>
      <c r="J12" s="12"/>
      <c r="K12" s="12"/>
      <c r="L12" s="11"/>
      <c r="M12" s="11"/>
      <c r="N12" s="11"/>
      <c r="O12" s="11"/>
      <c r="P12" s="9" t="n">
        <f aca="false">SUM(D12:O12)</f>
        <v>0.5</v>
      </c>
      <c r="Q12" s="4"/>
    </row>
    <row r="13" customFormat="false" ht="15" hidden="false" customHeight="false" outlineLevel="0" collapsed="false">
      <c r="A13" s="1" t="s">
        <v>19</v>
      </c>
      <c r="B13" s="10" t="s">
        <v>30</v>
      </c>
      <c r="C13" s="10"/>
      <c r="D13" s="11"/>
      <c r="E13" s="11"/>
      <c r="F13" s="11"/>
      <c r="G13" s="11"/>
      <c r="H13" s="11"/>
      <c r="I13" s="11"/>
      <c r="J13" s="12"/>
      <c r="K13" s="12"/>
      <c r="L13" s="11"/>
      <c r="M13" s="11"/>
      <c r="N13" s="11"/>
      <c r="O13" s="11"/>
      <c r="P13" s="9" t="n">
        <f aca="false">SUM(D13:O13)</f>
        <v>0</v>
      </c>
      <c r="Q13" s="4"/>
    </row>
    <row r="14" customFormat="false" ht="15" hidden="false" customHeight="false" outlineLevel="0" collapsed="false">
      <c r="A14" s="1" t="s">
        <v>19</v>
      </c>
      <c r="B14" s="10" t="s">
        <v>31</v>
      </c>
      <c r="C14" s="10"/>
      <c r="D14" s="11"/>
      <c r="E14" s="11"/>
      <c r="F14" s="11"/>
      <c r="G14" s="11"/>
      <c r="H14" s="11"/>
      <c r="I14" s="11"/>
      <c r="J14" s="11"/>
      <c r="K14" s="12"/>
      <c r="L14" s="11"/>
      <c r="M14" s="11"/>
      <c r="N14" s="11"/>
      <c r="O14" s="11"/>
      <c r="P14" s="9" t="n">
        <f aca="false">SUM(D14:O14)</f>
        <v>0</v>
      </c>
      <c r="Q14" s="4"/>
    </row>
    <row r="15" s="8" customFormat="true" ht="15" hidden="false" customHeight="false" outlineLevel="0" collapsed="false">
      <c r="A15" s="14"/>
      <c r="B15" s="15" t="s">
        <v>32</v>
      </c>
      <c r="C15" s="15" t="s">
        <v>33</v>
      </c>
      <c r="D15" s="16"/>
      <c r="E15" s="16"/>
      <c r="F15" s="17"/>
      <c r="G15" s="17"/>
      <c r="H15" s="17"/>
      <c r="I15" s="17"/>
      <c r="J15" s="17"/>
      <c r="K15" s="18"/>
      <c r="L15" s="17"/>
      <c r="M15" s="17"/>
      <c r="N15" s="17"/>
      <c r="O15" s="17"/>
      <c r="P15" s="19"/>
      <c r="Q15" s="4"/>
      <c r="R15" s="0"/>
      <c r="V15" s="0"/>
      <c r="W15" s="0"/>
      <c r="X15" s="0"/>
      <c r="Y15" s="0"/>
      <c r="Z15" s="0"/>
      <c r="AA15" s="0"/>
      <c r="AB15" s="0"/>
      <c r="AC15" s="0"/>
      <c r="AD15" s="0"/>
    </row>
    <row r="16" customFormat="false" ht="14.9" hidden="false" customHeight="false" outlineLevel="0" collapsed="false">
      <c r="A16" s="1" t="s">
        <v>34</v>
      </c>
      <c r="B16" s="1" t="s">
        <v>37</v>
      </c>
      <c r="C16" s="1" t="str">
        <f aca="false">VLOOKUP(B16,Lists!A2:B32,2,0)</f>
        <v>Tansir</v>
      </c>
      <c r="D16" s="20" t="n">
        <v>11.5</v>
      </c>
      <c r="E16" s="20" t="n">
        <v>15.75</v>
      </c>
      <c r="F16" s="20" t="n">
        <v>15</v>
      </c>
      <c r="G16" s="30"/>
      <c r="H16" s="20" t="n">
        <v>12</v>
      </c>
      <c r="I16" s="20" t="n">
        <v>17.5</v>
      </c>
      <c r="J16" s="20"/>
      <c r="K16" s="21"/>
      <c r="L16" s="20"/>
      <c r="M16" s="20"/>
      <c r="N16" s="20"/>
      <c r="O16" s="20"/>
      <c r="P16" s="9" t="n">
        <f aca="false">SUM(D16:O16)</f>
        <v>71.75</v>
      </c>
      <c r="Q16" s="4"/>
    </row>
    <row r="17" customFormat="false" ht="14.9" hidden="false" customHeight="false" outlineLevel="0" collapsed="false">
      <c r="A17" s="1" t="s">
        <v>34</v>
      </c>
      <c r="B17" s="1" t="s">
        <v>38</v>
      </c>
      <c r="C17" s="1" t="str">
        <f aca="false">VLOOKUP(B17,Lists!A2:B32,2,0)</f>
        <v>Various</v>
      </c>
      <c r="D17" s="20" t="n">
        <v>2</v>
      </c>
      <c r="E17" s="20" t="n">
        <v>1</v>
      </c>
      <c r="F17" s="20" t="n">
        <v>1.5</v>
      </c>
      <c r="G17" s="20"/>
      <c r="H17" s="20" t="n">
        <v>2</v>
      </c>
      <c r="I17" s="20" t="n">
        <v>2</v>
      </c>
      <c r="J17" s="21"/>
      <c r="K17" s="21"/>
      <c r="L17" s="20"/>
      <c r="M17" s="20"/>
      <c r="N17" s="20"/>
      <c r="O17" s="20"/>
      <c r="P17" s="9" t="n">
        <f aca="false">SUM(D17:O17)</f>
        <v>8.5</v>
      </c>
      <c r="Q17" s="4"/>
    </row>
    <row r="18" customFormat="false" ht="15" hidden="false" customHeight="false" outlineLevel="0" collapsed="false">
      <c r="A18" s="1" t="s">
        <v>34</v>
      </c>
      <c r="B18" s="1"/>
      <c r="C18" s="1" t="e">
        <f aca="false">VLOOKUP(B18,Lists!A2:B32,2,0)</f>
        <v>#N/A</v>
      </c>
      <c r="D18" s="20"/>
      <c r="E18" s="20"/>
      <c r="F18" s="20"/>
      <c r="G18" s="20" t="n">
        <v>16.75</v>
      </c>
      <c r="H18" s="20" t="n">
        <v>5</v>
      </c>
      <c r="I18" s="20"/>
      <c r="J18" s="21"/>
      <c r="K18" s="21"/>
      <c r="L18" s="20"/>
      <c r="M18" s="20"/>
      <c r="N18" s="20"/>
      <c r="O18" s="20"/>
      <c r="P18" s="9" t="n">
        <f aca="false">SUM(D18:O18)</f>
        <v>21.75</v>
      </c>
      <c r="Q18" s="4"/>
    </row>
    <row r="19" customFormat="false" ht="15" hidden="false" customHeight="false" outlineLevel="0" collapsed="false">
      <c r="A19" s="1" t="s">
        <v>34</v>
      </c>
      <c r="B19" s="1"/>
      <c r="C19" s="1" t="inlineStr">
        <f aca="false">VLOOKUP(B19,Lists!A3:B33,2,0)</f>
        <is>
          <t/>
        </is>
      </c>
      <c r="D19" s="20"/>
      <c r="E19" s="20"/>
      <c r="F19" s="20"/>
      <c r="G19" s="20"/>
      <c r="H19" s="20"/>
      <c r="I19" s="20"/>
      <c r="J19" s="21"/>
      <c r="K19" s="21"/>
      <c r="L19" s="20"/>
      <c r="M19" s="20"/>
      <c r="N19" s="20"/>
      <c r="O19" s="20"/>
      <c r="P19" s="9" t="n">
        <f aca="false">SUM(D19:O19)</f>
        <v>0</v>
      </c>
      <c r="Q19" s="4"/>
    </row>
    <row r="20" customFormat="false" ht="15" hidden="false" customHeight="false" outlineLevel="0" collapsed="false">
      <c r="A20" s="1" t="s">
        <v>34</v>
      </c>
      <c r="B20" s="1"/>
      <c r="C20" s="1" t="inlineStr">
        <f aca="false">VLOOKUP(B20,Lists!A4:B34,2,0)</f>
        <is>
          <t/>
        </is>
      </c>
      <c r="D20" s="20"/>
      <c r="E20" s="20"/>
      <c r="F20" s="20"/>
      <c r="G20" s="20"/>
      <c r="H20" s="20"/>
      <c r="I20" s="20"/>
      <c r="J20" s="21"/>
      <c r="K20" s="21"/>
      <c r="L20" s="20"/>
      <c r="M20" s="20"/>
      <c r="N20" s="20"/>
      <c r="O20" s="20"/>
      <c r="P20" s="9" t="n">
        <f aca="false">SUM(D20:O20)</f>
        <v>0</v>
      </c>
      <c r="Q20" s="4"/>
    </row>
    <row r="21" customFormat="false" ht="15" hidden="false" customHeight="false" outlineLevel="0" collapsed="false">
      <c r="A21" s="1" t="s">
        <v>34</v>
      </c>
      <c r="B21" s="1"/>
      <c r="C21" s="1" t="e">
        <f aca="false">VLOOKUP(B21,Lists!A2:B33,2,0)</f>
        <v>#N/A</v>
      </c>
      <c r="D21" s="20"/>
      <c r="E21" s="20"/>
      <c r="F21" s="20"/>
      <c r="G21" s="20"/>
      <c r="H21" s="20"/>
      <c r="I21" s="20"/>
      <c r="J21" s="21"/>
      <c r="K21" s="21"/>
      <c r="L21" s="20"/>
      <c r="M21" s="20"/>
      <c r="N21" s="20"/>
      <c r="O21" s="20"/>
      <c r="P21" s="9" t="n">
        <f aca="false">SUM(D21:O21)</f>
        <v>0</v>
      </c>
      <c r="Q21" s="4"/>
    </row>
    <row r="22" customFormat="false" ht="15" hidden="false" customHeight="false" outlineLevel="0" collapsed="false">
      <c r="A22" s="1" t="s">
        <v>34</v>
      </c>
      <c r="B22" s="1"/>
      <c r="C22" s="1" t="e">
        <f aca="false">VLOOKUP(B22,Lists!A2:B33,2,0)</f>
        <v>#N/A</v>
      </c>
      <c r="D22" s="20"/>
      <c r="E22" s="20"/>
      <c r="F22" s="20"/>
      <c r="G22" s="20"/>
      <c r="H22" s="20"/>
      <c r="I22" s="20"/>
      <c r="J22" s="21"/>
      <c r="K22" s="21"/>
      <c r="L22" s="20"/>
      <c r="M22" s="20"/>
      <c r="N22" s="20"/>
      <c r="O22" s="20"/>
      <c r="P22" s="9" t="n">
        <f aca="false">SUM(D22:O22)</f>
        <v>0</v>
      </c>
      <c r="Q22" s="4"/>
    </row>
    <row r="23" customFormat="false" ht="15" hidden="false" customHeight="false" outlineLevel="0" collapsed="false">
      <c r="A23" s="22" t="s">
        <v>40</v>
      </c>
      <c r="B23" s="22" t="s">
        <v>41</v>
      </c>
      <c r="C23" s="22"/>
      <c r="D23" s="23" t="n">
        <f aca="false">SUM(D4:D14)</f>
        <v>0.5</v>
      </c>
      <c r="E23" s="23" t="n">
        <f aca="false">SUM(E4:E14)</f>
        <v>3.25</v>
      </c>
      <c r="F23" s="23" t="n">
        <f aca="false">SUM(F4:F14)</f>
        <v>4.5</v>
      </c>
      <c r="G23" s="23" t="n">
        <f aca="false">SUM(G4:G14)</f>
        <v>3.25</v>
      </c>
      <c r="H23" s="23" t="n">
        <f aca="false">SUM(H4:H14)</f>
        <v>1</v>
      </c>
      <c r="I23" s="23" t="n">
        <f aca="false">SUM(I4:I14)</f>
        <v>1.5</v>
      </c>
      <c r="J23" s="23" t="n">
        <f aca="false">SUM(J4:J14)</f>
        <v>0</v>
      </c>
      <c r="K23" s="23" t="n">
        <f aca="false">SUM(K4:K14)</f>
        <v>0</v>
      </c>
      <c r="L23" s="23" t="n">
        <f aca="false">SUM(L4:L14)</f>
        <v>0</v>
      </c>
      <c r="M23" s="23" t="n">
        <f aca="false">SUM(M4:M14)</f>
        <v>0</v>
      </c>
      <c r="N23" s="23" t="n">
        <f aca="false">SUM(N4:N14)</f>
        <v>0</v>
      </c>
      <c r="O23" s="23" t="n">
        <f aca="false">SUM(O4:O14)</f>
        <v>0</v>
      </c>
      <c r="P23" s="24" t="n">
        <f aca="false">SUM(D23:O23)</f>
        <v>14</v>
      </c>
      <c r="Q23" s="4"/>
    </row>
    <row r="24" customFormat="false" ht="15" hidden="false" customHeight="false" outlineLevel="0" collapsed="false">
      <c r="A24" s="22" t="s">
        <v>42</v>
      </c>
      <c r="B24" s="22" t="s">
        <v>43</v>
      </c>
      <c r="C24" s="22"/>
      <c r="D24" s="23" t="n">
        <f aca="false">SUM(D16:D22)</f>
        <v>13.5</v>
      </c>
      <c r="E24" s="23" t="n">
        <f aca="false">SUM(E16:E22)</f>
        <v>16.75</v>
      </c>
      <c r="F24" s="23" t="n">
        <f aca="false">SUM(F16:F22)</f>
        <v>16.5</v>
      </c>
      <c r="G24" s="23" t="n">
        <f aca="false">SUM(G16:G22)</f>
        <v>16.75</v>
      </c>
      <c r="H24" s="23" t="n">
        <f aca="false">SUM(H16:H22)</f>
        <v>19</v>
      </c>
      <c r="I24" s="23" t="n">
        <f aca="false">SUM(I16:I22)</f>
        <v>19.5</v>
      </c>
      <c r="J24" s="23" t="n">
        <f aca="false">SUM(J16:J22)</f>
        <v>0</v>
      </c>
      <c r="K24" s="23" t="n">
        <f aca="false">SUM(K16:K22)</f>
        <v>0</v>
      </c>
      <c r="L24" s="23" t="n">
        <f aca="false">SUM(L16:L22)</f>
        <v>0</v>
      </c>
      <c r="M24" s="23" t="n">
        <f aca="false">SUM(M16:M22)</f>
        <v>0</v>
      </c>
      <c r="N24" s="23" t="n">
        <f aca="false">SUM(N16:N22)</f>
        <v>0</v>
      </c>
      <c r="O24" s="23" t="n">
        <f aca="false">SUM(O16:O22)</f>
        <v>0</v>
      </c>
      <c r="P24" s="24" t="n">
        <f aca="false">SUM(D24:O24)</f>
        <v>102</v>
      </c>
      <c r="Q24" s="4"/>
    </row>
    <row r="25" customFormat="false" ht="15" hidden="false" customHeight="false" outlineLevel="0" collapsed="false">
      <c r="A25" s="22" t="s">
        <v>42</v>
      </c>
      <c r="B25" s="22" t="s">
        <v>44</v>
      </c>
      <c r="C25" s="22"/>
      <c r="D25" s="23" t="n">
        <f aca="false">SUM(D23:D24)</f>
        <v>14</v>
      </c>
      <c r="E25" s="23" t="n">
        <f aca="false">SUM(E23:E24)</f>
        <v>20</v>
      </c>
      <c r="F25" s="23" t="n">
        <f aca="false">SUM(F23:F24)</f>
        <v>21</v>
      </c>
      <c r="G25" s="23" t="n">
        <f aca="false">SUM(G23:G24)</f>
        <v>20</v>
      </c>
      <c r="H25" s="23" t="n">
        <f aca="false">SUM(H23:H24)</f>
        <v>20</v>
      </c>
      <c r="I25" s="23" t="n">
        <f aca="false">SUM(I23:I24)</f>
        <v>21</v>
      </c>
      <c r="J25" s="23" t="n">
        <f aca="false">SUM(J23:J24)</f>
        <v>0</v>
      </c>
      <c r="K25" s="23" t="n">
        <f aca="false">SUM(K23:K24)</f>
        <v>0</v>
      </c>
      <c r="L25" s="23" t="n">
        <f aca="false">SUM(L23:L24)</f>
        <v>0</v>
      </c>
      <c r="M25" s="23" t="n">
        <f aca="false">SUM(M23:M24)</f>
        <v>0</v>
      </c>
      <c r="N25" s="23" t="n">
        <f aca="false">SUM(N23:N24)</f>
        <v>0</v>
      </c>
      <c r="O25" s="23" t="n">
        <f aca="false">SUM(O23:O24)</f>
        <v>0</v>
      </c>
      <c r="P25" s="24" t="n">
        <f aca="false">SUM(D25:O25)</f>
        <v>116</v>
      </c>
      <c r="Q25" s="4"/>
    </row>
    <row r="26" customFormat="false" ht="15" hidden="false" customHeight="false" outlineLevel="0" collapsed="false">
      <c r="A26" s="22" t="s">
        <v>42</v>
      </c>
      <c r="B26" s="22" t="s">
        <v>45</v>
      </c>
      <c r="C26" s="22"/>
      <c r="D26" s="25" t="n">
        <f aca="false">D24/D25</f>
        <v>0.964285714285714</v>
      </c>
      <c r="E26" s="25" t="n">
        <f aca="false">E24/E25</f>
        <v>0.8375</v>
      </c>
      <c r="F26" s="25" t="n">
        <f aca="false">F24/F25</f>
        <v>0.785714285714286</v>
      </c>
      <c r="G26" s="25" t="n">
        <f aca="false">G24/G25</f>
        <v>0.8375</v>
      </c>
      <c r="H26" s="25" t="n">
        <f aca="false">H24/H25</f>
        <v>0.95</v>
      </c>
      <c r="I26" s="25" t="n">
        <f aca="false">I24/I25</f>
        <v>0.928571428571429</v>
      </c>
      <c r="J26" s="25" t="e">
        <f aca="false">J24/J25</f>
        <v>#DIV/0!</v>
      </c>
      <c r="K26" s="25" t="e">
        <f aca="false">K24/K25</f>
        <v>#DIV/0!</v>
      </c>
      <c r="L26" s="25" t="e">
        <f aca="false">L24/L25</f>
        <v>#DIV/0!</v>
      </c>
      <c r="M26" s="25" t="e">
        <f aca="false">M24/M25</f>
        <v>#DIV/0!</v>
      </c>
      <c r="N26" s="25" t="e">
        <f aca="false">N24/N25</f>
        <v>#DIV/0!</v>
      </c>
      <c r="O26" s="25" t="e">
        <f aca="false">O24/O25</f>
        <v>#DIV/0!</v>
      </c>
      <c r="P26" s="26" t="n">
        <f aca="false">P24/P25</f>
        <v>0.879310344827586</v>
      </c>
      <c r="Q26" s="4"/>
    </row>
  </sheetData>
  <conditionalFormatting sqref="D26:O26">
    <cfRule type="cellIs" priority="2" operator="greaterThanOrEqual" aboveAverage="0" equalAverage="0" bottom="0" percent="0" rank="0" text="" dxfId="0">
      <formula>0.9</formula>
    </cfRule>
    <cfRule type="cellIs" priority="3" operator="lessThan" aboveAverage="0" equalAverage="0" bottom="0" percent="0" rank="0" text="" dxfId="1">
      <formula>0.9</formula>
    </cfRule>
  </conditionalFormatting>
  <conditionalFormatting sqref="P26">
    <cfRule type="cellIs" priority="4" operator="greaterThanOrEqual" aboveAverage="0" equalAverage="0" bottom="0" percent="0" rank="0" text="" dxfId="2">
      <formula>0.9</formula>
    </cfRule>
    <cfRule type="cellIs" priority="5" operator="lessThan" aboveAverage="0" equalAverage="0" bottom="0" percent="0" rank="0" text="" dxfId="3">
      <formula>0.9</formula>
    </cfRule>
  </conditionalFormatting>
  <dataValidations count="1">
    <dataValidation allowBlank="true" operator="between" showDropDown="false" showErrorMessage="true" showInputMessage="true" sqref="B16:B22" type="list">
      <formula1>ProjectList</formula1>
      <formula2>0</formula2>
    </dataValidation>
  </dataValidations>
  <hyperlinks>
    <hyperlink ref="A11" r:id="rId1" display="Admin"/>
    <hyperlink ref="A12" r:id="rId2" display="Adm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RowHeight="15"/>
  <cols>
    <col collapsed="false" hidden="false" max="1" min="1" style="0" width="50.0040485829959"/>
    <col collapsed="false" hidden="false" max="2" min="2" style="0" width="18.7085020242915"/>
    <col collapsed="false" hidden="false" max="1025" min="3" style="0" width="8.57085020242915"/>
  </cols>
  <sheetData>
    <row r="1" customFormat="false" ht="15" hidden="false" customHeight="false" outlineLevel="0" collapsed="false">
      <c r="A1" s="31" t="s">
        <v>65</v>
      </c>
      <c r="B1" s="31" t="s">
        <v>33</v>
      </c>
      <c r="C1" s="32"/>
      <c r="D1" s="32"/>
    </row>
    <row r="2" customFormat="false" ht="15" hidden="false" customHeight="false" outlineLevel="0" collapsed="false">
      <c r="A2" s="33" t="s">
        <v>37</v>
      </c>
      <c r="B2" s="33" t="s">
        <v>66</v>
      </c>
      <c r="C2" s="32"/>
      <c r="D2" s="32"/>
    </row>
    <row r="3" customFormat="false" ht="15" hidden="false" customHeight="false" outlineLevel="0" collapsed="false">
      <c r="A3" s="33" t="s">
        <v>50</v>
      </c>
      <c r="B3" s="33" t="s">
        <v>66</v>
      </c>
      <c r="C3" s="32"/>
      <c r="D3" s="32"/>
    </row>
    <row r="4" customFormat="false" ht="15" hidden="false" customHeight="false" outlineLevel="0" collapsed="false">
      <c r="A4" s="33" t="s">
        <v>67</v>
      </c>
      <c r="B4" s="33" t="s">
        <v>66</v>
      </c>
      <c r="C4" s="32"/>
      <c r="D4" s="32"/>
    </row>
    <row r="5" customFormat="false" ht="15" hidden="false" customHeight="false" outlineLevel="0" collapsed="false">
      <c r="A5" s="33" t="s">
        <v>47</v>
      </c>
      <c r="B5" s="33" t="s">
        <v>66</v>
      </c>
      <c r="C5" s="32"/>
      <c r="D5" s="32"/>
    </row>
    <row r="6" customFormat="false" ht="15" hidden="false" customHeight="false" outlineLevel="0" collapsed="false">
      <c r="A6" s="33" t="s">
        <v>53</v>
      </c>
      <c r="B6" s="33" t="s">
        <v>66</v>
      </c>
      <c r="C6" s="32"/>
      <c r="D6" s="32"/>
    </row>
    <row r="7" customFormat="false" ht="15" hidden="false" customHeight="false" outlineLevel="0" collapsed="false">
      <c r="A7" s="33" t="s">
        <v>68</v>
      </c>
      <c r="B7" s="33" t="s">
        <v>66</v>
      </c>
      <c r="C7" s="32"/>
      <c r="D7" s="32"/>
    </row>
    <row r="8" customFormat="false" ht="15" hidden="false" customHeight="false" outlineLevel="0" collapsed="false">
      <c r="A8" s="33" t="s">
        <v>35</v>
      </c>
      <c r="B8" s="33" t="s">
        <v>69</v>
      </c>
      <c r="C8" s="32"/>
      <c r="D8" s="32"/>
    </row>
    <row r="9" customFormat="false" ht="15" hidden="false" customHeight="false" outlineLevel="0" collapsed="false">
      <c r="A9" s="33" t="s">
        <v>36</v>
      </c>
      <c r="B9" s="33" t="s">
        <v>69</v>
      </c>
      <c r="C9" s="32"/>
      <c r="D9" s="32"/>
    </row>
    <row r="10" customFormat="false" ht="15" hidden="false" customHeight="false" outlineLevel="0" collapsed="false">
      <c r="A10" s="33" t="s">
        <v>39</v>
      </c>
      <c r="B10" s="33" t="s">
        <v>69</v>
      </c>
      <c r="C10" s="32"/>
      <c r="D10" s="32"/>
    </row>
    <row r="11" customFormat="false" ht="15" hidden="false" customHeight="false" outlineLevel="0" collapsed="false">
      <c r="A11" s="33" t="s">
        <v>70</v>
      </c>
      <c r="B11" s="33" t="s">
        <v>69</v>
      </c>
      <c r="C11" s="32"/>
      <c r="D11" s="32"/>
    </row>
    <row r="12" customFormat="false" ht="15" hidden="false" customHeight="false" outlineLevel="0" collapsed="false">
      <c r="A12" s="33" t="s">
        <v>71</v>
      </c>
      <c r="B12" s="33" t="s">
        <v>69</v>
      </c>
      <c r="C12" s="32"/>
      <c r="D12" s="32"/>
    </row>
    <row r="13" customFormat="false" ht="15" hidden="false" customHeight="false" outlineLevel="0" collapsed="false">
      <c r="A13" s="33" t="s">
        <v>52</v>
      </c>
      <c r="B13" s="33" t="s">
        <v>72</v>
      </c>
      <c r="C13" s="32"/>
      <c r="D13" s="32"/>
    </row>
    <row r="14" customFormat="false" ht="15" hidden="false" customHeight="false" outlineLevel="0" collapsed="false">
      <c r="A14" s="33" t="s">
        <v>59</v>
      </c>
      <c r="B14" s="33" t="s">
        <v>72</v>
      </c>
      <c r="C14" s="32"/>
      <c r="D14" s="32"/>
    </row>
    <row r="15" customFormat="false" ht="15" hidden="false" customHeight="false" outlineLevel="0" collapsed="false">
      <c r="A15" s="33" t="s">
        <v>73</v>
      </c>
      <c r="B15" s="33" t="s">
        <v>72</v>
      </c>
      <c r="C15" s="32"/>
      <c r="D15" s="32"/>
    </row>
    <row r="16" customFormat="false" ht="15" hidden="false" customHeight="false" outlineLevel="0" collapsed="false">
      <c r="A16" s="33" t="s">
        <v>74</v>
      </c>
      <c r="B16" s="33" t="s">
        <v>72</v>
      </c>
      <c r="C16" s="32"/>
      <c r="D16" s="32"/>
    </row>
    <row r="17" customFormat="false" ht="15" hidden="false" customHeight="false" outlineLevel="0" collapsed="false">
      <c r="A17" s="1" t="s">
        <v>75</v>
      </c>
      <c r="B17" s="33" t="s">
        <v>57</v>
      </c>
      <c r="C17" s="32"/>
      <c r="D17" s="32"/>
    </row>
    <row r="18" customFormat="false" ht="15" hidden="false" customHeight="false" outlineLevel="0" collapsed="false">
      <c r="A18" s="1" t="s">
        <v>76</v>
      </c>
      <c r="B18" s="33" t="s">
        <v>57</v>
      </c>
      <c r="C18" s="32"/>
      <c r="D18" s="32"/>
    </row>
    <row r="19" customFormat="false" ht="15" hidden="false" customHeight="false" outlineLevel="0" collapsed="false">
      <c r="A19" s="1" t="s">
        <v>77</v>
      </c>
      <c r="B19" s="33" t="s">
        <v>57</v>
      </c>
      <c r="C19" s="32"/>
      <c r="D19" s="32"/>
    </row>
    <row r="20" customFormat="false" ht="15" hidden="false" customHeight="false" outlineLevel="0" collapsed="false">
      <c r="A20" s="1" t="s">
        <v>78</v>
      </c>
      <c r="B20" s="33" t="s">
        <v>57</v>
      </c>
      <c r="C20" s="32"/>
      <c r="D20" s="32"/>
    </row>
    <row r="21" customFormat="false" ht="15" hidden="false" customHeight="false" outlineLevel="0" collapsed="false">
      <c r="A21" s="1" t="s">
        <v>79</v>
      </c>
      <c r="B21" s="33" t="s">
        <v>57</v>
      </c>
      <c r="C21" s="32"/>
      <c r="D21" s="32"/>
    </row>
    <row r="22" customFormat="false" ht="15" hidden="false" customHeight="false" outlineLevel="0" collapsed="false">
      <c r="A22" s="1" t="s">
        <v>80</v>
      </c>
      <c r="B22" s="33" t="s">
        <v>57</v>
      </c>
      <c r="C22" s="32"/>
      <c r="D22" s="32"/>
    </row>
    <row r="23" customFormat="false" ht="15" hidden="false" customHeight="false" outlineLevel="0" collapsed="false">
      <c r="A23" s="33" t="s">
        <v>56</v>
      </c>
      <c r="B23" s="33" t="s">
        <v>57</v>
      </c>
      <c r="C23" s="32"/>
      <c r="D23" s="32"/>
    </row>
    <row r="24" customFormat="false" ht="15" hidden="false" customHeight="false" outlineLevel="0" collapsed="false">
      <c r="A24" s="33" t="s">
        <v>81</v>
      </c>
      <c r="B24" s="33" t="s">
        <v>82</v>
      </c>
      <c r="C24" s="32"/>
      <c r="D24" s="32"/>
    </row>
    <row r="25" customFormat="false" ht="15" hidden="false" customHeight="false" outlineLevel="0" collapsed="false">
      <c r="A25" s="33" t="s">
        <v>83</v>
      </c>
      <c r="B25" s="33" t="s">
        <v>82</v>
      </c>
      <c r="C25" s="32"/>
      <c r="D25" s="32"/>
    </row>
    <row r="26" customFormat="false" ht="15" hidden="false" customHeight="false" outlineLevel="0" collapsed="false">
      <c r="A26" s="33" t="s">
        <v>84</v>
      </c>
      <c r="B26" s="33" t="s">
        <v>82</v>
      </c>
    </row>
    <row r="27" customFormat="false" ht="15" hidden="false" customHeight="false" outlineLevel="0" collapsed="false">
      <c r="A27" s="33" t="s">
        <v>85</v>
      </c>
      <c r="B27" s="1" t="s">
        <v>82</v>
      </c>
    </row>
    <row r="28" customFormat="false" ht="15" hidden="false" customHeight="false" outlineLevel="0" collapsed="false">
      <c r="A28" s="33" t="s">
        <v>86</v>
      </c>
      <c r="B28" s="1" t="s">
        <v>82</v>
      </c>
    </row>
    <row r="29" customFormat="false" ht="15" hidden="false" customHeight="false" outlineLevel="0" collapsed="false">
      <c r="A29" s="33" t="s">
        <v>87</v>
      </c>
      <c r="B29" s="1" t="s">
        <v>82</v>
      </c>
    </row>
    <row r="30" customFormat="false" ht="15" hidden="false" customHeight="false" outlineLevel="0" collapsed="false">
      <c r="A30" s="33" t="s">
        <v>88</v>
      </c>
      <c r="B30" s="1" t="s">
        <v>82</v>
      </c>
    </row>
    <row r="31" customFormat="false" ht="15" hidden="false" customHeight="false" outlineLevel="0" collapsed="false">
      <c r="A31" s="33" t="s">
        <v>89</v>
      </c>
      <c r="B31" s="33" t="s">
        <v>72</v>
      </c>
    </row>
    <row r="32" customFormat="false" ht="15" hidden="false" customHeight="false" outlineLevel="0" collapsed="false">
      <c r="A32" s="1" t="s">
        <v>38</v>
      </c>
      <c r="B32" s="33" t="s">
        <v>90</v>
      </c>
    </row>
    <row r="33" customFormat="false" ht="15" hidden="false" customHeight="false" outlineLevel="0" collapsed="false">
      <c r="A33" s="1" t="s">
        <v>48</v>
      </c>
      <c r="B33" s="1" t="s">
        <v>66</v>
      </c>
    </row>
    <row r="34" customFormat="false" ht="15" hidden="false" customHeight="false" outlineLevel="0" collapsed="false">
      <c r="A34" s="34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92</v>
      </c>
      <c r="F1" s="0" t="e">
        <f aca="false">Zaheer!A:A*";7#!%"</f>
        <v>#VALUE!</v>
      </c>
      <c r="G1" s="0" t="e">
        <f aca="false">Zaheer!B:B*";7#!&amp;"</f>
        <v>#VALUE!</v>
      </c>
      <c r="H1" s="0" t="e">
        <f aca="false">Zaheer!C:C*";7#!'"</f>
        <v>#VALUE!</v>
      </c>
      <c r="I1" s="0" t="e">
        <f aca="false">Zaheer!D:D*";7#!("</f>
        <v>#VALUE!</v>
      </c>
      <c r="J1" s="0" t="e">
        <f aca="false">Zaheer!E:E*";7#!)"</f>
        <v>#VALUE!</v>
      </c>
      <c r="K1" s="0" t="e">
        <f aca="false">Zaheer!F:F*";7#!."</f>
        <v>#VALUE!</v>
      </c>
      <c r="L1" s="0" t="e">
        <f aca="false">Zaheer!G:G*";7#!/"</f>
        <v>#VALUE!</v>
      </c>
      <c r="M1" s="0" t="e">
        <f aca="false">Zaheer!H:H*";7#!0"</f>
        <v>#VALUE!</v>
      </c>
      <c r="N1" s="0" t="e">
        <f aca="false">Zaheer!I:I*";7#!1"</f>
        <v>#VALUE!</v>
      </c>
      <c r="O1" s="0" t="e">
        <f aca="false">Zaheer!J:J*";7#!2"</f>
        <v>#VALUE!</v>
      </c>
      <c r="P1" s="0" t="e">
        <f aca="false">Zaheer!K:K*";7#!3"</f>
        <v>#VALUE!</v>
      </c>
      <c r="Q1" s="0" t="e">
        <f aca="false">Zaheer!L:L*";7#!4"</f>
        <v>#VALUE!</v>
      </c>
      <c r="R1" s="0" t="e">
        <f aca="false">Zaheer!M:M*";7#!5"</f>
        <v>#VALUE!</v>
      </c>
      <c r="S1" s="0" t="e">
        <f aca="false">Zaheer!N:N*";7#!6"</f>
        <v>#VALUE!</v>
      </c>
      <c r="T1" s="0" t="e">
        <f aca="false">Zaheer!O:O*";7#!7"</f>
        <v>#VALUE!</v>
      </c>
      <c r="U1" s="0" t="e">
        <f aca="false">Zaheer!P:P*";7#!8"</f>
        <v>#VALUE!</v>
      </c>
      <c r="V1" s="0" t="e">
        <f aca="false">Zaheer!Q:Q*";7#!9"</f>
        <v>#VALUE!</v>
      </c>
      <c r="W1" s="0" t="e">
        <f aca="false">Zaheer!R:R*";7#!:"</f>
        <v>#VALUE!</v>
      </c>
      <c r="X1" s="0" t="e">
        <f aca="false">Zaheer!S:S*";7#!;"</f>
        <v>#VALUE!</v>
      </c>
      <c r="Y1" s="0" t="e">
        <f aca="false">Zaheer!T:T*";7#!&lt;"</f>
        <v>#VALUE!</v>
      </c>
      <c r="Z1" s="0" t="e">
        <f aca="false">Zaheer!U:U*";7#!="</f>
        <v>#VALUE!</v>
      </c>
      <c r="AA1" s="0" t="e">
        <f aca="false">Zaheer!V:V*";7#!&gt;"</f>
        <v>#VALUE!</v>
      </c>
      <c r="AB1" s="0" t="e">
        <f aca="false">Zaheer!W:W*";7#!?"</f>
        <v>#VALUE!</v>
      </c>
      <c r="AC1" s="0" t="e">
        <f aca="false">Zaheer!X:X*";7#!@"</f>
        <v>#VALUE!</v>
      </c>
      <c r="AD1" s="0" t="e">
        <f aca="false">Zaheer!Y:Y*";7#!A"</f>
        <v>#VALUE!</v>
      </c>
      <c r="AE1" s="0" t="e">
        <f aca="false">Zaheer!Z:Z*";7#!B"</f>
        <v>#VALUE!</v>
      </c>
      <c r="AF1" s="0" t="e">
        <f aca="false">Zaheer!AA:AA*";7#!C"</f>
        <v>#VALUE!</v>
      </c>
      <c r="AG1" s="0" t="e">
        <f aca="false">Zaheer!AB:AB*";7#!D"</f>
        <v>#VALUE!</v>
      </c>
      <c r="AH1" s="0" t="e">
        <f aca="false">Zaheer!AC:AC*";7#!E"</f>
        <v>#VALUE!</v>
      </c>
      <c r="AI1" s="0" t="e">
        <f aca="false">Zaheer!AD:AD*";7#!F"</f>
        <v>#VALUE!</v>
      </c>
      <c r="AJ1" s="0" t="e">
        <f aca="false">Zaheer!AE:AE*";7#!G"</f>
        <v>#VALUE!</v>
      </c>
      <c r="AK1" s="0" t="e">
        <f aca="false">Zaheer!AF:AF*";7#!H"</f>
        <v>#VALUE!</v>
      </c>
      <c r="AL1" s="0" t="e">
        <f aca="false">Zaheer!AG:AG*";7#!I"</f>
        <v>#VALUE!</v>
      </c>
      <c r="AM1" s="0" t="e">
        <f aca="false">Zaheer!AH:AH*";7#!J"</f>
        <v>#VALUE!</v>
      </c>
      <c r="AN1" s="0" t="e">
        <f aca="false">Zaheer!AI:AI*";7#!K"</f>
        <v>#VALUE!</v>
      </c>
      <c r="AO1" s="0" t="e">
        <f aca="false">Zaheer!AJ:AJ*";7#!L"</f>
        <v>#VALUE!</v>
      </c>
      <c r="AP1" s="0" t="e">
        <f aca="false">Zaheer!AK:AK*";7#!M"</f>
        <v>#VALUE!</v>
      </c>
      <c r="AQ1" s="0" t="e">
        <f aca="false">Zaheer!AL:AL*";7#!N"</f>
        <v>#VALUE!</v>
      </c>
      <c r="AR1" s="0" t="e">
        <f aca="false">Zaheer!AM:AM*";7#!O"</f>
        <v>#VALUE!</v>
      </c>
      <c r="AS1" s="0" t="e">
        <f aca="false">Zaheer!AN:AN*";7#!P"</f>
        <v>#VALUE!</v>
      </c>
      <c r="AT1" s="0" t="e">
        <f aca="false">Zaheer!AO:AO*";7#!Q"</f>
        <v>#VALUE!</v>
      </c>
      <c r="AU1" s="0" t="e">
        <f aca="false">Zaheer!AP:AP*";7#!R"</f>
        <v>#VALUE!</v>
      </c>
      <c r="AV1" s="0" t="e">
        <f aca="false">Zaheer!AQ:AQ*";7#!S"</f>
        <v>#VALUE!</v>
      </c>
      <c r="AW1" s="0" t="e">
        <f aca="false">Zaheer!AR:AR*";7#!T"</f>
        <v>#VALUE!</v>
      </c>
      <c r="AX1" s="0" t="e">
        <f aca="false">Zaheer!AS:AS*";7#!U"</f>
        <v>#VALUE!</v>
      </c>
      <c r="AY1" s="0" t="e">
        <f aca="false">Zaheer!AT:AT*";7#!V"</f>
        <v>#VALUE!</v>
      </c>
      <c r="AZ1" s="0" t="e">
        <f aca="false">Zaheer!AU:AU*";7#!W"</f>
        <v>#VALUE!</v>
      </c>
      <c r="BA1" s="0" t="e">
        <f aca="false">Zaheer!AV:AV*";7#!X"</f>
        <v>#VALUE!</v>
      </c>
      <c r="BB1" s="0" t="e">
        <f aca="false">Zaheer!AW:AW*";7#!Y"</f>
        <v>#VALUE!</v>
      </c>
      <c r="BC1" s="0" t="e">
        <f aca="false">Zaheer!AX:AX*";7#!Z"</f>
        <v>#VALUE!</v>
      </c>
      <c r="BD1" s="0" t="e">
        <f aca="false">Zaheer!AY:AY*";7#!["</f>
        <v>#VALUE!</v>
      </c>
      <c r="BE1" s="0" t="e">
        <f aca="false">Zaheer!AZ:AZ*";7#!\"</f>
        <v>#VALUE!</v>
      </c>
      <c r="BF1" s="0" t="e">
        <f aca="false">Zaheer!BA:BA*";7#!]"</f>
        <v>#VALUE!</v>
      </c>
      <c r="BG1" s="0" t="e">
        <f aca="false">Zaheer!BB:BB*";7#!^"</f>
        <v>#VALUE!</v>
      </c>
      <c r="BH1" s="0" t="e">
        <f aca="false">Zaheer!BC:BC*";7#!_"</f>
        <v>#VALUE!</v>
      </c>
      <c r="BI1" s="0" t="e">
        <f aca="false">Zaheer!BD:BD*";7#!`"</f>
        <v>#VALUE!</v>
      </c>
      <c r="BJ1" s="0" t="e">
        <f aca="false">Zaheer!BE:BE*";7#!a"</f>
        <v>#VALUE!</v>
      </c>
      <c r="BK1" s="0" t="e">
        <f aca="false">Zaheer!BF:BF*";7#!b"</f>
        <v>#VALUE!</v>
      </c>
      <c r="BL1" s="0" t="e">
        <f aca="false">Zaheer!BG:BG*";7#!c"</f>
        <v>#VALUE!</v>
      </c>
      <c r="BM1" s="0" t="e">
        <f aca="false">Zaheer!BH:BH*";7#!d"</f>
        <v>#VALUE!</v>
      </c>
      <c r="BN1" s="0" t="e">
        <f aca="false">Zaheer!BI:BI*";7#!e"</f>
        <v>#VALUE!</v>
      </c>
      <c r="BO1" s="0" t="e">
        <f aca="false">Zaheer!BJ:BJ*";7#!f"</f>
        <v>#VALUE!</v>
      </c>
      <c r="BP1" s="0" t="e">
        <f aca="false">Zaheer!BK:BK*";7#!g"</f>
        <v>#VALUE!</v>
      </c>
      <c r="BQ1" s="0" t="e">
        <f aca="false">Zaheer!BL:BL*";7#!h"</f>
        <v>#VALUE!</v>
      </c>
      <c r="BR1" s="0" t="e">
        <f aca="false">Zaheer!BM:BM*";7#!i"</f>
        <v>#VALUE!</v>
      </c>
      <c r="BS1" s="0" t="e">
        <f aca="false">Zaheer!BN:BN*";7#!j"</f>
        <v>#VALUE!</v>
      </c>
      <c r="BT1" s="0" t="e">
        <f aca="false">Zaheer!BO:BO*";7#!k"</f>
        <v>#VALUE!</v>
      </c>
      <c r="BU1" s="0" t="e">
        <f aca="false">Zaheer!BP:BP*";7#!l"</f>
        <v>#VALUE!</v>
      </c>
      <c r="BV1" s="0" t="e">
        <f aca="false">Zaheer!BQ:BQ*";7#!m"</f>
        <v>#VALUE!</v>
      </c>
      <c r="BW1" s="0" t="e">
        <f aca="false">Zaheer!BR:BR*";7#!n"</f>
        <v>#VALUE!</v>
      </c>
      <c r="BX1" s="0" t="e">
        <f aca="false">Zaheer!BS:BS*";7#!o"</f>
        <v>#VALUE!</v>
      </c>
      <c r="BY1" s="0" t="e">
        <f aca="false">Zaheer!BT:BT*";7#!p"</f>
        <v>#VALUE!</v>
      </c>
      <c r="BZ1" s="0" t="e">
        <f aca="false">Zaheer!BU:BU*";7#!q"</f>
        <v>#VALUE!</v>
      </c>
      <c r="CA1" s="0" t="e">
        <f aca="false">Zaheer!BV:BV*";7#!r"</f>
        <v>#VALUE!</v>
      </c>
      <c r="CB1" s="0" t="e">
        <f aca="false">Zaheer!BW:BW*";7#!s"</f>
        <v>#VALUE!</v>
      </c>
      <c r="CC1" s="0" t="e">
        <f aca="false">Zaheer!BX:BX*";7#!t"</f>
        <v>#VALUE!</v>
      </c>
      <c r="CD1" s="0" t="e">
        <f aca="false">Zaheer!BY:BY*";7#!u"</f>
        <v>#VALUE!</v>
      </c>
      <c r="CE1" s="0" t="e">
        <f aca="false">Zaheer!BZ:BZ*";7#!v"</f>
        <v>#VALUE!</v>
      </c>
      <c r="CF1" s="0" t="e">
        <f aca="false">Zaheer!CA:CA*";7#!w"</f>
        <v>#VALUE!</v>
      </c>
      <c r="CG1" s="0" t="e">
        <f aca="false">Zaheer!CB:CB*";7#!x"</f>
        <v>#VALUE!</v>
      </c>
      <c r="CH1" s="0" t="e">
        <f aca="false">Zaheer!CC:CC*";7#!y"</f>
        <v>#VALUE!</v>
      </c>
      <c r="CI1" s="0" t="e">
        <f aca="false">Zaheer!1:1-";7#!z"</f>
        <v>#VALUE!</v>
      </c>
      <c r="CJ1" s="0" t="e">
        <f aca="false">Zaheer!2:2-";7#!{"</f>
        <v>#VALUE!</v>
      </c>
      <c r="CK1" s="0" t="e">
        <f aca="false">Zaheer!3:3-";7#!|"</f>
        <v>#VALUE!</v>
      </c>
      <c r="CL1" s="0" t="e">
        <f aca="false">Zaheer!4:4-";7#!}"</f>
        <v>#VALUE!</v>
      </c>
      <c r="CM1" s="0" t="e">
        <f aca="false">Zaheer!5:5-";7#!~"</f>
        <v>#VALUE!</v>
      </c>
      <c r="CN1" s="0" t="e">
        <f aca="false">Zaheer!6:6-";7#!$#"</f>
        <v>#VALUE!</v>
      </c>
      <c r="CO1" s="0" t="e">
        <f aca="false">Zaheer!7:7-";7#!$$"</f>
        <v>#VALUE!</v>
      </c>
      <c r="CP1" s="0" t="e">
        <f aca="false">Zaheer!8:8-";7#!$%"</f>
        <v>#VALUE!</v>
      </c>
      <c r="CQ1" s="0" t="e">
        <f aca="false">Zaheer!9:9-";7#!$&amp;"</f>
        <v>#VALUE!</v>
      </c>
      <c r="CR1" s="0" t="e">
        <f aca="false">Zaheer!10:10-";7#!$'"</f>
        <v>#VALUE!</v>
      </c>
      <c r="CS1" s="0" t="e">
        <f aca="false">Zaheer!11:11-";7#!$("</f>
        <v>#VALUE!</v>
      </c>
      <c r="CT1" s="0" t="e">
        <f aca="false">Zaheer!12:12-";7#!$)"</f>
        <v>#VALUE!</v>
      </c>
      <c r="CU1" s="0" t="e">
        <f aca="false">Zaheer!13:13-";7#!$."</f>
        <v>#VALUE!</v>
      </c>
      <c r="CV1" s="0" t="e">
        <f aca="false">Zaheer!14:14-";7#!$/"</f>
        <v>#VALUE!</v>
      </c>
      <c r="CW1" s="0" t="e">
        <f aca="false">Zaheer!15:15-";7#!$0"</f>
        <v>#VALUE!</v>
      </c>
      <c r="CX1" s="0" t="e">
        <f aca="false">Zaheer!16:16-";7#!$1"</f>
        <v>#VALUE!</v>
      </c>
      <c r="CY1" s="0" t="e">
        <f aca="false">Zaheer!17:17-";7#!$2"</f>
        <v>#VALUE!</v>
      </c>
      <c r="CZ1" s="0" t="e">
        <f aca="false">Zaheer!18:18-";7#!$3"</f>
        <v>#VALUE!</v>
      </c>
      <c r="DA1" s="0" t="e">
        <f aca="false">Zaheer!19:19-";7#!$4"</f>
        <v>#VALUE!</v>
      </c>
      <c r="DB1" s="0" t="e">
        <f aca="false">Zaheer!20:20-";7#!$5"</f>
        <v>#VALUE!</v>
      </c>
      <c r="DC1" s="0" t="e">
        <f aca="false">Zaheer!21:21-";7#!$6"</f>
        <v>#VALUE!</v>
      </c>
      <c r="DD1" s="0" t="e">
        <f aca="false">Zaheer!22:22-";7#!$7"</f>
        <v>#VALUE!</v>
      </c>
      <c r="DE1" s="0" t="e">
        <f aca="false">Zaheer!23:23-";7#!$8"</f>
        <v>#VALUE!</v>
      </c>
      <c r="DF1" s="0" t="e">
        <f aca="false">Zaheer!24:24-";7#!$9"</f>
        <v>#VALUE!</v>
      </c>
      <c r="DG1" s="0" t="e">
        <f aca="false">Zaheer!25:25-";7#!$:"</f>
        <v>#VALUE!</v>
      </c>
      <c r="DH1" s="0" t="e">
        <f aca="false">Zaheer!26:26-";7#!$;"</f>
        <v>#VALUE!</v>
      </c>
      <c r="DI1" s="0" t="e">
        <f aca="false">Zaheer!27:27-";7#!$&lt;"</f>
        <v>#VALUE!</v>
      </c>
      <c r="DJ1" s="0" t="e">
        <f aca="false">Zaheer!28:28-";7#!$="</f>
        <v>#VALUE!</v>
      </c>
      <c r="DK1" s="0" t="e">
        <f aca="false">Zaheer!29:29-";7#!$&gt;"</f>
        <v>#VALUE!</v>
      </c>
      <c r="DL1" s="0" t="e">
        <f aca="false">Zaheer!30:30-";7#!$?"</f>
        <v>#VALUE!</v>
      </c>
      <c r="DM1" s="0" t="e">
        <f aca="false">Zaheer!31:31-";7#!$@"</f>
        <v>#VALUE!</v>
      </c>
      <c r="DN1" s="0" t="e">
        <f aca="false">Zaheer!32:32-";7#!$A"</f>
        <v>#VALUE!</v>
      </c>
      <c r="DO1" s="0" t="e">
        <f aca="false">Zaheer!33:33-";7#!$B"</f>
        <v>#VALUE!</v>
      </c>
      <c r="DP1" s="0" t="e">
        <f aca="false">Zaheer!34:34-";7#!$C"</f>
        <v>#VALUE!</v>
      </c>
      <c r="DQ1" s="0" t="e">
        <f aca="false">Zaheer!35:35-";7#!$D"</f>
        <v>#VALUE!</v>
      </c>
      <c r="DR1" s="0" t="e">
        <f aca="false">Zaheer!36:36-";7#!$E"</f>
        <v>#VALUE!</v>
      </c>
      <c r="DS1" s="0" t="e">
        <f aca="false">Zaheer!37:37-";7#!$F"</f>
        <v>#VALUE!</v>
      </c>
      <c r="DT1" s="0" t="e">
        <f aca="false">Zaheer!38:38-";7#!$G"</f>
        <v>#VALUE!</v>
      </c>
      <c r="DU1" s="0" t="e">
        <f aca="false">Zaheer!39:39-";7#!$H"</f>
        <v>#VALUE!</v>
      </c>
      <c r="DV1" s="0" t="e">
        <f aca="false">Zaheer!40:40-";7#!$I"</f>
        <v>#VALUE!</v>
      </c>
      <c r="DW1" s="0" t="e">
        <f aca="false">Zaheer!41:41-";7#!$J"</f>
        <v>#VALUE!</v>
      </c>
      <c r="DX1" s="0" t="e">
        <f aca="false">Zaheer!42:42-";7#!$K"</f>
        <v>#VALUE!</v>
      </c>
      <c r="DY1" s="0" t="e">
        <f aca="false">Zaheer!43:43-";7#!$L"</f>
        <v>#VALUE!</v>
      </c>
      <c r="DZ1" s="0" t="e">
        <f aca="false">Zaheer!44:44-";7#!$M"</f>
        <v>#VALUE!</v>
      </c>
      <c r="EA1" s="0" t="e">
        <f aca="false">Zaheer!45:45-";7#!$N"</f>
        <v>#VALUE!</v>
      </c>
      <c r="EB1" s="0" t="e">
        <f aca="false">Zaheer!46:46-";7#!$O"</f>
        <v>#VALUE!</v>
      </c>
      <c r="EC1" s="0" t="e">
        <f aca="false">Zaheer!47:47-";7#!$P"</f>
        <v>#VALUE!</v>
      </c>
      <c r="ED1" s="0" t="e">
        <f aca="false">Zaheer!48:48-";7#!$Q"</f>
        <v>#VALUE!</v>
      </c>
      <c r="EE1" s="0" t="e">
        <f aca="false">Zaheer!49:49-";7#!$R"</f>
        <v>#VALUE!</v>
      </c>
      <c r="EF1" s="0" t="e">
        <f aca="false">Zaheer!50:50-";7#!$S"</f>
        <v>#VALUE!</v>
      </c>
      <c r="EG1" s="0" t="e">
        <f aca="false">Zaheer!51:51-";7#!$T"</f>
        <v>#VALUE!</v>
      </c>
      <c r="EH1" s="0" t="e">
        <f aca="false">Zaheer!52:52-";7#!$U"</f>
        <v>#VALUE!</v>
      </c>
      <c r="EI1" s="0" t="e">
        <f aca="false">Zaheer!53:53-";7#!$V"</f>
        <v>#VALUE!</v>
      </c>
      <c r="EJ1" s="0" t="e">
        <f aca="false">Zaheer!54:54-";7#!$W"</f>
        <v>#VALUE!</v>
      </c>
      <c r="EK1" s="0" t="e">
        <f aca="false">Zaheer!55:55-";7#!$X"</f>
        <v>#VALUE!</v>
      </c>
      <c r="EL1" s="0" t="e">
        <f aca="false">Zaheer!56:56-";7#!$Y"</f>
        <v>#VALUE!</v>
      </c>
      <c r="EM1" s="0" t="e">
        <f aca="false">Zaheer!57:57-";7#!$Z"</f>
        <v>#VALUE!</v>
      </c>
      <c r="EN1" s="0" t="e">
        <f aca="false">Zaheer!58:58-";7#!$["</f>
        <v>#VALUE!</v>
      </c>
      <c r="EO1" s="0" t="e">
        <f aca="false">Zaheer!59:59-";7#!$\"</f>
        <v>#VALUE!</v>
      </c>
      <c r="EP1" s="0" t="e">
        <f aca="false">Zaheer!60:60-";7#!$]"</f>
        <v>#VALUE!</v>
      </c>
      <c r="EQ1" s="0" t="e">
        <f aca="false">Zaheer!61:61-";7#!$^"</f>
        <v>#VALUE!</v>
      </c>
      <c r="ER1" s="0" t="e">
        <f aca="false">Zaheer!62:62-";7#!$_"</f>
        <v>#VALUE!</v>
      </c>
      <c r="ES1" s="0" t="e">
        <f aca="false">Zaheer!63:63-";7#!$`"</f>
        <v>#VALUE!</v>
      </c>
      <c r="ET1" s="0" t="e">
        <f aca="false">Zaheer!64:64-";7#!$a"</f>
        <v>#VALUE!</v>
      </c>
      <c r="EU1" s="0" t="e">
        <f aca="false">Zaheer!65:65-";7#!$b"</f>
        <v>#VALUE!</v>
      </c>
      <c r="EV1" s="0" t="e">
        <f aca="false">Zaheer!66:66-";7#!$c"</f>
        <v>#VALUE!</v>
      </c>
      <c r="EW1" s="0" t="e">
        <f aca="false">Zaheer!67:67-";7#!$d"</f>
        <v>#VALUE!</v>
      </c>
      <c r="EX1" s="0" t="e">
        <f aca="false">Zaheer!68:68-";7#!$e"</f>
        <v>#VALUE!</v>
      </c>
      <c r="EY1" s="0" t="e">
        <f aca="false">Zaheer!69:69-";7#!$f"</f>
        <v>#VALUE!</v>
      </c>
      <c r="EZ1" s="0" t="e">
        <f aca="false">Zaheer!70:70-";7#!$g"</f>
        <v>#VALUE!</v>
      </c>
      <c r="FA1" s="0" t="e">
        <f aca="false">Zaheer!71:71-";7#!$h"</f>
        <v>#VALUE!</v>
      </c>
      <c r="FB1" s="0" t="e">
        <f aca="false">Zaheer!72:72-";7#!$i"</f>
        <v>#VALUE!</v>
      </c>
      <c r="FC1" s="0" t="e">
        <f aca="false">Zaheer!73:73-";7#!$j"</f>
        <v>#VALUE!</v>
      </c>
      <c r="FD1" s="0" t="e">
        <f aca="false">Zaheer!74:74-";7#!$k"</f>
        <v>#VALUE!</v>
      </c>
      <c r="FE1" s="0" t="e">
        <f aca="false">Zaheer!75:75-";7#!$l"</f>
        <v>#VALUE!</v>
      </c>
      <c r="FF1" s="0" t="e">
        <f aca="false">Zaheer!76:76-";7#!$m"</f>
        <v>#VALUE!</v>
      </c>
      <c r="FG1" s="0" t="e">
        <f aca="false">Zaheer!77:77-";7#!$n"</f>
        <v>#VALUE!</v>
      </c>
      <c r="FH1" s="0" t="e">
        <f aca="false">Zaheer!78:78-";7#!$o"</f>
        <v>#VALUE!</v>
      </c>
      <c r="FI1" s="0" t="e">
        <f aca="false">Zaheer!79:79-";7#!$p"</f>
        <v>#VALUE!</v>
      </c>
      <c r="FJ1" s="0" t="e">
        <f aca="false">Zaheer!80:80-";7#!$q"</f>
        <v>#VALUE!</v>
      </c>
      <c r="FK1" s="0" t="e">
        <f aca="false">Zaheer!81:81-";7#!$r"</f>
        <v>#VALUE!</v>
      </c>
      <c r="FL1" s="0" t="e">
        <f aca="false">Zaheer!82:82-";7#!$s"</f>
        <v>#VALUE!</v>
      </c>
      <c r="FM1" s="0" t="e">
        <f aca="false">Zaheer!83:83-";7#!$t"</f>
        <v>#VALUE!</v>
      </c>
      <c r="FN1" s="0" t="e">
        <f aca="false">Zaheer!84:84-";7#!$u"</f>
        <v>#VALUE!</v>
      </c>
      <c r="FO1" s="0" t="e">
        <f aca="false">Zaheer!85:85-";7#!$v"</f>
        <v>#VALUE!</v>
      </c>
      <c r="FP1" s="0" t="e">
        <f aca="false">Zaheer!86:86-";7#!$w"</f>
        <v>#VALUE!</v>
      </c>
      <c r="FQ1" s="0" t="e">
        <f aca="false">Zaheer!87:87-";7#!$x"</f>
        <v>#VALUE!</v>
      </c>
      <c r="FR1" s="0" t="e">
        <f aca="false">Zaheer!88:88-";7#!$y"</f>
        <v>#VALUE!</v>
      </c>
      <c r="FS1" s="0" t="e">
        <f aca="false">Zaheer!89:89-";7#!$z"</f>
        <v>#VALUE!</v>
      </c>
      <c r="FT1" s="0" t="e">
        <f aca="false">Zaheer!90:90-";7#!${"</f>
        <v>#VALUE!</v>
      </c>
      <c r="FU1" s="0" t="e">
        <f aca="false">Zaheer!91:91-";7#!$|"</f>
        <v>#VALUE!</v>
      </c>
      <c r="FV1" s="0" t="e">
        <f aca="false">Zaheer!92:92-";7#!$}"</f>
        <v>#VALUE!</v>
      </c>
      <c r="FW1" s="0" t="e">
        <f aca="false">Zaheer!93:93-";7#!$~"</f>
        <v>#VALUE!</v>
      </c>
      <c r="FX1" s="0" t="e">
        <f aca="false">Zaheer!94:94-";7#!%#"</f>
        <v>#VALUE!</v>
      </c>
      <c r="FY1" s="0" t="e">
        <f aca="false">Zaheer!95:95-";7#!%$"</f>
        <v>#VALUE!</v>
      </c>
      <c r="FZ1" s="0" t="e">
        <f aca="false">Zaheer!96:96-";7#!%%"</f>
        <v>#VALUE!</v>
      </c>
      <c r="GA1" s="0" t="e">
        <f aca="false">Zaheer!97:97-";7#!%&amp;"</f>
        <v>#VALUE!</v>
      </c>
      <c r="GB1" s="0" t="e">
        <f aca="false">Zaheer!98:98-";7#!%'"</f>
        <v>#VALUE!</v>
      </c>
      <c r="GC1" s="0" t="e">
        <f aca="false">Zaheer!99:99-";7#!%("</f>
        <v>#VALUE!</v>
      </c>
      <c r="GD1" s="0" t="e">
        <f aca="false">Zaheer!100:100-";7#!%)"</f>
        <v>#VALUE!</v>
      </c>
      <c r="GE1" s="0" t="e">
        <f aca="false">Zaheer!101:101-";7#!%."</f>
        <v>#VALUE!</v>
      </c>
      <c r="GF1" s="0" t="e">
        <f aca="false">Zaheer!102:102-";7#!%/"</f>
        <v>#VALUE!</v>
      </c>
      <c r="GG1" s="0" t="e">
        <f aca="false">Zaheer!103:103-";7#!%0"</f>
        <v>#VALUE!</v>
      </c>
      <c r="GH1" s="0" t="e">
        <f aca="false">Zaheer!104:104-";7#!%1"</f>
        <v>#VALUE!</v>
      </c>
      <c r="GI1" s="0" t="e">
        <f aca="false">Zaheer!105:105-";7#!%2"</f>
        <v>#VALUE!</v>
      </c>
      <c r="GJ1" s="0" t="e">
        <f aca="false">Zaheer!106:106-";7#!%3"</f>
        <v>#VALUE!</v>
      </c>
      <c r="GK1" s="0" t="e">
        <f aca="false">Zaheer!107:107-";7#!%4"</f>
        <v>#VALUE!</v>
      </c>
      <c r="GL1" s="0" t="e">
        <f aca="false">Zaheer!108:108-";7#!%5"</f>
        <v>#VALUE!</v>
      </c>
      <c r="GM1" s="0" t="e">
        <f aca="false">Zaheer!109:109-";7#!%6"</f>
        <v>#VALUE!</v>
      </c>
      <c r="GN1" s="0" t="e">
        <f aca="false">Zaheer!110:110-";7#!%7"</f>
        <v>#VALUE!</v>
      </c>
      <c r="GO1" s="0" t="e">
        <f aca="false">Zaheer!111:111-";7#!%8"</f>
        <v>#VALUE!</v>
      </c>
      <c r="GP1" s="0" t="e">
        <f aca="false">Zaheer!112:112-";7#!%9"</f>
        <v>#VALUE!</v>
      </c>
      <c r="GQ1" s="0" t="e">
        <f aca="false">Zaheer!113:113-";7#!%:"</f>
        <v>#VALUE!</v>
      </c>
      <c r="GR1" s="0" t="e">
        <f aca="false">Zaheer!114:114-";7#!%;"</f>
        <v>#VALUE!</v>
      </c>
      <c r="GS1" s="0" t="e">
        <f aca="false">Zaheer!115:115-";7#!%&lt;"</f>
        <v>#VALUE!</v>
      </c>
      <c r="GT1" s="0" t="e">
        <f aca="false">Zaheer!116:116-";7#!%="</f>
        <v>#VALUE!</v>
      </c>
      <c r="GU1" s="0" t="e">
        <f aca="false">Zaheer!117:117-";7#!%&gt;"</f>
        <v>#VALUE!</v>
      </c>
      <c r="GV1" s="0" t="e">
        <f aca="false">Zaheer!118:118-";7#!%?"</f>
        <v>#VALUE!</v>
      </c>
      <c r="GW1" s="0" t="e">
        <f aca="false">Zaheer!119:119-";7#!%@"</f>
        <v>#VALUE!</v>
      </c>
      <c r="GX1" s="0" t="e">
        <f aca="false">Zaheer!120:120-";7#!%A"</f>
        <v>#VALUE!</v>
      </c>
      <c r="GY1" s="0" t="e">
        <f aca="false">Zaheer!121:121-";7#!%B"</f>
        <v>#VALUE!</v>
      </c>
      <c r="GZ1" s="0" t="e">
        <f aca="false">Zaheer!122:122-";7#!%C"</f>
        <v>#VALUE!</v>
      </c>
      <c r="HA1" s="0" t="e">
        <f aca="false">Zaheer!123:123-";7#!%D"</f>
        <v>#VALUE!</v>
      </c>
      <c r="HB1" s="0" t="e">
        <f aca="false">Zaheer!124:124-";7#!%E"</f>
        <v>#VALUE!</v>
      </c>
      <c r="HC1" s="0" t="e">
        <f aca="false">Zaheer!125:125-";7#!%F"</f>
        <v>#VALUE!</v>
      </c>
      <c r="HD1" s="0" t="e">
        <f aca="false">Zaheer!126:126-";7#!%G"</f>
        <v>#VALUE!</v>
      </c>
      <c r="HE1" s="0" t="e">
        <f aca="false">Zaheer!127:127-";7#!%H"</f>
        <v>#VALUE!</v>
      </c>
      <c r="HF1" s="0" t="e">
        <f aca="false">Zaheer!128:128-";7#!%I"</f>
        <v>#VALUE!</v>
      </c>
      <c r="HG1" s="0" t="e">
        <f aca="false">Zaheer!129:129-";7#!%J"</f>
        <v>#VALUE!</v>
      </c>
      <c r="HH1" s="0" t="e">
        <f aca="false">Zaheer!130:130-";7#!%K"</f>
        <v>#VALUE!</v>
      </c>
      <c r="HI1" s="0" t="e">
        <f aca="false">Zaheer!131:131-";7#!%L"</f>
        <v>#VALUE!</v>
      </c>
      <c r="HJ1" s="0" t="e">
        <f aca="false">Zaheer!132:132-";7#!%M"</f>
        <v>#VALUE!</v>
      </c>
      <c r="HK1" s="0" t="e">
        <f aca="false">Zaheer!133:133-";7#!%N"</f>
        <v>#VALUE!</v>
      </c>
      <c r="HL1" s="0" t="e">
        <f aca="false">Zaheer!134:134-";7#!%O"</f>
        <v>#VALUE!</v>
      </c>
      <c r="HM1" s="0" t="e">
        <f aca="false">Zaheer!135:135-";7#!%P"</f>
        <v>#VALUE!</v>
      </c>
      <c r="HN1" s="0" t="e">
        <f aca="false">Zaheer!136:136-";7#!%Q"</f>
        <v>#VALUE!</v>
      </c>
      <c r="HO1" s="0" t="e">
        <f aca="false">Zaheer!137:137-";7#!%R"</f>
        <v>#VALUE!</v>
      </c>
      <c r="HP1" s="0" t="e">
        <f aca="false">Zaheer!138:138-";7#!%S"</f>
        <v>#VALUE!</v>
      </c>
      <c r="HQ1" s="0" t="e">
        <f aca="false">Zaheer!139:139-";7#!%T"</f>
        <v>#VALUE!</v>
      </c>
      <c r="HR1" s="0" t="e">
        <f aca="false">Zaheer!140:140-";7#!%U"</f>
        <v>#VALUE!</v>
      </c>
      <c r="HS1" s="0" t="e">
        <f aca="false">Zaheer!141:141-";7#!%V"</f>
        <v>#VALUE!</v>
      </c>
      <c r="HT1" s="0" t="e">
        <f aca="false">Zaheer!142:142-";7#!%W"</f>
        <v>#VALUE!</v>
      </c>
      <c r="HU1" s="0" t="e">
        <f aca="false">Zaheer!143:143-";7#!%X"</f>
        <v>#VALUE!</v>
      </c>
      <c r="HV1" s="0" t="e">
        <f aca="false">Zaheer!144:144-";7#!%Y"</f>
        <v>#VALUE!</v>
      </c>
      <c r="HW1" s="0" t="e">
        <f aca="false">Zaheer!145:145-";7#!%Z"</f>
        <v>#VALUE!</v>
      </c>
      <c r="HX1" s="0" t="e">
        <f aca="false">Zaheer!146:146-";7#!%["</f>
        <v>#VALUE!</v>
      </c>
      <c r="HY1" s="0" t="e">
        <f aca="false">Zaheer!147:147-";7#!%\"</f>
        <v>#VALUE!</v>
      </c>
      <c r="HZ1" s="0" t="e">
        <f aca="false">Zaheer!148:148-";7#!%]"</f>
        <v>#VALUE!</v>
      </c>
      <c r="IA1" s="0" t="e">
        <f aca="false">Zaheer!149:149-";7#!%^"</f>
        <v>#VALUE!</v>
      </c>
      <c r="IB1" s="0" t="e">
        <f aca="false">Zaheer!150:150-";7#!%_"</f>
        <v>#VALUE!</v>
      </c>
      <c r="IC1" s="0" t="e">
        <f aca="false">Zaheer!151:151-";7#!%`"</f>
        <v>#VALUE!</v>
      </c>
      <c r="ID1" s="0" t="e">
        <f aca="false">Zaheer!152:152-";7#!%a"</f>
        <v>#VALUE!</v>
      </c>
      <c r="IE1" s="0" t="e">
        <f aca="false">Zaheer!153:153-";7#!%b"</f>
        <v>#VALUE!</v>
      </c>
      <c r="IF1" s="0" t="e">
        <f aca="false">Zaheer!154:154-";7#!%c"</f>
        <v>#VALUE!</v>
      </c>
      <c r="IG1" s="0" t="e">
        <f aca="false">Zaheer!155:155-";7#!%d"</f>
        <v>#VALUE!</v>
      </c>
      <c r="IH1" s="0" t="e">
        <f aca="false">Zaheer!156:156-";7#!%e"</f>
        <v>#VALUE!</v>
      </c>
      <c r="II1" s="0" t="e">
        <f aca="false">Zaheer!157:157-";7#!%f"</f>
        <v>#VALUE!</v>
      </c>
      <c r="IJ1" s="0" t="e">
        <f aca="false">Zaheer!158:158-";7#!%g"</f>
        <v>#VALUE!</v>
      </c>
      <c r="IK1" s="0" t="e">
        <f aca="false">Zaheer!159:159-";7#!%h"</f>
        <v>#VALUE!</v>
      </c>
      <c r="IL1" s="0" t="e">
        <f aca="false">Zaheer!160:160-";7#!%i"</f>
        <v>#VALUE!</v>
      </c>
      <c r="IM1" s="0" t="e">
        <f aca="false">Zaheer!161:161-";7#!%j"</f>
        <v>#VALUE!</v>
      </c>
      <c r="IN1" s="0" t="e">
        <f aca="false">Zaheer!162:162-";7#!%k"</f>
        <v>#VALUE!</v>
      </c>
      <c r="IO1" s="0" t="e">
        <f aca="false">Zaheer!163:163-";7#!%l"</f>
        <v>#VALUE!</v>
      </c>
      <c r="IP1" s="0" t="e">
        <f aca="false">Zaheer!164:164-";7#!%m"</f>
        <v>#VALUE!</v>
      </c>
      <c r="IQ1" s="0" t="e">
        <f aca="false">Zaheer!165:165-";7#!%n"</f>
        <v>#VALUE!</v>
      </c>
      <c r="IR1" s="0" t="e">
        <f aca="false">Zaheer!166:166-";7#!%o"</f>
        <v>#VALUE!</v>
      </c>
      <c r="IS1" s="0" t="e">
        <f aca="false">Zaheer!167:167-";7#!%p"</f>
        <v>#VALUE!</v>
      </c>
      <c r="IT1" s="0" t="e">
        <f aca="false">Zaheer!168:168-";7#!%q"</f>
        <v>#VALUE!</v>
      </c>
      <c r="IU1" s="0" t="e">
        <f aca="false">Zaheer!169:169-";7#!%r"</f>
        <v>#VALUE!</v>
      </c>
      <c r="IV1" s="0" t="e">
        <f aca="false">Zaheer!170:170-";7#!%s"</f>
        <v>#VALUE!</v>
      </c>
    </row>
    <row r="2" customFormat="false" ht="15" hidden="false" customHeight="false" outlineLevel="0" collapsed="false">
      <c r="A2" s="0" t="s">
        <v>93</v>
      </c>
      <c r="F2" s="0" t="e">
        <f aca="false">Zaheer!171:171-";7#!%t"</f>
        <v>#VALUE!</v>
      </c>
      <c r="G2" s="0" t="e">
        <f aca="false">Zaheer!172:172-";7#!%u"</f>
        <v>#VALUE!</v>
      </c>
      <c r="H2" s="0" t="e">
        <f aca="false">Zaheer!173:173-";7#!%v"</f>
        <v>#VALUE!</v>
      </c>
      <c r="I2" s="0" t="e">
        <f aca="false">Zaheer!174:174-";7#!%w"</f>
        <v>#VALUE!</v>
      </c>
      <c r="J2" s="0" t="e">
        <f aca="false">Zaheer!175:175-";7#!%x"</f>
        <v>#VALUE!</v>
      </c>
      <c r="K2" s="0" t="e">
        <f aca="false">Zaheer!176:176-";7#!%y"</f>
        <v>#VALUE!</v>
      </c>
      <c r="L2" s="0" t="e">
        <f aca="false">Zaheer!177:177-";7#!%z"</f>
        <v>#VALUE!</v>
      </c>
      <c r="M2" s="0" t="e">
        <f aca="false">Zaheer!178:178-";7#!%{"</f>
        <v>#VALUE!</v>
      </c>
      <c r="N2" s="0" t="e">
        <f aca="false">Zaheer!179:179-";7#!%|"</f>
        <v>#VALUE!</v>
      </c>
      <c r="O2" s="0" t="e">
        <f aca="false">Zaheer!180:180-";7#!%}"</f>
        <v>#VALUE!</v>
      </c>
      <c r="P2" s="0" t="e">
        <f aca="false">Zaheer!181:181-";7#!%~"</f>
        <v>#VALUE!</v>
      </c>
      <c r="Q2" s="0" t="e">
        <f aca="false">Zaheer!182:182-";7#!&amp;#"</f>
        <v>#VALUE!</v>
      </c>
      <c r="R2" s="0" t="e">
        <f aca="false">Zaheer!183:183-";7#!&amp;$"</f>
        <v>#VALUE!</v>
      </c>
      <c r="S2" s="0" t="e">
        <f aca="false">Zaheer!184:184-";7#!&amp;%"</f>
        <v>#VALUE!</v>
      </c>
      <c r="T2" s="0" t="e">
        <f aca="false">Zaheer!185:185-";7#!&amp;&amp;"</f>
        <v>#VALUE!</v>
      </c>
      <c r="U2" s="0" t="e">
        <f aca="false">Zaheer!186:186-";7#!&amp;'"</f>
        <v>#VALUE!</v>
      </c>
      <c r="V2" s="0" t="e">
        <f aca="false">Zaheer!187:187-";7#!&amp;("</f>
        <v>#VALUE!</v>
      </c>
      <c r="W2" s="0" t="e">
        <f aca="false">Zaheer!188:188-";7#!&amp;)"</f>
        <v>#VALUE!</v>
      </c>
      <c r="X2" s="0" t="e">
        <f aca="false">Zaheer!189:189-";7#!&amp;."</f>
        <v>#VALUE!</v>
      </c>
      <c r="Y2" s="0" t="e">
        <f aca="false">Zaheer!190:190-";7#!&amp;/"</f>
        <v>#VALUE!</v>
      </c>
      <c r="Z2" s="0" t="e">
        <f aca="false">Zaheer!191:191-";7#!&amp;0"</f>
        <v>#VALUE!</v>
      </c>
      <c r="AA2" s="0" t="e">
        <f aca="false">Zaheer!192:192-";7#!&amp;1"</f>
        <v>#VALUE!</v>
      </c>
      <c r="AB2" s="0" t="e">
        <f aca="false">Zaheer!193:193-";7#!&amp;2"</f>
        <v>#VALUE!</v>
      </c>
      <c r="AC2" s="0" t="e">
        <f aca="false">Zaheer!194:194-";7#!&amp;3"</f>
        <v>#VALUE!</v>
      </c>
      <c r="AD2" s="0" t="e">
        <f aca="false">Zaheer!195:195-";7#!&amp;4"</f>
        <v>#VALUE!</v>
      </c>
      <c r="AE2" s="0" t="e">
        <f aca="false">Zaheer!196:196-";7#!&amp;5"</f>
        <v>#VALUE!</v>
      </c>
      <c r="AF2" s="0" t="e">
        <f aca="false">Zaheer!197:197-";7#!&amp;6"</f>
        <v>#VALUE!</v>
      </c>
      <c r="AG2" s="0" t="e">
        <f aca="false">Zaheer!198:198-";7#!&amp;7"</f>
        <v>#VALUE!</v>
      </c>
      <c r="AH2" s="0" t="e">
        <f aca="false">Zaheer!199:199-";7#!&amp;8"</f>
        <v>#VALUE!</v>
      </c>
      <c r="AI2" s="0" t="e">
        <f aca="false">Zaheer!200:200-";7#!&amp;9"</f>
        <v>#VALUE!</v>
      </c>
      <c r="AJ2" s="0" t="e">
        <f aca="false">Zaheer!201:201-";7#!&amp;:"</f>
        <v>#VALUE!</v>
      </c>
      <c r="AK2" s="0" t="e">
        <f aca="false">Zaheer!202:202-";7#!&amp;;"</f>
        <v>#VALUE!</v>
      </c>
      <c r="AL2" s="0" t="e">
        <f aca="false">Zaheer!203:203-";7#!&amp;&lt;"</f>
        <v>#VALUE!</v>
      </c>
      <c r="AM2" s="0" t="e">
        <f aca="false">Zaheer!204:204-";7#!&amp;="</f>
        <v>#VALUE!</v>
      </c>
      <c r="AN2" s="0" t="e">
        <f aca="false">Zaheer!205:205-";7#!&amp;&gt;"</f>
        <v>#VALUE!</v>
      </c>
      <c r="AO2" s="0" t="e">
        <f aca="false">Zaheer!206:206-";7#!&amp;?"</f>
        <v>#VALUE!</v>
      </c>
      <c r="AP2" s="0" t="e">
        <f aca="false">Zaheer!207:207-";7#!&amp;@"</f>
        <v>#VALUE!</v>
      </c>
      <c r="AQ2" s="0" t="e">
        <f aca="false">Zaheer!208:208-";7#!&amp;A"</f>
        <v>#VALUE!</v>
      </c>
      <c r="AR2" s="0" t="e">
        <f aca="false">Zaheer!209:209-";7#!&amp;B"</f>
        <v>#VALUE!</v>
      </c>
      <c r="AS2" s="0" t="e">
        <f aca="false">Zaheer!210:210-";7#!&amp;C"</f>
        <v>#VALUE!</v>
      </c>
      <c r="AT2" s="0" t="e">
        <f aca="false">Zaheer!211:211-";7#!&amp;D"</f>
        <v>#VALUE!</v>
      </c>
      <c r="AU2" s="0" t="e">
        <f aca="false">Zaheer!212:212-";7#!&amp;E"</f>
        <v>#VALUE!</v>
      </c>
      <c r="AV2" s="0" t="e">
        <f aca="false">Zaheer!213:213-";7#!&amp;F"</f>
        <v>#VALUE!</v>
      </c>
      <c r="AW2" s="0" t="e">
        <f aca="false">Zaheer!214:214-";7#!&amp;G"</f>
        <v>#VALUE!</v>
      </c>
      <c r="AX2" s="0" t="e">
        <f aca="false">Zaheer!215:215-";7#!&amp;H"</f>
        <v>#VALUE!</v>
      </c>
      <c r="AY2" s="0" t="e">
        <f aca="false">Zaheer!216:216-";7#!&amp;I"</f>
        <v>#VALUE!</v>
      </c>
      <c r="AZ2" s="0" t="e">
        <f aca="false">Zaheer!217:217-";7#!&amp;J"</f>
        <v>#VALUE!</v>
      </c>
      <c r="BA2" s="0" t="e">
        <f aca="false">Zaheer!218:218-";7#!&amp;K"</f>
        <v>#VALUE!</v>
      </c>
      <c r="BB2" s="0" t="e">
        <f aca="false">Zaheer!219:219-";7#!&amp;L"</f>
        <v>#VALUE!</v>
      </c>
      <c r="BC2" s="0" t="e">
        <f aca="false">Zaheer!220:220-";7#!&amp;M"</f>
        <v>#VALUE!</v>
      </c>
      <c r="BD2" s="0" t="e">
        <f aca="false">Zaheer!221:221-";7#!&amp;N"</f>
        <v>#VALUE!</v>
      </c>
      <c r="BE2" s="0" t="e">
        <f aca="false">Zaheer!222:222-";7#!&amp;O"</f>
        <v>#VALUE!</v>
      </c>
      <c r="BF2" s="0" t="e">
        <f aca="false">Zaheer!223:223-";7#!&amp;P"</f>
        <v>#VALUE!</v>
      </c>
      <c r="BG2" s="0" t="e">
        <f aca="false">Zaheer!224:224-";7#!&amp;Q"</f>
        <v>#VALUE!</v>
      </c>
      <c r="BH2" s="0" t="e">
        <f aca="false">Zaheer!225:225-";7#!&amp;R"</f>
        <v>#VALUE!</v>
      </c>
      <c r="BI2" s="0" t="e">
        <f aca="false">Zaheer!226:226-";7#!&amp;S"</f>
        <v>#VALUE!</v>
      </c>
      <c r="BJ2" s="0" t="e">
        <f aca="false">Zaheer!227:227-";7#!&amp;T"</f>
        <v>#VALUE!</v>
      </c>
      <c r="BK2" s="0" t="e">
        <f aca="false">Zaheer!228:228-";7#!&amp;U"</f>
        <v>#VALUE!</v>
      </c>
      <c r="BL2" s="0" t="e">
        <f aca="false">Zaheer!229:229-";7#!&amp;V"</f>
        <v>#VALUE!</v>
      </c>
      <c r="BM2" s="0" t="e">
        <f aca="false">Zaheer!230:230-";7#!&amp;W"</f>
        <v>#VALUE!</v>
      </c>
      <c r="BN2" s="0" t="e">
        <f aca="false">Zaheer!231:231-";7#!&amp;X"</f>
        <v>#VALUE!</v>
      </c>
      <c r="BO2" s="0" t="e">
        <f aca="false">Zaheer!232:232-";7#!&amp;Y"</f>
        <v>#VALUE!</v>
      </c>
      <c r="BP2" s="0" t="e">
        <f aca="false">Zaheer!A1+";7#!&amp;Z"</f>
        <v>#VALUE!</v>
      </c>
      <c r="BQ2" s="0" t="e">
        <f aca="false">Zaheer!B1+";7#!&amp;["</f>
        <v>#VALUE!</v>
      </c>
      <c r="BR2" s="0" t="e">
        <f aca="false">Zaheer!C1+";7#!&amp;\"</f>
        <v>#VALUE!</v>
      </c>
      <c r="BS2" s="0" t="e">
        <f aca="false">Zaheer!D1+";7#!&amp;]"</f>
        <v>#VALUE!</v>
      </c>
      <c r="BT2" s="0" t="e">
        <f aca="false">Zaheer!E1+";7#!&amp;^"</f>
        <v>#VALUE!</v>
      </c>
      <c r="BU2" s="0" t="e">
        <f aca="false">Zaheer!F1+";7#!&amp;_"</f>
        <v>#VALUE!</v>
      </c>
      <c r="BV2" s="0" t="e">
        <f aca="false">Zaheer!G1+";7#!&amp;`"</f>
        <v>#VALUE!</v>
      </c>
      <c r="BW2" s="0" t="e">
        <f aca="false">Zaheer!H1+";7#!&amp;a"</f>
        <v>#VALUE!</v>
      </c>
      <c r="BX2" s="0" t="e">
        <f aca="false">Zaheer!I1+";7#!&amp;b"</f>
        <v>#VALUE!</v>
      </c>
      <c r="BY2" s="0" t="e">
        <f aca="false">Zaheer!J1+";7#!&amp;c"</f>
        <v>#VALUE!</v>
      </c>
      <c r="BZ2" s="0" t="e">
        <f aca="false">Zaheer!K1+";7#!&amp;d"</f>
        <v>#VALUE!</v>
      </c>
      <c r="CA2" s="0" t="e">
        <f aca="false">Zaheer!L1+";7#!&amp;e"</f>
        <v>#VALUE!</v>
      </c>
      <c r="CB2" s="0" t="e">
        <f aca="false">Zaheer!M1+";7#!&amp;f"</f>
        <v>#VALUE!</v>
      </c>
      <c r="CC2" s="0" t="e">
        <f aca="false">Zaheer!N1+";7#!&amp;g"</f>
        <v>#VALUE!</v>
      </c>
      <c r="CD2" s="0" t="e">
        <f aca="false">Zaheer!O1+";7#!&amp;h"</f>
        <v>#VALUE!</v>
      </c>
      <c r="CE2" s="0" t="e">
        <f aca="false">Zaheer!P1+";7#!&amp;i"</f>
        <v>#VALUE!</v>
      </c>
      <c r="CF2" s="0" t="e">
        <f aca="false">Zaheer!A2+";7#!&amp;j"</f>
        <v>#VALUE!</v>
      </c>
      <c r="CG2" s="0" t="e">
        <f aca="false">Zaheer!B2+";7#!&amp;k"</f>
        <v>#VALUE!</v>
      </c>
      <c r="CH2" s="0" t="e">
        <f aca="false">Zaheer!C2+";7#!&amp;l"</f>
        <v>#VALUE!</v>
      </c>
      <c r="CI2" s="0" t="e">
        <f aca="false">Zaheer!D2+";7#!&amp;m"</f>
        <v>#VALUE!</v>
      </c>
      <c r="CJ2" s="0" t="e">
        <f aca="false">Zaheer!E2+";7#!&amp;n"</f>
        <v>#VALUE!</v>
      </c>
      <c r="CK2" s="0" t="e">
        <f aca="false">Zaheer!F2+";7#!&amp;o"</f>
        <v>#VALUE!</v>
      </c>
      <c r="CL2" s="0" t="e">
        <f aca="false">Zaheer!G2+";7#!&amp;p"</f>
        <v>#VALUE!</v>
      </c>
      <c r="CM2" s="0" t="e">
        <f aca="false">Zaheer!H2+";7#!&amp;q"</f>
        <v>#VALUE!</v>
      </c>
      <c r="CN2" s="0" t="e">
        <f aca="false">Zaheer!I2+";7#!&amp;r"</f>
        <v>#VALUE!</v>
      </c>
      <c r="CO2" s="0" t="e">
        <f aca="false">Zaheer!J2+";7#!&amp;s"</f>
        <v>#VALUE!</v>
      </c>
      <c r="CP2" s="0" t="e">
        <f aca="false">Zaheer!K2+";7#!&amp;t"</f>
        <v>#VALUE!</v>
      </c>
      <c r="CQ2" s="0" t="e">
        <f aca="false">Zaheer!L2+";7#!&amp;u"</f>
        <v>#VALUE!</v>
      </c>
      <c r="CR2" s="0" t="e">
        <f aca="false">Zaheer!M2+";7#!&amp;v"</f>
        <v>#VALUE!</v>
      </c>
      <c r="CS2" s="0" t="e">
        <f aca="false">Zaheer!N2+";7#!&amp;w"</f>
        <v>#VALUE!</v>
      </c>
      <c r="CT2" s="0" t="e">
        <f aca="false">Zaheer!O2+";7#!&amp;x"</f>
        <v>#VALUE!</v>
      </c>
      <c r="CU2" s="0" t="e">
        <f aca="false">Zaheer!P2+";7#!&amp;y"</f>
        <v>#VALUE!</v>
      </c>
      <c r="CV2" s="0" t="e">
        <f aca="false">Zaheer!Q2+";7#!&amp;z"</f>
        <v>#VALUE!</v>
      </c>
      <c r="CW2" s="0" t="e">
        <f aca="false">Zaheer!A3+";7#!&amp;{"</f>
        <v>#VALUE!</v>
      </c>
      <c r="CX2" s="0" t="e">
        <f aca="false">Zaheer!B3+";7#!&amp;|"</f>
        <v>#VALUE!</v>
      </c>
      <c r="CY2" s="0" t="e">
        <f aca="false">Zaheer!C3+";7#!&amp;}"</f>
        <v>#VALUE!</v>
      </c>
      <c r="CZ2" s="0" t="e">
        <f aca="false">Zaheer!D3+";7#!&amp;~"</f>
        <v>#VALUE!</v>
      </c>
      <c r="DA2" s="0" t="e">
        <f aca="false">Zaheer!E3+";7#!'#"</f>
        <v>#VALUE!</v>
      </c>
      <c r="DB2" s="0" t="e">
        <f aca="false">Zaheer!F3+";7#!'$"</f>
        <v>#VALUE!</v>
      </c>
      <c r="DC2" s="0" t="e">
        <f aca="false">Zaheer!G3+";7#!'%"</f>
        <v>#VALUE!</v>
      </c>
      <c r="DD2" s="0" t="e">
        <f aca="false">Zaheer!H3+";7#!'&amp;"</f>
        <v>#VALUE!</v>
      </c>
      <c r="DE2" s="0" t="e">
        <f aca="false">Zaheer!I3+";7#!''"</f>
        <v>#VALUE!</v>
      </c>
      <c r="DF2" s="0" t="e">
        <f aca="false">Zaheer!J3+";7#!'("</f>
        <v>#VALUE!</v>
      </c>
      <c r="DG2" s="0" t="e">
        <f aca="false">Zaheer!K3+";7#!')"</f>
        <v>#VALUE!</v>
      </c>
      <c r="DH2" s="0" t="e">
        <f aca="false">Zaheer!L3+";7#!'."</f>
        <v>#VALUE!</v>
      </c>
      <c r="DI2" s="0" t="e">
        <f aca="false">Zaheer!M3+";7#!'/"</f>
        <v>#VALUE!</v>
      </c>
      <c r="DJ2" s="0" t="e">
        <f aca="false">Zaheer!N3+";7#!'0"</f>
        <v>#VALUE!</v>
      </c>
      <c r="DK2" s="0" t="e">
        <f aca="false">Zaheer!O3+";7#!'1"</f>
        <v>#VALUE!</v>
      </c>
      <c r="DL2" s="0" t="e">
        <f aca="false">Zaheer!P3+";7#!'2"</f>
        <v>#VALUE!</v>
      </c>
      <c r="DM2" s="0" t="e">
        <f aca="false">Zaheer!Q3+";7#!'3"</f>
        <v>#VALUE!</v>
      </c>
      <c r="DN2" s="0" t="e">
        <f aca="false">Zaheer!A4+";7#!'4"</f>
        <v>#VALUE!</v>
      </c>
      <c r="DO2" s="0" t="e">
        <f aca="false">Zaheer!B4+";7#!'5"</f>
        <v>#VALUE!</v>
      </c>
      <c r="DP2" s="0" t="e">
        <f aca="false">Zaheer!C4+";7#!'6"</f>
        <v>#VALUE!</v>
      </c>
      <c r="DQ2" s="0" t="e">
        <f aca="false">Zaheer!D4+";7#!'7"</f>
        <v>#VALUE!</v>
      </c>
      <c r="DR2" s="0" t="e">
        <f aca="false">Zaheer!E4+";7#!'8"</f>
        <v>#VALUE!</v>
      </c>
      <c r="DS2" s="0" t="e">
        <f aca="false">Zaheer!F4+";7#!'9"</f>
        <v>#VALUE!</v>
      </c>
      <c r="DT2" s="0" t="e">
        <f aca="false">Zaheer!G4+";7#!':"</f>
        <v>#VALUE!</v>
      </c>
      <c r="DU2" s="0" t="e">
        <f aca="false">Zaheer!H4+";7#!';"</f>
        <v>#VALUE!</v>
      </c>
      <c r="DV2" s="0" t="e">
        <f aca="false">Zaheer!I4+";7#!'&lt;"</f>
        <v>#VALUE!</v>
      </c>
      <c r="DW2" s="0" t="e">
        <f aca="false">Zaheer!J4+";7#!'="</f>
        <v>#VALUE!</v>
      </c>
      <c r="DX2" s="0" t="e">
        <f aca="false">Zaheer!K4+";7#!'&gt;"</f>
        <v>#VALUE!</v>
      </c>
      <c r="DY2" s="0" t="e">
        <f aca="false">Zaheer!L4+";7#!'?"</f>
        <v>#VALUE!</v>
      </c>
      <c r="DZ2" s="0" t="e">
        <f aca="false">Zaheer!M4+";7#!'@"</f>
        <v>#VALUE!</v>
      </c>
      <c r="EA2" s="0" t="e">
        <f aca="false">Zaheer!N4+";7#!'A"</f>
        <v>#VALUE!</v>
      </c>
      <c r="EB2" s="0" t="e">
        <f aca="false">Zaheer!O4+";7#!'B"</f>
        <v>#VALUE!</v>
      </c>
      <c r="EC2" s="0" t="e">
        <f aca="false">Zaheer!P4+";7#!'C"</f>
        <v>#VALUE!</v>
      </c>
      <c r="ED2" s="0" t="e">
        <f aca="false">Zaheer!Q4+";7#!'D"</f>
        <v>#VALUE!</v>
      </c>
      <c r="EE2" s="0" t="e">
        <f aca="false">Zaheer!A5+";7#!'E"</f>
        <v>#VALUE!</v>
      </c>
      <c r="EF2" s="0" t="e">
        <f aca="false">Zaheer!B5+";7#!'F"</f>
        <v>#VALUE!</v>
      </c>
      <c r="EG2" s="0" t="e">
        <f aca="false">Zaheer!C5+";7#!'G"</f>
        <v>#VALUE!</v>
      </c>
      <c r="EH2" s="0" t="e">
        <f aca="false">Zaheer!D5+";7#!'H"</f>
        <v>#VALUE!</v>
      </c>
      <c r="EI2" s="0" t="e">
        <f aca="false">Zaheer!E5+";7#!'I"</f>
        <v>#VALUE!</v>
      </c>
      <c r="EJ2" s="0" t="e">
        <f aca="false">Zaheer!F5+";7#!'J"</f>
        <v>#VALUE!</v>
      </c>
      <c r="EK2" s="0" t="e">
        <f aca="false">Zaheer!G5+";7#!'K"</f>
        <v>#VALUE!</v>
      </c>
      <c r="EL2" s="0" t="e">
        <f aca="false">Zaheer!H5+";7#!'L"</f>
        <v>#VALUE!</v>
      </c>
      <c r="EM2" s="0" t="e">
        <f aca="false">Zaheer!I5+";7#!'M"</f>
        <v>#VALUE!</v>
      </c>
      <c r="EN2" s="0" t="e">
        <f aca="false">Zaheer!J5+";7#!'N"</f>
        <v>#VALUE!</v>
      </c>
      <c r="EO2" s="0" t="e">
        <f aca="false">Zaheer!K5+";7#!'O"</f>
        <v>#VALUE!</v>
      </c>
      <c r="EP2" s="0" t="e">
        <f aca="false">Zaheer!L5+";7#!'P"</f>
        <v>#VALUE!</v>
      </c>
      <c r="EQ2" s="0" t="e">
        <f aca="false">Zaheer!M5+";7#!'Q"</f>
        <v>#VALUE!</v>
      </c>
      <c r="ER2" s="0" t="e">
        <f aca="false">Zaheer!N5+";7#!'R"</f>
        <v>#VALUE!</v>
      </c>
      <c r="ES2" s="0" t="e">
        <f aca="false">Zaheer!O5+";7#!'S"</f>
        <v>#VALUE!</v>
      </c>
      <c r="ET2" s="0" t="e">
        <f aca="false">Zaheer!P5+";7#!'T"</f>
        <v>#VALUE!</v>
      </c>
      <c r="EU2" s="0" t="e">
        <f aca="false">Zaheer!A6+";7#!'U"</f>
        <v>#VALUE!</v>
      </c>
      <c r="EV2" s="0" t="e">
        <f aca="false">Zaheer!B6+";7#!'V"</f>
        <v>#VALUE!</v>
      </c>
      <c r="EW2" s="0" t="e">
        <f aca="false">Zaheer!C6+";7#!'W"</f>
        <v>#VALUE!</v>
      </c>
      <c r="EX2" s="0" t="e">
        <f aca="false">Zaheer!D6+";7#!'X"</f>
        <v>#VALUE!</v>
      </c>
      <c r="EY2" s="0" t="e">
        <f aca="false">Zaheer!E6+";7#!'Y"</f>
        <v>#VALUE!</v>
      </c>
      <c r="EZ2" s="0" t="e">
        <f aca="false">Zaheer!F6+";7#!'Z"</f>
        <v>#VALUE!</v>
      </c>
      <c r="FA2" s="0" t="e">
        <f aca="false">Zaheer!G6+";7#!'["</f>
        <v>#VALUE!</v>
      </c>
      <c r="FB2" s="0" t="e">
        <f aca="false">Zaheer!H6+";7#!'\"</f>
        <v>#VALUE!</v>
      </c>
      <c r="FC2" s="0" t="e">
        <f aca="false">Zaheer!I6+";7#!']"</f>
        <v>#VALUE!</v>
      </c>
      <c r="FD2" s="0" t="e">
        <f aca="false">Zaheer!J6+";7#!'^"</f>
        <v>#VALUE!</v>
      </c>
      <c r="FE2" s="0" t="e">
        <f aca="false">Zaheer!K6+";7#!'_"</f>
        <v>#VALUE!</v>
      </c>
      <c r="FF2" s="0" t="e">
        <f aca="false">Zaheer!L6+";7#!'`"</f>
        <v>#VALUE!</v>
      </c>
      <c r="FG2" s="0" t="e">
        <f aca="false">Zaheer!M6+";7#!'a"</f>
        <v>#VALUE!</v>
      </c>
      <c r="FH2" s="0" t="e">
        <f aca="false">Zaheer!N6+";7#!'b"</f>
        <v>#VALUE!</v>
      </c>
      <c r="FI2" s="0" t="e">
        <f aca="false">Zaheer!O6+";7#!'c"</f>
        <v>#VALUE!</v>
      </c>
      <c r="FJ2" s="0" t="e">
        <f aca="false">Zaheer!P6+";7#!'d"</f>
        <v>#VALUE!</v>
      </c>
      <c r="FK2" s="0" t="e">
        <f aca="false">Zaheer!A7+";7#!'e"</f>
        <v>#VALUE!</v>
      </c>
      <c r="FL2" s="0" t="e">
        <f aca="false">Zaheer!B7+";7#!'f"</f>
        <v>#VALUE!</v>
      </c>
      <c r="FM2" s="0" t="e">
        <f aca="false">Zaheer!C7+";7#!'g"</f>
        <v>#VALUE!</v>
      </c>
      <c r="FN2" s="0" t="e">
        <f aca="false">Zaheer!D7+";7#!'h"</f>
        <v>#VALUE!</v>
      </c>
      <c r="FO2" s="0" t="e">
        <f aca="false">Zaheer!E7+";7#!'i"</f>
        <v>#VALUE!</v>
      </c>
      <c r="FP2" s="0" t="e">
        <f aca="false">Zaheer!F7+";7#!'j"</f>
        <v>#VALUE!</v>
      </c>
      <c r="FQ2" s="0" t="e">
        <f aca="false">Zaheer!G7+";7#!'k"</f>
        <v>#VALUE!</v>
      </c>
      <c r="FR2" s="0" t="e">
        <f aca="false">Zaheer!H7+";7#!'l"</f>
        <v>#VALUE!</v>
      </c>
      <c r="FS2" s="0" t="e">
        <f aca="false">Zaheer!I7+";7#!'m"</f>
        <v>#VALUE!</v>
      </c>
      <c r="FT2" s="0" t="e">
        <f aca="false">Zaheer!J7+";7#!'n"</f>
        <v>#VALUE!</v>
      </c>
      <c r="FU2" s="0" t="e">
        <f aca="false">Zaheer!K7+";7#!'o"</f>
        <v>#VALUE!</v>
      </c>
      <c r="FV2" s="0" t="e">
        <f aca="false">Zaheer!L7+";7#!'p"</f>
        <v>#VALUE!</v>
      </c>
      <c r="FW2" s="0" t="e">
        <f aca="false">Zaheer!M7+";7#!'q"</f>
        <v>#VALUE!</v>
      </c>
      <c r="FX2" s="0" t="e">
        <f aca="false">Zaheer!N7+";7#!'r"</f>
        <v>#VALUE!</v>
      </c>
      <c r="FY2" s="0" t="e">
        <f aca="false">Zaheer!O7+";7#!'s"</f>
        <v>#VALUE!</v>
      </c>
      <c r="FZ2" s="0" t="e">
        <f aca="false">Zaheer!P7+";7#!'t"</f>
        <v>#VALUE!</v>
      </c>
      <c r="GA2" s="0" t="e">
        <f aca="false">Zaheer!A8+";7#!'u"</f>
        <v>#VALUE!</v>
      </c>
      <c r="GB2" s="0" t="e">
        <f aca="false">Zaheer!B8+";7#!'v"</f>
        <v>#VALUE!</v>
      </c>
      <c r="GC2" s="0" t="e">
        <f aca="false">Zaheer!C8+";7#!'w"</f>
        <v>#VALUE!</v>
      </c>
      <c r="GD2" s="0" t="e">
        <f aca="false">Zaheer!D8+";7#!'x"</f>
        <v>#VALUE!</v>
      </c>
      <c r="GE2" s="0" t="e">
        <f aca="false">Zaheer!E8+";7#!'y"</f>
        <v>#VALUE!</v>
      </c>
      <c r="GF2" s="0" t="e">
        <f aca="false">Zaheer!F8+";7#!'z"</f>
        <v>#VALUE!</v>
      </c>
      <c r="GG2" s="0" t="e">
        <f aca="false">Zaheer!G8+";7#!'{"</f>
        <v>#VALUE!</v>
      </c>
      <c r="GH2" s="0" t="e">
        <f aca="false">Zaheer!H8+";7#!'|"</f>
        <v>#VALUE!</v>
      </c>
      <c r="GI2" s="0" t="e">
        <f aca="false">Zaheer!I8+";7#!'}"</f>
        <v>#VALUE!</v>
      </c>
      <c r="GJ2" s="0" t="e">
        <f aca="false">Zaheer!J8+";7#!'~"</f>
        <v>#VALUE!</v>
      </c>
      <c r="GK2" s="0" t="e">
        <f aca="false">Zaheer!K8+";7#!(#"</f>
        <v>#VALUE!</v>
      </c>
      <c r="GL2" s="0" t="e">
        <f aca="false">Zaheer!L8+";7#!($"</f>
        <v>#VALUE!</v>
      </c>
      <c r="GM2" s="0" t="e">
        <f aca="false">Zaheer!M8+";7#!(%"</f>
        <v>#VALUE!</v>
      </c>
      <c r="GN2" s="0" t="e">
        <f aca="false">Zaheer!N8+";7#!(&amp;"</f>
        <v>#VALUE!</v>
      </c>
      <c r="GO2" s="0" t="e">
        <f aca="false">Zaheer!O8+";7#!('"</f>
        <v>#VALUE!</v>
      </c>
      <c r="GP2" s="0" t="e">
        <f aca="false">Zaheer!P8+";7#!(("</f>
        <v>#VALUE!</v>
      </c>
      <c r="GQ2" s="0" t="e">
        <f aca="false">Zaheer!A9+";7#!()"</f>
        <v>#VALUE!</v>
      </c>
      <c r="GR2" s="0" t="e">
        <f aca="false">Zaheer!B9+";7#!(."</f>
        <v>#VALUE!</v>
      </c>
      <c r="GS2" s="0" t="e">
        <f aca="false">Zaheer!C9+";7#!(/"</f>
        <v>#VALUE!</v>
      </c>
      <c r="GT2" s="0" t="e">
        <f aca="false">Zaheer!D9+";7#!(0"</f>
        <v>#VALUE!</v>
      </c>
      <c r="GU2" s="0" t="e">
        <f aca="false">Zaheer!E9+";7#!(1"</f>
        <v>#VALUE!</v>
      </c>
      <c r="GV2" s="0" t="e">
        <f aca="false">Zaheer!F9+";7#!(2"</f>
        <v>#VALUE!</v>
      </c>
      <c r="GW2" s="0" t="e">
        <f aca="false">Zaheer!G9+";7#!(3"</f>
        <v>#VALUE!</v>
      </c>
      <c r="GX2" s="0" t="e">
        <f aca="false">Zaheer!H9+";7#!(4"</f>
        <v>#VALUE!</v>
      </c>
      <c r="GY2" s="35" t="e">
        <f aca="false">Zaheer!I9+";7#!(5"</f>
        <v>#VALUE!</v>
      </c>
      <c r="GZ2" s="0" t="e">
        <f aca="false">Zaheer!J9+";7#!(6"</f>
        <v>#VALUE!</v>
      </c>
      <c r="HA2" s="0" t="e">
        <f aca="false">Zaheer!K9+";7#!(7"</f>
        <v>#VALUE!</v>
      </c>
      <c r="HB2" s="0" t="e">
        <f aca="false">Zaheer!L9+";7#!(8"</f>
        <v>#VALUE!</v>
      </c>
      <c r="HC2" s="0" t="e">
        <f aca="false">Zaheer!M9+";7#!(9"</f>
        <v>#VALUE!</v>
      </c>
      <c r="HD2" s="0" t="e">
        <f aca="false">Zaheer!N9+";7#!(:"</f>
        <v>#VALUE!</v>
      </c>
      <c r="HE2" s="0" t="e">
        <f aca="false">Zaheer!O9+";7#!(;"</f>
        <v>#VALUE!</v>
      </c>
      <c r="HF2" s="0" t="e">
        <f aca="false">Zaheer!P9+";7#!(&lt;"</f>
        <v>#VALUE!</v>
      </c>
      <c r="HG2" s="0" t="e">
        <f aca="false">Zaheer!A10+";7#!(="</f>
        <v>#VALUE!</v>
      </c>
      <c r="HH2" s="0" t="e">
        <f aca="false">Zaheer!B10+";7#!(&gt;"</f>
        <v>#VALUE!</v>
      </c>
      <c r="HI2" s="0" t="e">
        <f aca="false">Zaheer!C10+";7#!(?"</f>
        <v>#VALUE!</v>
      </c>
      <c r="HJ2" s="0" t="e">
        <f aca="false">Zaheer!D10+";7#!(@"</f>
        <v>#VALUE!</v>
      </c>
      <c r="HK2" s="0" t="e">
        <f aca="false">Zaheer!E10+";7#!(A"</f>
        <v>#VALUE!</v>
      </c>
      <c r="HL2" s="0" t="e">
        <f aca="false">Zaheer!F10+";7#!(B"</f>
        <v>#VALUE!</v>
      </c>
      <c r="HM2" s="0" t="e">
        <f aca="false">Zaheer!G10+";7#!(C"</f>
        <v>#VALUE!</v>
      </c>
      <c r="HN2" s="0" t="e">
        <f aca="false">Zaheer!H10+";7#!(D"</f>
        <v>#VALUE!</v>
      </c>
      <c r="HO2" s="35" t="e">
        <f aca="false">Zaheer!I10+";7#!(E"</f>
        <v>#VALUE!</v>
      </c>
      <c r="HP2" s="0" t="e">
        <f aca="false">Zaheer!J10+";7#!(F"</f>
        <v>#VALUE!</v>
      </c>
      <c r="HQ2" s="0" t="e">
        <f aca="false">Zaheer!K10+";7#!(G"</f>
        <v>#VALUE!</v>
      </c>
      <c r="HR2" s="0" t="e">
        <f aca="false">Zaheer!L10+";7#!(H"</f>
        <v>#VALUE!</v>
      </c>
      <c r="HS2" s="0" t="e">
        <f aca="false">Zaheer!M10+";7#!(I"</f>
        <v>#VALUE!</v>
      </c>
      <c r="HT2" s="0" t="e">
        <f aca="false">Zaheer!N10+";7#!(J"</f>
        <v>#VALUE!</v>
      </c>
      <c r="HU2" s="0" t="e">
        <f aca="false">Zaheer!O10+";7#!(K"</f>
        <v>#VALUE!</v>
      </c>
      <c r="HV2" s="0" t="e">
        <f aca="false">Zaheer!P10+";7#!(L"</f>
        <v>#VALUE!</v>
      </c>
      <c r="HW2" s="0" t="e">
        <f aca="false">Zaheer!A11+";7#!(M"</f>
        <v>#VALUE!</v>
      </c>
      <c r="HX2" s="0" t="e">
        <f aca="false">Zaheer!B11+";7#!(N"</f>
        <v>#VALUE!</v>
      </c>
      <c r="HY2" s="0" t="e">
        <f aca="false">Zaheer!C11+";7#!(O"</f>
        <v>#VALUE!</v>
      </c>
      <c r="HZ2" s="0" t="e">
        <f aca="false">Zaheer!D11+";7#!(P"</f>
        <v>#VALUE!</v>
      </c>
      <c r="IA2" s="0" t="e">
        <f aca="false">Zaheer!E11+";7#!(Q"</f>
        <v>#VALUE!</v>
      </c>
      <c r="IB2" s="0" t="e">
        <f aca="false">Zaheer!F11+";7#!(R"</f>
        <v>#VALUE!</v>
      </c>
      <c r="IC2" s="0" t="e">
        <f aca="false">Zaheer!G11+";7#!(S"</f>
        <v>#VALUE!</v>
      </c>
      <c r="ID2" s="0" t="e">
        <f aca="false">Zaheer!H11+";7#!(T"</f>
        <v>#VALUE!</v>
      </c>
      <c r="IE2" s="0" t="e">
        <f aca="false">Zaheer!I11+";7#!(U"</f>
        <v>#VALUE!</v>
      </c>
      <c r="IF2" s="0" t="e">
        <f aca="false">Zaheer!J11+";7#!(V"</f>
        <v>#VALUE!</v>
      </c>
      <c r="IG2" s="0" t="e">
        <f aca="false">Zaheer!K11+";7#!(W"</f>
        <v>#VALUE!</v>
      </c>
      <c r="IH2" s="0" t="e">
        <f aca="false">Zaheer!L11+";7#!(X"</f>
        <v>#VALUE!</v>
      </c>
      <c r="II2" s="0" t="e">
        <f aca="false">Zaheer!M11+";7#!(Y"</f>
        <v>#VALUE!</v>
      </c>
      <c r="IJ2" s="0" t="e">
        <f aca="false">Zaheer!N11+";7#!(Z"</f>
        <v>#VALUE!</v>
      </c>
      <c r="IK2" s="0" t="e">
        <f aca="false">Zaheer!O11+";7#!(["</f>
        <v>#VALUE!</v>
      </c>
      <c r="IL2" s="0" t="e">
        <f aca="false">Zaheer!P11+";7#!(\"</f>
        <v>#VALUE!</v>
      </c>
      <c r="IM2" s="0" t="e">
        <f aca="false">Zaheer!A12+";7#!(]"</f>
        <v>#VALUE!</v>
      </c>
      <c r="IN2" s="0" t="e">
        <f aca="false">Zaheer!B12+";7#!(^"</f>
        <v>#VALUE!</v>
      </c>
      <c r="IO2" s="0" t="e">
        <f aca="false">Zaheer!C12+";7#!(_"</f>
        <v>#VALUE!</v>
      </c>
      <c r="IP2" s="0" t="e">
        <f aca="false">Zaheer!D12+";7#!(`"</f>
        <v>#VALUE!</v>
      </c>
      <c r="IQ2" s="0" t="e">
        <f aca="false">Zaheer!E12+";7#!(a"</f>
        <v>#VALUE!</v>
      </c>
      <c r="IR2" s="0" t="e">
        <f aca="false">Zaheer!F12+";7#!(b"</f>
        <v>#VALUE!</v>
      </c>
      <c r="IS2" s="0" t="e">
        <f aca="false">Zaheer!G12+";7#!(c"</f>
        <v>#VALUE!</v>
      </c>
      <c r="IT2" s="0" t="e">
        <f aca="false">Zaheer!H12+";7#!(d"</f>
        <v>#VALUE!</v>
      </c>
      <c r="IU2" s="0" t="e">
        <f aca="false">Zaheer!I12+";7#!(e"</f>
        <v>#VALUE!</v>
      </c>
      <c r="IV2" s="0" t="e">
        <f aca="false">Zaheer!J12+";7#!(f"</f>
        <v>#VALUE!</v>
      </c>
    </row>
    <row r="3" customFormat="false" ht="15" hidden="false" customHeight="false" outlineLevel="0" collapsed="false">
      <c r="A3" s="0" t="s">
        <v>94</v>
      </c>
      <c r="F3" s="0" t="e">
        <f aca="false">Zaheer!K12+";7#!(g"</f>
        <v>#VALUE!</v>
      </c>
      <c r="G3" s="0" t="e">
        <f aca="false">Zaheer!L12+";7#!(h"</f>
        <v>#VALUE!</v>
      </c>
      <c r="H3" s="0" t="e">
        <f aca="false">Zaheer!M12+";7#!(i"</f>
        <v>#VALUE!</v>
      </c>
      <c r="I3" s="0" t="e">
        <f aca="false">Zaheer!N12+";7#!(j"</f>
        <v>#VALUE!</v>
      </c>
      <c r="J3" s="0" t="e">
        <f aca="false">Zaheer!O12+";7#!(k"</f>
        <v>#VALUE!</v>
      </c>
      <c r="K3" s="0" t="e">
        <f aca="false">Zaheer!P12+";7#!(l"</f>
        <v>#VALUE!</v>
      </c>
      <c r="L3" s="0" t="e">
        <f aca="false">Zaheer!A13+";7#!(m"</f>
        <v>#VALUE!</v>
      </c>
      <c r="M3" s="0" t="e">
        <f aca="false">Zaheer!B13+";7#!(n"</f>
        <v>#VALUE!</v>
      </c>
      <c r="N3" s="0" t="e">
        <f aca="false">Zaheer!C13+";7#!(o"</f>
        <v>#VALUE!</v>
      </c>
      <c r="O3" s="0" t="e">
        <f aca="false">Zaheer!D13+";7#!(p"</f>
        <v>#VALUE!</v>
      </c>
      <c r="P3" s="0" t="e">
        <f aca="false">Zaheer!E13+";7#!(q"</f>
        <v>#VALUE!</v>
      </c>
      <c r="Q3" s="0" t="e">
        <f aca="false">Zaheer!F13+";7#!(r"</f>
        <v>#VALUE!</v>
      </c>
      <c r="R3" s="0" t="e">
        <f aca="false">Zaheer!G13+";7#!(s"</f>
        <v>#VALUE!</v>
      </c>
      <c r="S3" s="0" t="e">
        <f aca="false">Zaheer!H13+";7#!(t"</f>
        <v>#VALUE!</v>
      </c>
      <c r="T3" s="0" t="e">
        <f aca="false">Zaheer!I13+";7#!(u"</f>
        <v>#VALUE!</v>
      </c>
      <c r="U3" s="0" t="e">
        <f aca="false">Zaheer!J13+";7#!(v"</f>
        <v>#VALUE!</v>
      </c>
      <c r="V3" s="0" t="e">
        <f aca="false">Zaheer!K13+";7#!(w"</f>
        <v>#VALUE!</v>
      </c>
      <c r="W3" s="0" t="e">
        <f aca="false">Zaheer!L13+";7#!(x"</f>
        <v>#VALUE!</v>
      </c>
      <c r="X3" s="0" t="e">
        <f aca="false">Zaheer!M13+";7#!(y"</f>
        <v>#VALUE!</v>
      </c>
      <c r="Y3" s="0" t="e">
        <f aca="false">Zaheer!N13+";7#!(z"</f>
        <v>#VALUE!</v>
      </c>
      <c r="Z3" s="0" t="e">
        <f aca="false">Zaheer!O13+";7#!({"</f>
        <v>#VALUE!</v>
      </c>
      <c r="AA3" s="0" t="e">
        <f aca="false">Zaheer!P13+";7#!(|"</f>
        <v>#VALUE!</v>
      </c>
      <c r="AB3" s="0" t="e">
        <f aca="false">Zaheer!A14+";7#!(}"</f>
        <v>#VALUE!</v>
      </c>
      <c r="AC3" s="0" t="e">
        <f aca="false">Zaheer!B14+";7#!(~"</f>
        <v>#VALUE!</v>
      </c>
      <c r="AD3" s="0" t="e">
        <f aca="false">Zaheer!C14+";7#!)#"</f>
        <v>#VALUE!</v>
      </c>
      <c r="AE3" s="0" t="e">
        <f aca="false">Zaheer!D14+";7#!)$"</f>
        <v>#VALUE!</v>
      </c>
      <c r="AF3" s="0" t="e">
        <f aca="false">Zaheer!E14+";7#!)%"</f>
        <v>#VALUE!</v>
      </c>
      <c r="AG3" s="0" t="e">
        <f aca="false">Zaheer!F14+";7#!)&amp;"</f>
        <v>#VALUE!</v>
      </c>
      <c r="AH3" s="0" t="e">
        <f aca="false">Zaheer!G14+";7#!)'"</f>
        <v>#VALUE!</v>
      </c>
      <c r="AI3" s="0" t="e">
        <f aca="false">Zaheer!H14+";7#!)("</f>
        <v>#VALUE!</v>
      </c>
      <c r="AJ3" s="0" t="e">
        <f aca="false">Zaheer!I14+";7#!))"</f>
        <v>#VALUE!</v>
      </c>
      <c r="AK3" s="0" t="e">
        <f aca="false">Zaheer!J14+";7#!)."</f>
        <v>#VALUE!</v>
      </c>
      <c r="AL3" s="0" t="e">
        <f aca="false">Zaheer!K14+";7#!)/"</f>
        <v>#VALUE!</v>
      </c>
      <c r="AM3" s="0" t="e">
        <f aca="false">Zaheer!L14+";7#!)0"</f>
        <v>#VALUE!</v>
      </c>
      <c r="AN3" s="0" t="e">
        <f aca="false">Zaheer!M14+";7#!)1"</f>
        <v>#VALUE!</v>
      </c>
      <c r="AO3" s="0" t="e">
        <f aca="false">Zaheer!N14+";7#!)2"</f>
        <v>#VALUE!</v>
      </c>
      <c r="AP3" s="0" t="e">
        <f aca="false">Zaheer!O14+";7#!)3"</f>
        <v>#VALUE!</v>
      </c>
      <c r="AQ3" s="0" t="e">
        <f aca="false">Zaheer!P14+";7#!)4"</f>
        <v>#VALUE!</v>
      </c>
      <c r="AR3" s="0" t="e">
        <f aca="false">Zaheer!A15+";7#!)5"</f>
        <v>#VALUE!</v>
      </c>
      <c r="AS3" s="0" t="e">
        <f aca="false">Zaheer!B15+";7#!)6"</f>
        <v>#VALUE!</v>
      </c>
      <c r="AT3" s="0" t="e">
        <f aca="false">Zaheer!C15+";7#!)7"</f>
        <v>#VALUE!</v>
      </c>
      <c r="AU3" s="0" t="e">
        <f aca="false">Zaheer!D15+";7#!)8"</f>
        <v>#VALUE!</v>
      </c>
      <c r="AV3" s="0" t="e">
        <f aca="false">Zaheer!E15+";7#!)9"</f>
        <v>#VALUE!</v>
      </c>
      <c r="AW3" s="0" t="e">
        <f aca="false">Zaheer!F15+";7#!):"</f>
        <v>#VALUE!</v>
      </c>
      <c r="AX3" s="0" t="e">
        <f aca="false">Zaheer!G15+";7#!);"</f>
        <v>#VALUE!</v>
      </c>
      <c r="AY3" s="0" t="e">
        <f aca="false">Zaheer!H15+";7#!)&lt;"</f>
        <v>#VALUE!</v>
      </c>
      <c r="AZ3" s="0" t="e">
        <f aca="false">Zaheer!I15+";7#!)="</f>
        <v>#VALUE!</v>
      </c>
      <c r="BA3" s="0" t="e">
        <f aca="false">Zaheer!J15+";7#!)&gt;"</f>
        <v>#VALUE!</v>
      </c>
      <c r="BB3" s="0" t="e">
        <f aca="false">Zaheer!K15+";7#!)?"</f>
        <v>#VALUE!</v>
      </c>
      <c r="BC3" s="0" t="e">
        <f aca="false">Zaheer!L15+";7#!)@"</f>
        <v>#VALUE!</v>
      </c>
      <c r="BD3" s="0" t="e">
        <f aca="false">Zaheer!M15+";7#!)A"</f>
        <v>#VALUE!</v>
      </c>
      <c r="BE3" s="0" t="e">
        <f aca="false">Zaheer!N15+";7#!)B"</f>
        <v>#VALUE!</v>
      </c>
      <c r="BF3" s="0" t="e">
        <f aca="false">Zaheer!O15+";7#!)C"</f>
        <v>#VALUE!</v>
      </c>
      <c r="BG3" s="0" t="e">
        <f aca="false">Zaheer!P15+";7#!)D"</f>
        <v>#VALUE!</v>
      </c>
      <c r="BH3" s="0" t="e">
        <f aca="false">Zaheer!A16+";7#!)E"</f>
        <v>#VALUE!</v>
      </c>
      <c r="BI3" s="0" t="e">
        <f aca="false">Zaheer!B16+";7#!)F"</f>
        <v>#VALUE!</v>
      </c>
      <c r="BJ3" s="0" t="e">
        <f aca="false">Zaheer!C16+";7#!)G"</f>
        <v>#VALUE!</v>
      </c>
      <c r="BK3" s="0" t="e">
        <f aca="false">Zaheer!D16+";7#!)H"</f>
        <v>#VALUE!</v>
      </c>
      <c r="BL3" s="0" t="e">
        <f aca="false">Zaheer!E16+";7#!)I"</f>
        <v>#VALUE!</v>
      </c>
      <c r="BM3" s="0" t="e">
        <f aca="false">Zaheer!F16+";7#!)J"</f>
        <v>#VALUE!</v>
      </c>
      <c r="BN3" s="0" t="e">
        <f aca="false">Zaheer!G16+";7#!)K"</f>
        <v>#VALUE!</v>
      </c>
      <c r="BO3" s="0" t="e">
        <f aca="false">Zaheer!H16+";7#!)L"</f>
        <v>#VALUE!</v>
      </c>
      <c r="BP3" s="0" t="e">
        <f aca="false">Zaheer!I16+";7#!)M"</f>
        <v>#VALUE!</v>
      </c>
      <c r="BQ3" s="0" t="e">
        <f aca="false">Zaheer!J16+";7#!)N"</f>
        <v>#VALUE!</v>
      </c>
      <c r="BR3" s="0" t="e">
        <f aca="false">Zaheer!K16+";7#!)O"</f>
        <v>#VALUE!</v>
      </c>
      <c r="BS3" s="0" t="e">
        <f aca="false">Zaheer!L16+";7#!)P"</f>
        <v>#VALUE!</v>
      </c>
      <c r="BT3" s="0" t="e">
        <f aca="false">Zaheer!M16+";7#!)Q"</f>
        <v>#VALUE!</v>
      </c>
      <c r="BU3" s="0" t="e">
        <f aca="false">Zaheer!N16+";7#!)R"</f>
        <v>#VALUE!</v>
      </c>
      <c r="BV3" s="0" t="e">
        <f aca="false">Zaheer!O16+";7#!)S"</f>
        <v>#VALUE!</v>
      </c>
      <c r="BW3" s="0" t="e">
        <f aca="false">Zaheer!P16+";7#!)T"</f>
        <v>#VALUE!</v>
      </c>
      <c r="BX3" s="0" t="e">
        <f aca="false">Zaheer!A17+";7#!)U"</f>
        <v>#VALUE!</v>
      </c>
      <c r="BY3" s="0" t="e">
        <f aca="false">Zaheer!B17+";7#!)V"</f>
        <v>#VALUE!</v>
      </c>
      <c r="BZ3" s="0" t="e">
        <f aca="false">Zaheer!C17+";7#!)W"</f>
        <v>#VALUE!</v>
      </c>
      <c r="CA3" s="0" t="e">
        <f aca="false">Zaheer!D17+";7#!)X"</f>
        <v>#VALUE!</v>
      </c>
      <c r="CB3" s="0" t="e">
        <f aca="false">Zaheer!E17+";7#!)Y"</f>
        <v>#VALUE!</v>
      </c>
      <c r="CC3" s="0" t="e">
        <f aca="false">Zaheer!F17+";7#!)Z"</f>
        <v>#VALUE!</v>
      </c>
      <c r="CD3" s="0" t="e">
        <f aca="false">Zaheer!G17+";7#!)["</f>
        <v>#VALUE!</v>
      </c>
      <c r="CE3" s="0" t="e">
        <f aca="false">Zaheer!H17+";7#!)\"</f>
        <v>#VALUE!</v>
      </c>
      <c r="CF3" s="0" t="e">
        <f aca="false">Zaheer!I17+";7#!)]"</f>
        <v>#VALUE!</v>
      </c>
      <c r="CG3" s="0" t="e">
        <f aca="false">Zaheer!J17+";7#!)^"</f>
        <v>#VALUE!</v>
      </c>
      <c r="CH3" s="0" t="e">
        <f aca="false">Zaheer!K17+";7#!)_"</f>
        <v>#VALUE!</v>
      </c>
      <c r="CI3" s="0" t="e">
        <f aca="false">Zaheer!L17+";7#!)`"</f>
        <v>#VALUE!</v>
      </c>
      <c r="CJ3" s="0" t="e">
        <f aca="false">Zaheer!M17+";7#!)a"</f>
        <v>#VALUE!</v>
      </c>
      <c r="CK3" s="0" t="e">
        <f aca="false">Zaheer!N17+";7#!)b"</f>
        <v>#VALUE!</v>
      </c>
      <c r="CL3" s="0" t="e">
        <f aca="false">Zaheer!O17+";7#!)c"</f>
        <v>#VALUE!</v>
      </c>
      <c r="CM3" s="0" t="e">
        <f aca="false">Zaheer!P17+";7#!)d"</f>
        <v>#VALUE!</v>
      </c>
      <c r="CN3" s="0" t="e">
        <f aca="false">Zaheer!A18+";7#!)e"</f>
        <v>#VALUE!</v>
      </c>
      <c r="CO3" s="0" t="e">
        <f aca="false">Zaheer!B18+";7#!)f"</f>
        <v>#VALUE!</v>
      </c>
      <c r="CP3" s="0" t="e">
        <f aca="false">Zaheer!C18+";7#!)g"</f>
        <v>#VALUE!</v>
      </c>
      <c r="CQ3" s="0" t="e">
        <f aca="false">Zaheer!D18+";7#!)h"</f>
        <v>#VALUE!</v>
      </c>
      <c r="CR3" s="0" t="e">
        <f aca="false">Zaheer!E18+";7#!)i"</f>
        <v>#VALUE!</v>
      </c>
      <c r="CS3" s="0" t="e">
        <f aca="false">Zaheer!F18+";7#!)j"</f>
        <v>#VALUE!</v>
      </c>
      <c r="CT3" s="0" t="e">
        <f aca="false">Zaheer!G18+";7#!)k"</f>
        <v>#VALUE!</v>
      </c>
      <c r="CU3" s="0" t="e">
        <f aca="false">Zaheer!H18+";7#!)l"</f>
        <v>#VALUE!</v>
      </c>
      <c r="CV3" s="0" t="e">
        <f aca="false">Zaheer!I18+";7#!)m"</f>
        <v>#VALUE!</v>
      </c>
      <c r="CW3" s="0" t="e">
        <f aca="false">Zaheer!J18+";7#!)n"</f>
        <v>#VALUE!</v>
      </c>
      <c r="CX3" s="0" t="e">
        <f aca="false">Zaheer!K18+";7#!)o"</f>
        <v>#VALUE!</v>
      </c>
      <c r="CY3" s="0" t="e">
        <f aca="false">Zaheer!L18+";7#!)p"</f>
        <v>#VALUE!</v>
      </c>
      <c r="CZ3" s="0" t="e">
        <f aca="false">Zaheer!M18+";7#!)q"</f>
        <v>#VALUE!</v>
      </c>
      <c r="DA3" s="0" t="e">
        <f aca="false">Zaheer!N18+";7#!)r"</f>
        <v>#VALUE!</v>
      </c>
      <c r="DB3" s="0" t="e">
        <f aca="false">Zaheer!O18+";7#!)s"</f>
        <v>#VALUE!</v>
      </c>
      <c r="DC3" s="0" t="e">
        <f aca="false">Zaheer!P18+";7#!)t"</f>
        <v>#VALUE!</v>
      </c>
      <c r="DD3" s="0" t="e">
        <f aca="false">Zaheer!A19+";7#!)u"</f>
        <v>#VALUE!</v>
      </c>
      <c r="DE3" s="0" t="e">
        <f aca="false">Zaheer!B19+";7#!)v"</f>
        <v>#VALUE!</v>
      </c>
      <c r="DF3" s="0" t="e">
        <f aca="false">Zaheer!C19+";7#!)w"</f>
        <v>#VALUE!</v>
      </c>
      <c r="DG3" s="0" t="e">
        <f aca="false">Zaheer!D19+";7#!)x"</f>
        <v>#VALUE!</v>
      </c>
      <c r="DH3" s="0" t="e">
        <f aca="false">Zaheer!E19+";7#!)y"</f>
        <v>#VALUE!</v>
      </c>
      <c r="DI3" s="0" t="e">
        <f aca="false">Zaheer!F19+";7#!)z"</f>
        <v>#VALUE!</v>
      </c>
      <c r="DJ3" s="0" t="e">
        <f aca="false">Zaheer!G19+";7#!){"</f>
        <v>#VALUE!</v>
      </c>
      <c r="DK3" s="0" t="e">
        <f aca="false">Zaheer!H19+";7#!)|"</f>
        <v>#VALUE!</v>
      </c>
      <c r="DL3" s="0" t="e">
        <f aca="false">Zaheer!I19+";7#!)}"</f>
        <v>#VALUE!</v>
      </c>
      <c r="DM3" s="0" t="e">
        <f aca="false">Zaheer!J19+";7#!)~"</f>
        <v>#VALUE!</v>
      </c>
      <c r="DN3" s="0" t="e">
        <f aca="false">Zaheer!K19+";7#!.#"</f>
        <v>#VALUE!</v>
      </c>
      <c r="DO3" s="0" t="e">
        <f aca="false">Zaheer!L19+";7#!.$"</f>
        <v>#VALUE!</v>
      </c>
      <c r="DP3" s="0" t="e">
        <f aca="false">Zaheer!M19+";7#!.%"</f>
        <v>#VALUE!</v>
      </c>
      <c r="DQ3" s="0" t="e">
        <f aca="false">Zaheer!N19+";7#!.&amp;"</f>
        <v>#VALUE!</v>
      </c>
      <c r="DR3" s="0" t="e">
        <f aca="false">Zaheer!O19+";7#!.'"</f>
        <v>#VALUE!</v>
      </c>
      <c r="DS3" s="0" t="e">
        <f aca="false">Zaheer!P19+";7#!.("</f>
        <v>#VALUE!</v>
      </c>
      <c r="DT3" s="0" t="e">
        <f aca="false">Zaheer!A20+";7#!.)"</f>
        <v>#VALUE!</v>
      </c>
      <c r="DU3" s="0" t="e">
        <f aca="false">Zaheer!B20+";7#!.."</f>
        <v>#VALUE!</v>
      </c>
      <c r="DV3" s="0" t="e">
        <f aca="false">Zaheer!C20+";7#!./"</f>
        <v>#VALUE!</v>
      </c>
      <c r="DW3" s="0" t="e">
        <f aca="false">Zaheer!D20+";7#!.0"</f>
        <v>#VALUE!</v>
      </c>
      <c r="DX3" s="0" t="e">
        <f aca="false">Zaheer!E20+";7#!.1"</f>
        <v>#VALUE!</v>
      </c>
      <c r="DY3" s="0" t="e">
        <f aca="false">Zaheer!F20+";7#!.2"</f>
        <v>#VALUE!</v>
      </c>
      <c r="DZ3" s="0" t="e">
        <f aca="false">Zaheer!G20+";7#!.3"</f>
        <v>#VALUE!</v>
      </c>
      <c r="EA3" s="0" t="e">
        <f aca="false">Zaheer!H20+";7#!.4"</f>
        <v>#VALUE!</v>
      </c>
      <c r="EB3" s="0" t="e">
        <f aca="false">Zaheer!I20+";7#!.5"</f>
        <v>#VALUE!</v>
      </c>
      <c r="EC3" s="0" t="e">
        <f aca="false">Zaheer!J20+";7#!.6"</f>
        <v>#VALUE!</v>
      </c>
      <c r="ED3" s="0" t="e">
        <f aca="false">Zaheer!K20+";7#!.7"</f>
        <v>#VALUE!</v>
      </c>
      <c r="EE3" s="0" t="e">
        <f aca="false">Zaheer!L20+";7#!.8"</f>
        <v>#VALUE!</v>
      </c>
      <c r="EF3" s="0" t="e">
        <f aca="false">Zaheer!M20+";7#!.9"</f>
        <v>#VALUE!</v>
      </c>
      <c r="EG3" s="0" t="e">
        <f aca="false">Zaheer!N20+";7#!.:"</f>
        <v>#VALUE!</v>
      </c>
      <c r="EH3" s="0" t="e">
        <f aca="false">Zaheer!O20+";7#!.;"</f>
        <v>#VALUE!</v>
      </c>
      <c r="EI3" s="0" t="e">
        <f aca="false">Zaheer!P20+";7#!.&lt;"</f>
        <v>#VALUE!</v>
      </c>
      <c r="EJ3" s="0" t="e">
        <f aca="false">Zaheer!A21+";7#!.="</f>
        <v>#VALUE!</v>
      </c>
      <c r="EK3" s="0" t="e">
        <f aca="false">Zaheer!B21+";7#!.&gt;"</f>
        <v>#VALUE!</v>
      </c>
      <c r="EL3" s="0" t="e">
        <f aca="false">Zaheer!C21+";7#!.?"</f>
        <v>#N/A</v>
      </c>
      <c r="EM3" s="0" t="e">
        <f aca="false">Zaheer!D21+";7#!.@"</f>
        <v>#VALUE!</v>
      </c>
      <c r="EN3" s="0" t="e">
        <f aca="false">Zaheer!E21+";7#!.A"</f>
        <v>#VALUE!</v>
      </c>
      <c r="EO3" s="0" t="e">
        <f aca="false">Zaheer!F21+";7#!.B"</f>
        <v>#VALUE!</v>
      </c>
      <c r="EP3" s="0" t="e">
        <f aca="false">Zaheer!G21+";7#!.C"</f>
        <v>#VALUE!</v>
      </c>
      <c r="EQ3" s="0" t="e">
        <f aca="false">Zaheer!H21+";7#!.D"</f>
        <v>#VALUE!</v>
      </c>
      <c r="ER3" s="0" t="e">
        <f aca="false">Zaheer!I21+";7#!.E"</f>
        <v>#VALUE!</v>
      </c>
      <c r="ES3" s="0" t="e">
        <f aca="false">Zaheer!J21+";7#!.F"</f>
        <v>#VALUE!</v>
      </c>
      <c r="ET3" s="0" t="e">
        <f aca="false">Zaheer!K21+";7#!.G"</f>
        <v>#VALUE!</v>
      </c>
      <c r="EU3" s="0" t="e">
        <f aca="false">Zaheer!L21+";7#!.H"</f>
        <v>#VALUE!</v>
      </c>
      <c r="EV3" s="0" t="e">
        <f aca="false">Zaheer!M21+";7#!.I"</f>
        <v>#VALUE!</v>
      </c>
      <c r="EW3" s="0" t="e">
        <f aca="false">Zaheer!N21+";7#!.J"</f>
        <v>#VALUE!</v>
      </c>
      <c r="EX3" s="0" t="e">
        <f aca="false">Zaheer!O21+";7#!.K"</f>
        <v>#VALUE!</v>
      </c>
      <c r="EY3" s="0" t="e">
        <f aca="false">Zaheer!P21+";7#!.L"</f>
        <v>#VALUE!</v>
      </c>
      <c r="EZ3" s="0" t="e">
        <f aca="false">Zaheer!A22+";7#!.M"</f>
        <v>#VALUE!</v>
      </c>
      <c r="FA3" s="0" t="e">
        <f aca="false">Zaheer!B22+";7#!.N"</f>
        <v>#VALUE!</v>
      </c>
      <c r="FB3" s="0" t="e">
        <f aca="false">Zaheer!C22+";7#!.O"</f>
        <v>#N/A</v>
      </c>
      <c r="FC3" s="0" t="e">
        <f aca="false">Zaheer!D22+";7#!.P"</f>
        <v>#VALUE!</v>
      </c>
      <c r="FD3" s="0" t="e">
        <f aca="false">Zaheer!E22+";7#!.Q"</f>
        <v>#VALUE!</v>
      </c>
      <c r="FE3" s="0" t="e">
        <f aca="false">Zaheer!F22+";7#!.R"</f>
        <v>#VALUE!</v>
      </c>
      <c r="FF3" s="0" t="e">
        <f aca="false">Zaheer!G22+";7#!.S"</f>
        <v>#VALUE!</v>
      </c>
      <c r="FG3" s="0" t="e">
        <f aca="false">Zaheer!H22+";7#!.T"</f>
        <v>#VALUE!</v>
      </c>
      <c r="FH3" s="0" t="e">
        <f aca="false">Zaheer!I22+";7#!.U"</f>
        <v>#VALUE!</v>
      </c>
      <c r="FI3" s="0" t="e">
        <f aca="false">Zaheer!J22+";7#!.V"</f>
        <v>#VALUE!</v>
      </c>
      <c r="FJ3" s="0" t="e">
        <f aca="false">Zaheer!K22+";7#!.W"</f>
        <v>#VALUE!</v>
      </c>
      <c r="FK3" s="0" t="e">
        <f aca="false">Zaheer!L22+";7#!.X"</f>
        <v>#VALUE!</v>
      </c>
      <c r="FL3" s="0" t="e">
        <f aca="false">Zaheer!M22+";7#!.Y"</f>
        <v>#VALUE!</v>
      </c>
      <c r="FM3" s="0" t="e">
        <f aca="false">Zaheer!N22+";7#!.Z"</f>
        <v>#VALUE!</v>
      </c>
      <c r="FN3" s="0" t="e">
        <f aca="false">Zaheer!O22+";7#!.["</f>
        <v>#VALUE!</v>
      </c>
      <c r="FO3" s="0" t="e">
        <f aca="false">Zaheer!P22+";7#!.\"</f>
        <v>#VALUE!</v>
      </c>
      <c r="FP3" s="0" t="e">
        <f aca="false">Zaheer!A23+";7#!.]"</f>
        <v>#VALUE!</v>
      </c>
      <c r="FQ3" s="0" t="e">
        <f aca="false">Zaheer!B23+";7#!.^"</f>
        <v>#VALUE!</v>
      </c>
      <c r="FR3" s="0" t="e">
        <f aca="false">Zaheer!C23+";7#!._"</f>
        <v>#VALUE!</v>
      </c>
      <c r="FS3" s="35" t="e">
        <f aca="false">Zaheer!D23+";7#!.`"</f>
        <v>#VALUE!</v>
      </c>
      <c r="FT3" s="35" t="e">
        <f aca="false">Zaheer!E23+";7#!.a"</f>
        <v>#VALUE!</v>
      </c>
      <c r="FU3" s="35" t="e">
        <f aca="false">Zaheer!F23+";7#!.b"</f>
        <v>#VALUE!</v>
      </c>
      <c r="FV3" s="35" t="e">
        <f aca="false">Zaheer!G23+";7#!.c"</f>
        <v>#VALUE!</v>
      </c>
      <c r="FW3" s="35" t="e">
        <f aca="false">Zaheer!H23+";7#!.d"</f>
        <v>#VALUE!</v>
      </c>
      <c r="FX3" s="35" t="e">
        <f aca="false">Zaheer!I23+";7#!.e"</f>
        <v>#VALUE!</v>
      </c>
      <c r="FY3" s="35" t="e">
        <f aca="false">Zaheer!J23+";7#!.f"</f>
        <v>#VALUE!</v>
      </c>
      <c r="FZ3" s="35" t="e">
        <f aca="false">Zaheer!K23+";7#!.g"</f>
        <v>#VALUE!</v>
      </c>
      <c r="GA3" s="35" t="e">
        <f aca="false">Zaheer!L23+";7#!.h"</f>
        <v>#VALUE!</v>
      </c>
      <c r="GB3" s="35" t="e">
        <f aca="false">Zaheer!M23+";7#!.i"</f>
        <v>#VALUE!</v>
      </c>
      <c r="GC3" s="35" t="e">
        <f aca="false">Zaheer!N23+";7#!.j"</f>
        <v>#VALUE!</v>
      </c>
      <c r="GD3" s="35" t="e">
        <f aca="false">Zaheer!O23+";7#!.k"</f>
        <v>#VALUE!</v>
      </c>
      <c r="GE3" s="35" t="e">
        <f aca="false">Zaheer!P23+";7#!.l"</f>
        <v>#VALUE!</v>
      </c>
      <c r="GF3" s="0" t="e">
        <f aca="false">Zaheer!A24+";7#!.m"</f>
        <v>#VALUE!</v>
      </c>
      <c r="GG3" s="0" t="e">
        <f aca="false">Zaheer!B24+";7#!.n"</f>
        <v>#VALUE!</v>
      </c>
      <c r="GH3" s="0" t="e">
        <f aca="false">Zaheer!C24+";7#!.o"</f>
        <v>#VALUE!</v>
      </c>
      <c r="GI3" s="35" t="e">
        <f aca="false">Zaheer!D24+";7#!.p"</f>
        <v>#VALUE!</v>
      </c>
      <c r="GJ3" s="35" t="e">
        <f aca="false">Zaheer!E24+";7#!.q"</f>
        <v>#VALUE!</v>
      </c>
      <c r="GK3" s="35" t="e">
        <f aca="false">Zaheer!F24+";7#!.r"</f>
        <v>#VALUE!</v>
      </c>
      <c r="GL3" s="35" t="e">
        <f aca="false">Zaheer!G24+";7#!.s"</f>
        <v>#VALUE!</v>
      </c>
      <c r="GM3" s="35" t="e">
        <f aca="false">Zaheer!H24+";7#!.t"</f>
        <v>#VALUE!</v>
      </c>
      <c r="GN3" s="35" t="e">
        <f aca="false">Zaheer!I24+";7#!.u"</f>
        <v>#VALUE!</v>
      </c>
      <c r="GO3" s="35" t="e">
        <f aca="false">Zaheer!J24+";7#!.v"</f>
        <v>#VALUE!</v>
      </c>
      <c r="GP3" s="35" t="e">
        <f aca="false">Zaheer!K24+";7#!.w"</f>
        <v>#VALUE!</v>
      </c>
      <c r="GQ3" s="35" t="e">
        <f aca="false">Zaheer!L24+";7#!.x"</f>
        <v>#VALUE!</v>
      </c>
      <c r="GR3" s="35" t="e">
        <f aca="false">Zaheer!M24+";7#!.y"</f>
        <v>#VALUE!</v>
      </c>
      <c r="GS3" s="35" t="e">
        <f aca="false">Zaheer!N24+";7#!.z"</f>
        <v>#VALUE!</v>
      </c>
      <c r="GT3" s="35" t="e">
        <f aca="false">Zaheer!O24+";7#!.{"</f>
        <v>#VALUE!</v>
      </c>
      <c r="GU3" s="35" t="e">
        <f aca="false">Zaheer!P24+";7#!.|"</f>
        <v>#VALUE!</v>
      </c>
      <c r="GV3" s="0" t="e">
        <f aca="false">Zaheer!A25+";7#!.}"</f>
        <v>#VALUE!</v>
      </c>
      <c r="GW3" s="0" t="e">
        <f aca="false">Zaheer!B25+";7#!.~"</f>
        <v>#VALUE!</v>
      </c>
      <c r="GX3" s="0" t="e">
        <f aca="false">Zaheer!C25+";7#!/#"</f>
        <v>#VALUE!</v>
      </c>
      <c r="GY3" s="35" t="e">
        <f aca="false">Zaheer!D25+";7#!/$"</f>
        <v>#VALUE!</v>
      </c>
      <c r="GZ3" s="35" t="e">
        <f aca="false">Zaheer!E25+";7#!/%"</f>
        <v>#VALUE!</v>
      </c>
      <c r="HA3" s="35" t="e">
        <f aca="false">Zaheer!F25+";7#!/&amp;"</f>
        <v>#VALUE!</v>
      </c>
      <c r="HB3" s="35" t="e">
        <f aca="false">Zaheer!G25+";7#!/'"</f>
        <v>#VALUE!</v>
      </c>
      <c r="HC3" s="35" t="e">
        <f aca="false">Zaheer!H25+";7#!/("</f>
        <v>#VALUE!</v>
      </c>
      <c r="HD3" s="35" t="e">
        <f aca="false">Zaheer!I25+";7#!/)"</f>
        <v>#VALUE!</v>
      </c>
      <c r="HE3" s="35" t="e">
        <f aca="false">Zaheer!J25+";7#!/."</f>
        <v>#VALUE!</v>
      </c>
      <c r="HF3" s="35" t="e">
        <f aca="false">Zaheer!K25+";7#!//"</f>
        <v>#VALUE!</v>
      </c>
      <c r="HG3" s="35" t="e">
        <f aca="false">Zaheer!L25+";7#!/0"</f>
        <v>#VALUE!</v>
      </c>
      <c r="HH3" s="35" t="e">
        <f aca="false">Zaheer!M25+";7#!/1"</f>
        <v>#VALUE!</v>
      </c>
      <c r="HI3" s="35" t="e">
        <f aca="false">Zaheer!N25+";7#!/2"</f>
        <v>#VALUE!</v>
      </c>
      <c r="HJ3" s="35" t="e">
        <f aca="false">Zaheer!O25+";7#!/3"</f>
        <v>#VALUE!</v>
      </c>
      <c r="HK3" s="35" t="e">
        <f aca="false">Zaheer!P25+";7#!/4"</f>
        <v>#VALUE!</v>
      </c>
      <c r="HL3" s="0" t="e">
        <f aca="false">Zaheer!A26+";7#!/5"</f>
        <v>#VALUE!</v>
      </c>
      <c r="HM3" s="0" t="e">
        <f aca="false">Zaheer!B26+";7#!/6"</f>
        <v>#VALUE!</v>
      </c>
      <c r="HN3" s="0" t="e">
        <f aca="false">Zaheer!C26+";7#!/7"</f>
        <v>#VALUE!</v>
      </c>
      <c r="HO3" s="36" t="e">
        <f aca="false">Zaheer!D26+";7#!/8"</f>
        <v>#VALUE!</v>
      </c>
      <c r="HP3" s="36" t="e">
        <f aca="false">Zaheer!E26+";7#!/9"</f>
        <v>#VALUE!</v>
      </c>
      <c r="HQ3" s="36" t="e">
        <f aca="false">Zaheer!F26+";7#!/:"</f>
        <v>#VALUE!</v>
      </c>
      <c r="HR3" s="36" t="e">
        <f aca="false">Zaheer!G26+";7#!/;"</f>
        <v>#VALUE!</v>
      </c>
      <c r="HS3" s="36" t="e">
        <f aca="false">Zaheer!H26+";7#!/&lt;"</f>
        <v>#VALUE!</v>
      </c>
      <c r="HT3" s="36" t="e">
        <f aca="false">Zaheer!I26+";7#!/="</f>
        <v>#VALUE!</v>
      </c>
      <c r="HU3" s="36" t="e">
        <f aca="false">Zaheer!J26+";7#!/&gt;"</f>
        <v>#DIV/0!</v>
      </c>
      <c r="HV3" s="36" t="e">
        <f aca="false">Zaheer!K26+";7#!/?"</f>
        <v>#DIV/0!</v>
      </c>
      <c r="HW3" s="36" t="e">
        <f aca="false">Zaheer!L26+";7#!/@"</f>
        <v>#DIV/0!</v>
      </c>
      <c r="HX3" s="36" t="e">
        <f aca="false">Zaheer!M26+";7#!/A"</f>
        <v>#DIV/0!</v>
      </c>
      <c r="HY3" s="36" t="e">
        <f aca="false">Zaheer!N26+";7#!/B"</f>
        <v>#DIV/0!</v>
      </c>
      <c r="HZ3" s="36" t="e">
        <f aca="false">Zaheer!O26+";7#!/C"</f>
        <v>#DIV/0!</v>
      </c>
      <c r="IA3" s="36" t="e">
        <f aca="false">Zaheer!P26+";7#!/D"</f>
        <v>#VALUE!</v>
      </c>
      <c r="IB3" s="0" t="e">
        <f aca="false">Dev!A:A*";7#!/E"</f>
        <v>#VALUE!</v>
      </c>
      <c r="IC3" s="0" t="e">
        <f aca="false">Dev!B:B*";7#!/F"</f>
        <v>#VALUE!</v>
      </c>
      <c r="ID3" s="0" t="e">
        <f aca="false">Dev!C:C*";7#!/G"</f>
        <v>#VALUE!</v>
      </c>
      <c r="IE3" s="0" t="e">
        <f aca="false">Dev!D:D*";7#!/H"</f>
        <v>#VALUE!</v>
      </c>
      <c r="IF3" s="0" t="e">
        <f aca="false">Dev!E:E*";7#!/I"</f>
        <v>#VALUE!</v>
      </c>
      <c r="IG3" s="0" t="e">
        <f aca="false">Dev!F:F*";7#!/J"</f>
        <v>#VALUE!</v>
      </c>
      <c r="IH3" s="0" t="e">
        <f aca="false">Dev!G:G*";7#!/K"</f>
        <v>#VALUE!</v>
      </c>
      <c r="II3" s="0" t="e">
        <f aca="false">Dev!H:H*";7#!/L"</f>
        <v>#VALUE!</v>
      </c>
      <c r="IJ3" s="0" t="e">
        <f aca="false">Dev!I:I*";7#!/M"</f>
        <v>#VALUE!</v>
      </c>
      <c r="IK3" s="0" t="e">
        <f aca="false">Dev!J:J*";7#!/N"</f>
        <v>#VALUE!</v>
      </c>
      <c r="IL3" s="0" t="e">
        <f aca="false">Dev!K:K*";7#!/O"</f>
        <v>#VALUE!</v>
      </c>
      <c r="IM3" s="0" t="e">
        <f aca="false">Dev!L:L*";7#!/P"</f>
        <v>#VALUE!</v>
      </c>
      <c r="IN3" s="0" t="e">
        <f aca="false">Dev!M:M*";7#!/Q"</f>
        <v>#VALUE!</v>
      </c>
      <c r="IO3" s="0" t="e">
        <f aca="false">Dev!N:N*";7#!/R"</f>
        <v>#VALUE!</v>
      </c>
      <c r="IP3" s="0" t="e">
        <f aca="false">Dev!O:O*";7#!/S"</f>
        <v>#VALUE!</v>
      </c>
      <c r="IQ3" s="0" t="e">
        <f aca="false">Dev!P:P*";7#!/T"</f>
        <v>#VALUE!</v>
      </c>
      <c r="IR3" s="0" t="e">
        <f aca="false">Dev!Q:Q*";7#!/U"</f>
        <v>#VALUE!</v>
      </c>
      <c r="IS3" s="0" t="e">
        <f aca="false">Dev!R:R*";7#!/V"</f>
        <v>#VALUE!</v>
      </c>
      <c r="IT3" s="0" t="e">
        <f aca="false">Dev!S:S*";7#!/W"</f>
        <v>#VALUE!</v>
      </c>
      <c r="IU3" s="0" t="e">
        <f aca="false">Dev!T:T*";7#!/X"</f>
        <v>#VALUE!</v>
      </c>
      <c r="IV3" s="0" t="e">
        <f aca="false">Dev!U:U*";7#!/Y"</f>
        <v>#VALUE!</v>
      </c>
    </row>
    <row r="4" customFormat="false" ht="15" hidden="false" customHeight="false" outlineLevel="0" collapsed="false">
      <c r="A4" s="0" t="s">
        <v>95</v>
      </c>
      <c r="F4" s="0" t="e">
        <f aca="false">Dev!V:V*";7#!/Z"</f>
        <v>#VALUE!</v>
      </c>
      <c r="G4" s="0" t="e">
        <f aca="false">Dev!W:W*";7#!/["</f>
        <v>#VALUE!</v>
      </c>
      <c r="H4" s="0" t="e">
        <f aca="false">Dev!X:X*";7#!/\"</f>
        <v>#VALUE!</v>
      </c>
      <c r="I4" s="0" t="e">
        <f aca="false">Dev!Y:Y*";7#!/]"</f>
        <v>#VALUE!</v>
      </c>
      <c r="J4" s="0" t="e">
        <f aca="false">Dev!Z:Z*";7#!/^"</f>
        <v>#VALUE!</v>
      </c>
      <c r="K4" s="0" t="e">
        <f aca="false">Dev!AA:AA*";7#!/_"</f>
        <v>#VALUE!</v>
      </c>
      <c r="L4" s="0" t="e">
        <f aca="false">Dev!AB:AB*";7#!/`"</f>
        <v>#VALUE!</v>
      </c>
      <c r="M4" s="0" t="e">
        <f aca="false">Dev!AC:AC*";7#!/a"</f>
        <v>#VALUE!</v>
      </c>
      <c r="N4" s="0" t="e">
        <f aca="false">Dev!AD:AD*";7#!/b"</f>
        <v>#VALUE!</v>
      </c>
      <c r="O4" s="0" t="e">
        <f aca="false">Dev!AE:AE*";7#!/c"</f>
        <v>#VALUE!</v>
      </c>
      <c r="P4" s="0" t="e">
        <f aca="false">Dev!AF:AF*";7#!/d"</f>
        <v>#VALUE!</v>
      </c>
      <c r="Q4" s="0" t="e">
        <f aca="false">Dev!AG:AG*";7#!/e"</f>
        <v>#VALUE!</v>
      </c>
      <c r="R4" s="0" t="e">
        <f aca="false">Dev!AH:AH*";7#!/f"</f>
        <v>#VALUE!</v>
      </c>
      <c r="S4" s="0" t="e">
        <f aca="false">Dev!AI:AI*";7#!/g"</f>
        <v>#VALUE!</v>
      </c>
      <c r="T4" s="0" t="e">
        <f aca="false">Dev!AJ:AJ*";7#!/h"</f>
        <v>#VALUE!</v>
      </c>
      <c r="U4" s="0" t="e">
        <f aca="false">Dev!AK:AK*";7#!/i"</f>
        <v>#VALUE!</v>
      </c>
      <c r="V4" s="0" t="e">
        <f aca="false">Dev!AL:AL*";7#!/j"</f>
        <v>#VALUE!</v>
      </c>
      <c r="W4" s="0" t="e">
        <f aca="false">Dev!AM:AM*";7#!/k"</f>
        <v>#VALUE!</v>
      </c>
      <c r="X4" s="0" t="e">
        <f aca="false">Dev!AN:AN*";7#!/l"</f>
        <v>#VALUE!</v>
      </c>
      <c r="Y4" s="0" t="e">
        <f aca="false">Dev!AO:AO*";7#!/m"</f>
        <v>#VALUE!</v>
      </c>
      <c r="Z4" s="0" t="e">
        <f aca="false">Dev!AP:AP*";7#!/n"</f>
        <v>#VALUE!</v>
      </c>
      <c r="AA4" s="0" t="e">
        <f aca="false">Dev!AQ:AQ*";7#!/o"</f>
        <v>#VALUE!</v>
      </c>
      <c r="AB4" s="0" t="e">
        <f aca="false">Dev!AR:AR*";7#!/p"</f>
        <v>#VALUE!</v>
      </c>
      <c r="AC4" s="0" t="e">
        <f aca="false">Dev!AS:AS*";7#!/q"</f>
        <v>#VALUE!</v>
      </c>
      <c r="AD4" s="0" t="e">
        <f aca="false">Dev!AT:AT*";7#!/r"</f>
        <v>#VALUE!</v>
      </c>
      <c r="AE4" s="0" t="e">
        <f aca="false">Dev!AU:AU*";7#!/s"</f>
        <v>#VALUE!</v>
      </c>
      <c r="AF4" s="0" t="e">
        <f aca="false">Dev!AV:AV*";7#!/t"</f>
        <v>#VALUE!</v>
      </c>
      <c r="AG4" s="0" t="e">
        <f aca="false">Dev!AW:AW*";7#!/u"</f>
        <v>#VALUE!</v>
      </c>
      <c r="AH4" s="0" t="e">
        <f aca="false">Dev!AX:AX*";7#!/v"</f>
        <v>#VALUE!</v>
      </c>
      <c r="AI4" s="0" t="e">
        <f aca="false">Dev!AY:AY*";7#!/w"</f>
        <v>#VALUE!</v>
      </c>
      <c r="AJ4" s="0" t="e">
        <f aca="false">Dev!AZ:AZ*";7#!/x"</f>
        <v>#VALUE!</v>
      </c>
      <c r="AK4" s="0" t="e">
        <f aca="false">Dev!BA:BA*";7#!/y"</f>
        <v>#VALUE!</v>
      </c>
      <c r="AL4" s="0" t="e">
        <f aca="false">Dev!BB:BB*";7#!/z"</f>
        <v>#VALUE!</v>
      </c>
      <c r="AM4" s="0" t="e">
        <f aca="false">Dev!BC:BC*";7#!/{"</f>
        <v>#VALUE!</v>
      </c>
      <c r="AN4" s="0" t="e">
        <f aca="false">Dev!BD:BD*";7#!/|"</f>
        <v>#VALUE!</v>
      </c>
      <c r="AO4" s="0" t="e">
        <f aca="false">Dev!BE:BE*";7#!/}"</f>
        <v>#VALUE!</v>
      </c>
      <c r="AP4" s="0" t="e">
        <f aca="false">Dev!BF:BF*";7#!/~"</f>
        <v>#VALUE!</v>
      </c>
      <c r="AQ4" s="0" t="e">
        <f aca="false">Dev!BG:BG*";7#!0#"</f>
        <v>#VALUE!</v>
      </c>
      <c r="AR4" s="0" t="e">
        <f aca="false">Dev!BH:BH*";7#!0$"</f>
        <v>#VALUE!</v>
      </c>
      <c r="AS4" s="0" t="e">
        <f aca="false">Dev!BI:BI*";7#!0%"</f>
        <v>#VALUE!</v>
      </c>
      <c r="AT4" s="0" t="e">
        <f aca="false">Dev!BJ:BJ*";7#!0&amp;"</f>
        <v>#VALUE!</v>
      </c>
      <c r="AU4" s="0" t="e">
        <f aca="false">Dev!BK:BK*";7#!0'"</f>
        <v>#VALUE!</v>
      </c>
      <c r="AV4" s="0" t="e">
        <f aca="false">Dev!BL:BL*";7#!0("</f>
        <v>#VALUE!</v>
      </c>
      <c r="AW4" s="0" t="e">
        <f aca="false">Dev!BM:BM*";7#!0)"</f>
        <v>#VALUE!</v>
      </c>
      <c r="AX4" s="0" t="e">
        <f aca="false">Dev!BN:BN*";7#!0."</f>
        <v>#VALUE!</v>
      </c>
      <c r="AY4" s="0" t="e">
        <f aca="false">Dev!BO:BO*";7#!0/"</f>
        <v>#VALUE!</v>
      </c>
      <c r="AZ4" s="0" t="e">
        <f aca="false">Dev!BP:BP*";7#!00"</f>
        <v>#VALUE!</v>
      </c>
      <c r="BA4" s="0" t="e">
        <f aca="false">Dev!BQ:BQ*";7#!01"</f>
        <v>#VALUE!</v>
      </c>
      <c r="BB4" s="0" t="e">
        <f aca="false">Dev!BR:BR*";7#!02"</f>
        <v>#VALUE!</v>
      </c>
      <c r="BC4" s="0" t="e">
        <f aca="false">Dev!BS:BS*";7#!03"</f>
        <v>#VALUE!</v>
      </c>
      <c r="BD4" s="0" t="e">
        <f aca="false">Dev!BT:BT*";7#!04"</f>
        <v>#VALUE!</v>
      </c>
      <c r="BE4" s="0" t="e">
        <f aca="false">Dev!BU:BU*";7#!05"</f>
        <v>#VALUE!</v>
      </c>
      <c r="BF4" s="0" t="e">
        <f aca="false">Dev!BV:BV*";7#!06"</f>
        <v>#VALUE!</v>
      </c>
      <c r="BG4" s="0" t="e">
        <f aca="false">Dev!BW:BW*";7#!07"</f>
        <v>#VALUE!</v>
      </c>
      <c r="BH4" s="0" t="e">
        <f aca="false">Dev!BX:BX*";7#!08"</f>
        <v>#VALUE!</v>
      </c>
      <c r="BI4" s="0" t="e">
        <f aca="false">Dev!BY:BY*";7#!09"</f>
        <v>#VALUE!</v>
      </c>
      <c r="BJ4" s="0" t="e">
        <f aca="false">Dev!BZ:BZ*";7#!0:"</f>
        <v>#VALUE!</v>
      </c>
      <c r="BK4" s="0" t="e">
        <f aca="false">Dev!CA:CA*";7#!0;"</f>
        <v>#VALUE!</v>
      </c>
      <c r="BL4" s="0" t="e">
        <f aca="false">Dev!CB:CB*";7#!0&lt;"</f>
        <v>#VALUE!</v>
      </c>
      <c r="BM4" s="0" t="e">
        <f aca="false">Dev!CC:CC*";7#!0="</f>
        <v>#VALUE!</v>
      </c>
      <c r="BN4" s="0" t="e">
        <f aca="false">Dev!1:1-";7#!0&gt;"</f>
        <v>#VALUE!</v>
      </c>
      <c r="BO4" s="0" t="e">
        <f aca="false">Dev!2:2-";7#!0?"</f>
        <v>#VALUE!</v>
      </c>
      <c r="BP4" s="0" t="e">
        <f aca="false">Dev!3:3-";7#!0@"</f>
        <v>#VALUE!</v>
      </c>
      <c r="BQ4" s="0" t="e">
        <f aca="false">Dev!4:4-";7#!0A"</f>
        <v>#VALUE!</v>
      </c>
      <c r="BR4" s="0" t="e">
        <f aca="false">Dev!5:5-";7#!0B"</f>
        <v>#VALUE!</v>
      </c>
      <c r="BS4" s="0" t="e">
        <f aca="false">Dev!6:6-";7#!0C"</f>
        <v>#VALUE!</v>
      </c>
      <c r="BT4" s="0" t="e">
        <f aca="false">Dev!7:7-";7#!0D"</f>
        <v>#VALUE!</v>
      </c>
      <c r="BU4" s="0" t="e">
        <f aca="false">Dev!8:8-";7#!0E"</f>
        <v>#VALUE!</v>
      </c>
      <c r="BV4" s="0" t="e">
        <f aca="false">Dev!9:9-";7#!0F"</f>
        <v>#VALUE!</v>
      </c>
      <c r="BW4" s="0" t="e">
        <f aca="false">Dev!10:10-";7#!0G"</f>
        <v>#VALUE!</v>
      </c>
      <c r="BX4" s="0" t="e">
        <f aca="false">Dev!11:11-";7#!0H"</f>
        <v>#VALUE!</v>
      </c>
      <c r="BY4" s="0" t="e">
        <f aca="false">Dev!12:12-";7#!0I"</f>
        <v>#VALUE!</v>
      </c>
      <c r="BZ4" s="0" t="e">
        <f aca="false">Dev!13:13-";7#!0J"</f>
        <v>#VALUE!</v>
      </c>
      <c r="CA4" s="0" t="e">
        <f aca="false">Dev!14:14-";7#!0K"</f>
        <v>#VALUE!</v>
      </c>
      <c r="CB4" s="0" t="e">
        <f aca="false">Dev!15:15-";7#!0L"</f>
        <v>#VALUE!</v>
      </c>
      <c r="CC4" s="0" t="e">
        <f aca="false">Dev!16:16-";7#!0M"</f>
        <v>#VALUE!</v>
      </c>
      <c r="CD4" s="0" t="e">
        <f aca="false">Dev!17:17-";7#!0N"</f>
        <v>#VALUE!</v>
      </c>
      <c r="CE4" s="0" t="e">
        <f aca="false">Dev!18:18-";7#!0O"</f>
        <v>#VALUE!</v>
      </c>
      <c r="CF4" s="0" t="e">
        <f aca="false">Dev!19:19-";7#!0P"</f>
        <v>#VALUE!</v>
      </c>
      <c r="CG4" s="0" t="e">
        <f aca="false">Dev!20:20-";7#!0Q"</f>
        <v>#VALUE!</v>
      </c>
      <c r="CH4" s="0" t="e">
        <f aca="false">Dev!21:21-";7#!0R"</f>
        <v>#VALUE!</v>
      </c>
      <c r="CI4" s="0" t="e">
        <f aca="false">Dev!22:22-";7#!0S"</f>
        <v>#VALUE!</v>
      </c>
      <c r="CJ4" s="0" t="e">
        <f aca="false">Dev!23:23-";7#!0T"</f>
        <v>#VALUE!</v>
      </c>
      <c r="CK4" s="0" t="e">
        <f aca="false">Dev!24:24-";7#!0U"</f>
        <v>#VALUE!</v>
      </c>
      <c r="CL4" s="0" t="e">
        <f aca="false">Dev!25:25-";7#!0V"</f>
        <v>#VALUE!</v>
      </c>
      <c r="CM4" s="0" t="e">
        <f aca="false">Dev!26:26-";7#!0W"</f>
        <v>#VALUE!</v>
      </c>
      <c r="CN4" s="0" t="e">
        <f aca="false">Dev!27:27-";7#!0X"</f>
        <v>#VALUE!</v>
      </c>
      <c r="CO4" s="0" t="e">
        <f aca="false">Dev!28:28-";7#!0Y"</f>
        <v>#VALUE!</v>
      </c>
      <c r="CP4" s="0" t="e">
        <f aca="false">Dev!29:29-";7#!0Z"</f>
        <v>#VALUE!</v>
      </c>
      <c r="CQ4" s="0" t="e">
        <f aca="false">Dev!30:30-";7#!0["</f>
        <v>#VALUE!</v>
      </c>
      <c r="CR4" s="0" t="e">
        <f aca="false">Dev!31:31-";7#!0\"</f>
        <v>#VALUE!</v>
      </c>
      <c r="CS4" s="0" t="e">
        <f aca="false">Dev!32:32-";7#!0]"</f>
        <v>#VALUE!</v>
      </c>
      <c r="CT4" s="0" t="e">
        <f aca="false">Dev!33:33-";7#!0^"</f>
        <v>#VALUE!</v>
      </c>
      <c r="CU4" s="0" t="e">
        <f aca="false">Dev!34:34-";7#!0_"</f>
        <v>#VALUE!</v>
      </c>
      <c r="CV4" s="0" t="e">
        <f aca="false">Dev!35:35-";7#!0`"</f>
        <v>#VALUE!</v>
      </c>
      <c r="CW4" s="0" t="e">
        <f aca="false">Dev!36:36-";7#!0a"</f>
        <v>#VALUE!</v>
      </c>
      <c r="CX4" s="0" t="e">
        <f aca="false">Dev!37:37-";7#!0b"</f>
        <v>#VALUE!</v>
      </c>
      <c r="CY4" s="0" t="e">
        <f aca="false">Dev!38:38-";7#!0c"</f>
        <v>#VALUE!</v>
      </c>
      <c r="CZ4" s="0" t="e">
        <f aca="false">Dev!39:39-";7#!0d"</f>
        <v>#VALUE!</v>
      </c>
      <c r="DA4" s="0" t="e">
        <f aca="false">Dev!40:40-";7#!0e"</f>
        <v>#VALUE!</v>
      </c>
      <c r="DB4" s="0" t="e">
        <f aca="false">Dev!41:41-";7#!0f"</f>
        <v>#VALUE!</v>
      </c>
      <c r="DC4" s="0" t="e">
        <f aca="false">Dev!42:42-";7#!0g"</f>
        <v>#VALUE!</v>
      </c>
      <c r="DD4" s="0" t="e">
        <f aca="false">Dev!43:43-";7#!0h"</f>
        <v>#VALUE!</v>
      </c>
      <c r="DE4" s="0" t="e">
        <f aca="false">Dev!44:44-";7#!0i"</f>
        <v>#VALUE!</v>
      </c>
      <c r="DF4" s="0" t="e">
        <f aca="false">Dev!45:45-";7#!0j"</f>
        <v>#VALUE!</v>
      </c>
      <c r="DG4" s="0" t="e">
        <f aca="false">Dev!46:46-";7#!0k"</f>
        <v>#VALUE!</v>
      </c>
      <c r="DH4" s="0" t="e">
        <f aca="false">Dev!47:47-";7#!0l"</f>
        <v>#VALUE!</v>
      </c>
      <c r="DI4" s="0" t="e">
        <f aca="false">Dev!48:48-";7#!0m"</f>
        <v>#VALUE!</v>
      </c>
      <c r="DJ4" s="0" t="e">
        <f aca="false">Dev!49:49-";7#!0n"</f>
        <v>#VALUE!</v>
      </c>
      <c r="DK4" s="0" t="e">
        <f aca="false">Dev!50:50-";7#!0o"</f>
        <v>#VALUE!</v>
      </c>
      <c r="DL4" s="0" t="e">
        <f aca="false">Dev!51:51-";7#!0p"</f>
        <v>#VALUE!</v>
      </c>
      <c r="DM4" s="0" t="e">
        <f aca="false">Dev!52:52-";7#!0q"</f>
        <v>#VALUE!</v>
      </c>
      <c r="DN4" s="0" t="e">
        <f aca="false">Dev!53:53-";7#!0r"</f>
        <v>#VALUE!</v>
      </c>
      <c r="DO4" s="0" t="e">
        <f aca="false">Dev!54:54-";7#!0s"</f>
        <v>#VALUE!</v>
      </c>
      <c r="DP4" s="0" t="e">
        <f aca="false">Dev!55:55-";7#!0t"</f>
        <v>#VALUE!</v>
      </c>
      <c r="DQ4" s="0" t="e">
        <f aca="false">Dev!56:56-";7#!0u"</f>
        <v>#VALUE!</v>
      </c>
      <c r="DR4" s="0" t="e">
        <f aca="false">Dev!57:57-";7#!0v"</f>
        <v>#VALUE!</v>
      </c>
      <c r="DS4" s="0" t="e">
        <f aca="false">Dev!58:58-";7#!0w"</f>
        <v>#VALUE!</v>
      </c>
      <c r="DT4" s="0" t="e">
        <f aca="false">Dev!59:59-";7#!0x"</f>
        <v>#VALUE!</v>
      </c>
      <c r="DU4" s="0" t="e">
        <f aca="false">Dev!60:60-";7#!0y"</f>
        <v>#VALUE!</v>
      </c>
      <c r="DV4" s="0" t="e">
        <f aca="false">Dev!61:61-";7#!0z"</f>
        <v>#VALUE!</v>
      </c>
      <c r="DW4" s="0" t="e">
        <f aca="false">Dev!62:62-";7#!0{"</f>
        <v>#VALUE!</v>
      </c>
      <c r="DX4" s="0" t="e">
        <f aca="false">Dev!63:63-";7#!0|"</f>
        <v>#VALUE!</v>
      </c>
      <c r="DY4" s="0" t="e">
        <f aca="false">Dev!64:64-";7#!0}"</f>
        <v>#VALUE!</v>
      </c>
      <c r="DZ4" s="0" t="e">
        <f aca="false">Dev!65:65-";7#!0~"</f>
        <v>#VALUE!</v>
      </c>
      <c r="EA4" s="0" t="e">
        <f aca="false">Dev!66:66-";7#!1#"</f>
        <v>#VALUE!</v>
      </c>
      <c r="EB4" s="0" t="e">
        <f aca="false">Dev!67:67-";7#!1$"</f>
        <v>#VALUE!</v>
      </c>
      <c r="EC4" s="0" t="e">
        <f aca="false">Dev!68:68-";7#!1%"</f>
        <v>#VALUE!</v>
      </c>
      <c r="ED4" s="0" t="e">
        <f aca="false">Dev!69:69-";7#!1&amp;"</f>
        <v>#VALUE!</v>
      </c>
      <c r="EE4" s="0" t="e">
        <f aca="false">Dev!70:70-";7#!1'"</f>
        <v>#VALUE!</v>
      </c>
      <c r="EF4" s="0" t="e">
        <f aca="false">Dev!71:71-";7#!1("</f>
        <v>#VALUE!</v>
      </c>
      <c r="EG4" s="0" t="e">
        <f aca="false">Dev!72:72-";7#!1)"</f>
        <v>#VALUE!</v>
      </c>
      <c r="EH4" s="0" t="e">
        <f aca="false">Dev!73:73-";7#!1."</f>
        <v>#VALUE!</v>
      </c>
      <c r="EI4" s="0" t="e">
        <f aca="false">Dev!74:74-";7#!1/"</f>
        <v>#VALUE!</v>
      </c>
      <c r="EJ4" s="0" t="e">
        <f aca="false">Dev!75:75-";7#!10"</f>
        <v>#VALUE!</v>
      </c>
      <c r="EK4" s="0" t="e">
        <f aca="false">Dev!76:76-";7#!11"</f>
        <v>#VALUE!</v>
      </c>
      <c r="EL4" s="0" t="e">
        <f aca="false">Dev!77:77-";7#!12"</f>
        <v>#VALUE!</v>
      </c>
      <c r="EM4" s="0" t="e">
        <f aca="false">Dev!78:78-";7#!13"</f>
        <v>#VALUE!</v>
      </c>
      <c r="EN4" s="0" t="e">
        <f aca="false">Dev!79:79-";7#!14"</f>
        <v>#VALUE!</v>
      </c>
      <c r="EO4" s="0" t="e">
        <f aca="false">Dev!80:80-";7#!15"</f>
        <v>#VALUE!</v>
      </c>
      <c r="EP4" s="0" t="e">
        <f aca="false">Dev!81:81-";7#!16"</f>
        <v>#VALUE!</v>
      </c>
      <c r="EQ4" s="0" t="e">
        <f aca="false">Dev!82:82-";7#!17"</f>
        <v>#VALUE!</v>
      </c>
      <c r="ER4" s="0" t="e">
        <f aca="false">Dev!83:83-";7#!18"</f>
        <v>#VALUE!</v>
      </c>
      <c r="ES4" s="0" t="e">
        <f aca="false">Dev!84:84-";7#!19"</f>
        <v>#VALUE!</v>
      </c>
      <c r="ET4" s="0" t="e">
        <f aca="false">Dev!85:85-";7#!1:"</f>
        <v>#VALUE!</v>
      </c>
      <c r="EU4" s="0" t="e">
        <f aca="false">Dev!86:86-";7#!1;"</f>
        <v>#VALUE!</v>
      </c>
      <c r="EV4" s="0" t="e">
        <f aca="false">Dev!87:87-";7#!1&lt;"</f>
        <v>#VALUE!</v>
      </c>
      <c r="EW4" s="0" t="e">
        <f aca="false">Dev!88:88-";7#!1="</f>
        <v>#VALUE!</v>
      </c>
      <c r="EX4" s="0" t="e">
        <f aca="false">Dev!89:89-";7#!1&gt;"</f>
        <v>#VALUE!</v>
      </c>
      <c r="EY4" s="0" t="e">
        <f aca="false">Dev!90:90-";7#!1?"</f>
        <v>#VALUE!</v>
      </c>
      <c r="EZ4" s="0" t="e">
        <f aca="false">Dev!91:91-";7#!1@"</f>
        <v>#VALUE!</v>
      </c>
      <c r="FA4" s="0" t="e">
        <f aca="false">Dev!92:92-";7#!1A"</f>
        <v>#VALUE!</v>
      </c>
      <c r="FB4" s="0" t="e">
        <f aca="false">Dev!93:93-";7#!1B"</f>
        <v>#VALUE!</v>
      </c>
      <c r="FC4" s="0" t="e">
        <f aca="false">Dev!94:94-";7#!1C"</f>
        <v>#VALUE!</v>
      </c>
      <c r="FD4" s="0" t="e">
        <f aca="false">Dev!95:95-";7#!1D"</f>
        <v>#VALUE!</v>
      </c>
      <c r="FE4" s="0" t="e">
        <f aca="false">Dev!96:96-";7#!1E"</f>
        <v>#VALUE!</v>
      </c>
      <c r="FF4" s="0" t="e">
        <f aca="false">Dev!97:97-";7#!1F"</f>
        <v>#VALUE!</v>
      </c>
      <c r="FG4" s="0" t="e">
        <f aca="false">Dev!98:98-";7#!1G"</f>
        <v>#VALUE!</v>
      </c>
      <c r="FH4" s="0" t="e">
        <f aca="false">Dev!99:99-";7#!1H"</f>
        <v>#VALUE!</v>
      </c>
      <c r="FI4" s="0" t="e">
        <f aca="false">Dev!100:100-";7#!1I"</f>
        <v>#VALUE!</v>
      </c>
      <c r="FJ4" s="0" t="e">
        <f aca="false">Dev!101:101-";7#!1J"</f>
        <v>#VALUE!</v>
      </c>
      <c r="FK4" s="0" t="e">
        <f aca="false">Dev!102:102-";7#!1K"</f>
        <v>#VALUE!</v>
      </c>
      <c r="FL4" s="0" t="e">
        <f aca="false">Dev!103:103-";7#!1L"</f>
        <v>#VALUE!</v>
      </c>
      <c r="FM4" s="0" t="e">
        <f aca="false">Dev!104:104-";7#!1M"</f>
        <v>#VALUE!</v>
      </c>
      <c r="FN4" s="0" t="e">
        <f aca="false">Dev!105:105-";7#!1N"</f>
        <v>#VALUE!</v>
      </c>
      <c r="FO4" s="0" t="e">
        <f aca="false">Dev!106:106-";7#!1O"</f>
        <v>#VALUE!</v>
      </c>
      <c r="FP4" s="0" t="e">
        <f aca="false">Dev!107:107-";7#!1P"</f>
        <v>#VALUE!</v>
      </c>
      <c r="FQ4" s="0" t="e">
        <f aca="false">Dev!108:108-";7#!1Q"</f>
        <v>#VALUE!</v>
      </c>
      <c r="FR4" s="0" t="e">
        <f aca="false">Dev!109:109-";7#!1R"</f>
        <v>#VALUE!</v>
      </c>
      <c r="FS4" s="0" t="e">
        <f aca="false">Dev!110:110-";7#!1S"</f>
        <v>#VALUE!</v>
      </c>
      <c r="FT4" s="0" t="e">
        <f aca="false">Dev!111:111-";7#!1T"</f>
        <v>#VALUE!</v>
      </c>
      <c r="FU4" s="0" t="e">
        <f aca="false">Dev!112:112-";7#!1U"</f>
        <v>#VALUE!</v>
      </c>
      <c r="FV4" s="0" t="e">
        <f aca="false">Dev!113:113-";7#!1V"</f>
        <v>#VALUE!</v>
      </c>
      <c r="FW4" s="0" t="e">
        <f aca="false">Dev!114:114-";7#!1W"</f>
        <v>#VALUE!</v>
      </c>
      <c r="FX4" s="0" t="e">
        <f aca="false">Dev!115:115-";7#!1X"</f>
        <v>#VALUE!</v>
      </c>
      <c r="FY4" s="0" t="e">
        <f aca="false">Dev!116:116-";7#!1Y"</f>
        <v>#VALUE!</v>
      </c>
      <c r="FZ4" s="0" t="e">
        <f aca="false">Dev!117:117-";7#!1Z"</f>
        <v>#VALUE!</v>
      </c>
      <c r="GA4" s="0" t="e">
        <f aca="false">Dev!118:118-";7#!1["</f>
        <v>#VALUE!</v>
      </c>
      <c r="GB4" s="0" t="e">
        <f aca="false">Dev!119:119-";7#!1\"</f>
        <v>#VALUE!</v>
      </c>
      <c r="GC4" s="0" t="e">
        <f aca="false">Dev!120:120-";7#!1]"</f>
        <v>#VALUE!</v>
      </c>
      <c r="GD4" s="0" t="e">
        <f aca="false">Dev!121:121-";7#!1^"</f>
        <v>#VALUE!</v>
      </c>
      <c r="GE4" s="0" t="e">
        <f aca="false">Dev!122:122-";7#!1_"</f>
        <v>#VALUE!</v>
      </c>
      <c r="GF4" s="0" t="e">
        <f aca="false">Dev!123:123-";7#!1`"</f>
        <v>#VALUE!</v>
      </c>
      <c r="GG4" s="0" t="e">
        <f aca="false">Dev!124:124-";7#!1a"</f>
        <v>#VALUE!</v>
      </c>
      <c r="GH4" s="0" t="e">
        <f aca="false">Dev!125:125-";7#!1b"</f>
        <v>#VALUE!</v>
      </c>
      <c r="GI4" s="0" t="e">
        <f aca="false">Dev!126:126-";7#!1c"</f>
        <v>#VALUE!</v>
      </c>
      <c r="GJ4" s="0" t="e">
        <f aca="false">Dev!127:127-";7#!1d"</f>
        <v>#VALUE!</v>
      </c>
      <c r="GK4" s="0" t="e">
        <f aca="false">Dev!128:128-";7#!1e"</f>
        <v>#VALUE!</v>
      </c>
      <c r="GL4" s="0" t="e">
        <f aca="false">Dev!129:129-";7#!1f"</f>
        <v>#VALUE!</v>
      </c>
      <c r="GM4" s="0" t="e">
        <f aca="false">Dev!130:130-";7#!1g"</f>
        <v>#VALUE!</v>
      </c>
      <c r="GN4" s="0" t="e">
        <f aca="false">Dev!131:131-";7#!1h"</f>
        <v>#VALUE!</v>
      </c>
      <c r="GO4" s="0" t="e">
        <f aca="false">Dev!132:132-";7#!1i"</f>
        <v>#VALUE!</v>
      </c>
      <c r="GP4" s="0" t="e">
        <f aca="false">Dev!133:133-";7#!1j"</f>
        <v>#VALUE!</v>
      </c>
      <c r="GQ4" s="0" t="e">
        <f aca="false">Dev!134:134-";7#!1k"</f>
        <v>#VALUE!</v>
      </c>
      <c r="GR4" s="0" t="e">
        <f aca="false">Dev!135:135-";7#!1l"</f>
        <v>#VALUE!</v>
      </c>
      <c r="GS4" s="0" t="e">
        <f aca="false">Dev!136:136-";7#!1m"</f>
        <v>#VALUE!</v>
      </c>
      <c r="GT4" s="0" t="e">
        <f aca="false">Dev!137:137-";7#!1n"</f>
        <v>#VALUE!</v>
      </c>
      <c r="GU4" s="0" t="e">
        <f aca="false">Dev!138:138-";7#!1o"</f>
        <v>#VALUE!</v>
      </c>
      <c r="GV4" s="0" t="e">
        <f aca="false">Dev!139:139-";7#!1p"</f>
        <v>#VALUE!</v>
      </c>
      <c r="GW4" s="0" t="e">
        <f aca="false">Dev!140:140-";7#!1q"</f>
        <v>#VALUE!</v>
      </c>
      <c r="GX4" s="0" t="e">
        <f aca="false">Dev!141:141-";7#!1r"</f>
        <v>#VALUE!</v>
      </c>
      <c r="GY4" s="0" t="e">
        <f aca="false">Dev!142:142-";7#!1s"</f>
        <v>#VALUE!</v>
      </c>
      <c r="GZ4" s="0" t="e">
        <f aca="false">Dev!143:143-";7#!1t"</f>
        <v>#VALUE!</v>
      </c>
      <c r="HA4" s="0" t="e">
        <f aca="false">Dev!144:144-";7#!1u"</f>
        <v>#VALUE!</v>
      </c>
      <c r="HB4" s="0" t="e">
        <f aca="false">Dev!145:145-";7#!1v"</f>
        <v>#VALUE!</v>
      </c>
      <c r="HC4" s="0" t="e">
        <f aca="false">Dev!146:146-";7#!1w"</f>
        <v>#VALUE!</v>
      </c>
      <c r="HD4" s="0" t="e">
        <f aca="false">Dev!147:147-";7#!1x"</f>
        <v>#VALUE!</v>
      </c>
      <c r="HE4" s="0" t="e">
        <f aca="false">Dev!148:148-";7#!1y"</f>
        <v>#VALUE!</v>
      </c>
      <c r="HF4" s="0" t="e">
        <f aca="false">Dev!149:149-";7#!1z"</f>
        <v>#VALUE!</v>
      </c>
      <c r="HG4" s="0" t="e">
        <f aca="false">Dev!150:150-";7#!1{"</f>
        <v>#VALUE!</v>
      </c>
      <c r="HH4" s="0" t="e">
        <f aca="false">Dev!151:151-";7#!1|"</f>
        <v>#VALUE!</v>
      </c>
      <c r="HI4" s="0" t="e">
        <f aca="false">Dev!152:152-";7#!1}"</f>
        <v>#VALUE!</v>
      </c>
      <c r="HJ4" s="0" t="e">
        <f aca="false">Dev!153:153-";7#!1~"</f>
        <v>#VALUE!</v>
      </c>
      <c r="HK4" s="0" t="e">
        <f aca="false">Dev!154:154-";7#!2#"</f>
        <v>#VALUE!</v>
      </c>
      <c r="HL4" s="0" t="e">
        <f aca="false">Dev!155:155-";7#!2$"</f>
        <v>#VALUE!</v>
      </c>
      <c r="HM4" s="0" t="e">
        <f aca="false">Dev!156:156-";7#!2%"</f>
        <v>#VALUE!</v>
      </c>
      <c r="HN4" s="0" t="e">
        <f aca="false">Dev!157:157-";7#!2&amp;"</f>
        <v>#VALUE!</v>
      </c>
      <c r="HO4" s="0" t="e">
        <f aca="false">Dev!158:158-";7#!2'"</f>
        <v>#VALUE!</v>
      </c>
      <c r="HP4" s="0" t="e">
        <f aca="false">Dev!159:159-";7#!2("</f>
        <v>#VALUE!</v>
      </c>
      <c r="HQ4" s="0" t="e">
        <f aca="false">Dev!160:160-";7#!2)"</f>
        <v>#VALUE!</v>
      </c>
      <c r="HR4" s="0" t="e">
        <f aca="false">Dev!161:161-";7#!2."</f>
        <v>#VALUE!</v>
      </c>
      <c r="HS4" s="0" t="e">
        <f aca="false">Dev!162:162-";7#!2/"</f>
        <v>#VALUE!</v>
      </c>
      <c r="HT4" s="0" t="e">
        <f aca="false">Dev!163:163-";7#!20"</f>
        <v>#VALUE!</v>
      </c>
      <c r="HU4" s="0" t="e">
        <f aca="false">Dev!164:164-";7#!21"</f>
        <v>#VALUE!</v>
      </c>
      <c r="HV4" s="0" t="e">
        <f aca="false">Dev!165:165-";7#!22"</f>
        <v>#VALUE!</v>
      </c>
      <c r="HW4" s="0" t="e">
        <f aca="false">Dev!166:166-";7#!23"</f>
        <v>#VALUE!</v>
      </c>
      <c r="HX4" s="0" t="e">
        <f aca="false">Dev!167:167-";7#!24"</f>
        <v>#VALUE!</v>
      </c>
      <c r="HY4" s="0" t="e">
        <f aca="false">Dev!168:168-";7#!25"</f>
        <v>#VALUE!</v>
      </c>
      <c r="HZ4" s="0" t="e">
        <f aca="false">Dev!169:169-";7#!26"</f>
        <v>#VALUE!</v>
      </c>
      <c r="IA4" s="0" t="e">
        <f aca="false">Dev!170:170-";7#!27"</f>
        <v>#VALUE!</v>
      </c>
      <c r="IB4" s="0" t="e">
        <f aca="false">Dev!171:171-";7#!28"</f>
        <v>#VALUE!</v>
      </c>
      <c r="IC4" s="0" t="e">
        <f aca="false">Dev!172:172-";7#!29"</f>
        <v>#VALUE!</v>
      </c>
      <c r="ID4" s="0" t="e">
        <f aca="false">Dev!173:173-";7#!2:"</f>
        <v>#VALUE!</v>
      </c>
      <c r="IE4" s="0" t="e">
        <f aca="false">Dev!174:174-";7#!2;"</f>
        <v>#VALUE!</v>
      </c>
      <c r="IF4" s="0" t="e">
        <f aca="false">Dev!175:175-";7#!2&lt;"</f>
        <v>#VALUE!</v>
      </c>
      <c r="IG4" s="0" t="e">
        <f aca="false">Dev!176:176-";7#!2="</f>
        <v>#VALUE!</v>
      </c>
      <c r="IH4" s="0" t="e">
        <f aca="false">Dev!177:177-";7#!2&gt;"</f>
        <v>#VALUE!</v>
      </c>
      <c r="II4" s="0" t="e">
        <f aca="false">Dev!178:178-";7#!2?"</f>
        <v>#VALUE!</v>
      </c>
      <c r="IJ4" s="0" t="e">
        <f aca="false">Dev!179:179-";7#!2@"</f>
        <v>#VALUE!</v>
      </c>
      <c r="IK4" s="0" t="e">
        <f aca="false">Dev!180:180-";7#!2A"</f>
        <v>#VALUE!</v>
      </c>
      <c r="IL4" s="0" t="e">
        <f aca="false">Dev!181:181-";7#!2B"</f>
        <v>#VALUE!</v>
      </c>
      <c r="IM4" s="0" t="e">
        <f aca="false">Dev!182:182-";7#!2C"</f>
        <v>#VALUE!</v>
      </c>
      <c r="IN4" s="0" t="e">
        <f aca="false">Dev!183:183-";7#!2D"</f>
        <v>#VALUE!</v>
      </c>
      <c r="IO4" s="0" t="e">
        <f aca="false">Dev!184:184-";7#!2E"</f>
        <v>#VALUE!</v>
      </c>
      <c r="IP4" s="0" t="e">
        <f aca="false">Dev!185:185-";7#!2F"</f>
        <v>#VALUE!</v>
      </c>
      <c r="IQ4" s="0" t="e">
        <f aca="false">Dev!186:186-";7#!2G"</f>
        <v>#VALUE!</v>
      </c>
      <c r="IR4" s="0" t="e">
        <f aca="false">Dev!187:187-";7#!2H"</f>
        <v>#VALUE!</v>
      </c>
      <c r="IS4" s="0" t="e">
        <f aca="false">Dev!188:188-";7#!2I"</f>
        <v>#VALUE!</v>
      </c>
      <c r="IT4" s="0" t="e">
        <f aca="false">Dev!189:189-";7#!2J"</f>
        <v>#VALUE!</v>
      </c>
      <c r="IU4" s="0" t="e">
        <f aca="false">Dev!190:190-";7#!2K"</f>
        <v>#VALUE!</v>
      </c>
      <c r="IV4" s="0" t="e">
        <f aca="false">Dev!191:191-";7#!2L"</f>
        <v>#VALUE!</v>
      </c>
    </row>
    <row r="5" customFormat="false" ht="15" hidden="false" customHeight="false" outlineLevel="0" collapsed="false">
      <c r="A5" s="0" t="s">
        <v>96</v>
      </c>
      <c r="F5" s="0" t="e">
        <f aca="false">Dev!192:192-";7#!2M"</f>
        <v>#VALUE!</v>
      </c>
      <c r="G5" s="0" t="e">
        <f aca="false">Dev!193:193-";7#!2N"</f>
        <v>#VALUE!</v>
      </c>
      <c r="H5" s="0" t="e">
        <f aca="false">Dev!194:194-";7#!2O"</f>
        <v>#VALUE!</v>
      </c>
      <c r="I5" s="0" t="e">
        <f aca="false">Dev!195:195-";7#!2P"</f>
        <v>#VALUE!</v>
      </c>
      <c r="J5" s="0" t="e">
        <f aca="false">Dev!196:196-";7#!2Q"</f>
        <v>#VALUE!</v>
      </c>
      <c r="K5" s="0" t="e">
        <f aca="false">Dev!197:197-";7#!2R"</f>
        <v>#VALUE!</v>
      </c>
      <c r="L5" s="0" t="e">
        <f aca="false">Dev!198:198-";7#!2S"</f>
        <v>#VALUE!</v>
      </c>
      <c r="M5" s="0" t="e">
        <f aca="false">Dev!199:199-";7#!2T"</f>
        <v>#VALUE!</v>
      </c>
      <c r="N5" s="0" t="e">
        <f aca="false">Dev!200:200-";7#!2U"</f>
        <v>#VALUE!</v>
      </c>
      <c r="O5" s="0" t="e">
        <f aca="false">Dev!201:201-";7#!2V"</f>
        <v>#VALUE!</v>
      </c>
      <c r="P5" s="0" t="e">
        <f aca="false">Dev!202:202-";7#!2W"</f>
        <v>#VALUE!</v>
      </c>
      <c r="Q5" s="0" t="e">
        <f aca="false">Dev!203:203-";7#!2X"</f>
        <v>#VALUE!</v>
      </c>
      <c r="R5" s="0" t="e">
        <f aca="false">Dev!204:204-";7#!2Y"</f>
        <v>#VALUE!</v>
      </c>
      <c r="S5" s="0" t="e">
        <f aca="false">Dev!205:205-";7#!2Z"</f>
        <v>#VALUE!</v>
      </c>
      <c r="T5" s="0" t="e">
        <f aca="false">Dev!206:206-";7#!2["</f>
        <v>#VALUE!</v>
      </c>
      <c r="U5" s="0" t="e">
        <f aca="false">Dev!207:207-";7#!2\"</f>
        <v>#VALUE!</v>
      </c>
      <c r="V5" s="0" t="e">
        <f aca="false">Dev!208:208-";7#!2]"</f>
        <v>#VALUE!</v>
      </c>
      <c r="W5" s="0" t="e">
        <f aca="false">Dev!209:209-";7#!2^"</f>
        <v>#VALUE!</v>
      </c>
      <c r="X5" s="0" t="e">
        <f aca="false">Dev!210:210-";7#!2_"</f>
        <v>#VALUE!</v>
      </c>
      <c r="Y5" s="0" t="e">
        <f aca="false">Dev!211:211-";7#!2`"</f>
        <v>#VALUE!</v>
      </c>
      <c r="Z5" s="0" t="e">
        <f aca="false">Dev!212:212-";7#!2a"</f>
        <v>#VALUE!</v>
      </c>
      <c r="AA5" s="0" t="e">
        <f aca="false">Dev!213:213-";7#!2b"</f>
        <v>#VALUE!</v>
      </c>
      <c r="AB5" s="0" t="e">
        <f aca="false">Dev!214:214-";7#!2c"</f>
        <v>#VALUE!</v>
      </c>
      <c r="AC5" s="0" t="e">
        <f aca="false">Dev!215:215-";7#!2d"</f>
        <v>#VALUE!</v>
      </c>
      <c r="AD5" s="0" t="e">
        <f aca="false">Dev!216:216-";7#!2e"</f>
        <v>#VALUE!</v>
      </c>
      <c r="AE5" s="0" t="e">
        <f aca="false">Dev!217:217-";7#!2f"</f>
        <v>#VALUE!</v>
      </c>
      <c r="AF5" s="0" t="e">
        <f aca="false">Dev!218:218-";7#!2g"</f>
        <v>#VALUE!</v>
      </c>
      <c r="AG5" s="0" t="e">
        <f aca="false">Dev!219:219-";7#!2h"</f>
        <v>#VALUE!</v>
      </c>
      <c r="AH5" s="0" t="e">
        <f aca="false">Dev!220:220-";7#!2i"</f>
        <v>#VALUE!</v>
      </c>
      <c r="AI5" s="0" t="e">
        <f aca="false">Dev!221:221-";7#!2j"</f>
        <v>#VALUE!</v>
      </c>
      <c r="AJ5" s="0" t="e">
        <f aca="false">Dev!222:222-";7#!2k"</f>
        <v>#VALUE!</v>
      </c>
      <c r="AK5" s="0" t="e">
        <f aca="false">Dev!223:223-";7#!2l"</f>
        <v>#VALUE!</v>
      </c>
      <c r="AL5" s="0" t="e">
        <f aca="false">Dev!224:224-";7#!2m"</f>
        <v>#VALUE!</v>
      </c>
      <c r="AM5" s="0" t="e">
        <f aca="false">Dev!225:225-";7#!2n"</f>
        <v>#VALUE!</v>
      </c>
      <c r="AN5" s="0" t="e">
        <f aca="false">Dev!226:226-";7#!2o"</f>
        <v>#VALUE!</v>
      </c>
      <c r="AO5" s="0" t="e">
        <f aca="false">Dev!227:227-";7#!2p"</f>
        <v>#VALUE!</v>
      </c>
      <c r="AP5" s="0" t="e">
        <f aca="false">Dev!228:228-";7#!2q"</f>
        <v>#VALUE!</v>
      </c>
      <c r="AQ5" s="0" t="e">
        <f aca="false">Dev!229:229-";7#!2r"</f>
        <v>#VALUE!</v>
      </c>
      <c r="AR5" s="0" t="e">
        <f aca="false">Dev!230:230-";7#!2s"</f>
        <v>#VALUE!</v>
      </c>
      <c r="AS5" s="0" t="e">
        <f aca="false">Dev!231:231-";7#!2t"</f>
        <v>#VALUE!</v>
      </c>
      <c r="AT5" s="0" t="e">
        <f aca="false">Dev!232:232-";7#!2u"</f>
        <v>#VALUE!</v>
      </c>
      <c r="AU5" s="0" t="e">
        <f aca="false">Dev!A1+";7#!2v"</f>
        <v>#VALUE!</v>
      </c>
      <c r="AV5" s="0" t="e">
        <f aca="false">Dev!B1+";7#!2w"</f>
        <v>#VALUE!</v>
      </c>
      <c r="AW5" s="0" t="e">
        <f aca="false">Dev!C1+";7#!2x"</f>
        <v>#VALUE!</v>
      </c>
      <c r="AX5" s="0" t="e">
        <f aca="false">Dev!D1+";7#!2y"</f>
        <v>#VALUE!</v>
      </c>
      <c r="AY5" s="0" t="e">
        <f aca="false">Dev!E1+";7#!2z"</f>
        <v>#VALUE!</v>
      </c>
      <c r="AZ5" s="0" t="e">
        <f aca="false">Dev!F1+";7#!2{"</f>
        <v>#VALUE!</v>
      </c>
      <c r="BA5" s="0" t="e">
        <f aca="false">Dev!G1+";7#!2|"</f>
        <v>#VALUE!</v>
      </c>
      <c r="BB5" s="0" t="e">
        <f aca="false">Dev!H1+";7#!2}"</f>
        <v>#VALUE!</v>
      </c>
      <c r="BC5" s="0" t="e">
        <f aca="false">Dev!I1+";7#!2~"</f>
        <v>#VALUE!</v>
      </c>
      <c r="BD5" s="0" t="e">
        <f aca="false">Dev!J1+";7#!3#"</f>
        <v>#VALUE!</v>
      </c>
      <c r="BE5" s="0" t="e">
        <f aca="false">Dev!K1+";7#!3$"</f>
        <v>#VALUE!</v>
      </c>
      <c r="BF5" s="0" t="e">
        <f aca="false">Dev!L1+";7#!3%"</f>
        <v>#VALUE!</v>
      </c>
      <c r="BG5" s="0" t="e">
        <f aca="false">Dev!M1+";7#!3&amp;"</f>
        <v>#VALUE!</v>
      </c>
      <c r="BH5" s="0" t="e">
        <f aca="false">Dev!N1+";7#!3'"</f>
        <v>#VALUE!</v>
      </c>
      <c r="BI5" s="0" t="e">
        <f aca="false">Dev!O1+";7#!3("</f>
        <v>#VALUE!</v>
      </c>
      <c r="BJ5" s="0" t="e">
        <f aca="false">Dev!P1+";7#!3)"</f>
        <v>#VALUE!</v>
      </c>
      <c r="BK5" s="0" t="e">
        <f aca="false">Dev!A2+";7#!3."</f>
        <v>#VALUE!</v>
      </c>
      <c r="BL5" s="0" t="e">
        <f aca="false">Dev!B2+";7#!3/"</f>
        <v>#VALUE!</v>
      </c>
      <c r="BM5" s="0" t="e">
        <f aca="false">Dev!C2+";7#!30"</f>
        <v>#VALUE!</v>
      </c>
      <c r="BN5" s="0" t="e">
        <f aca="false">Dev!D2+";7#!31"</f>
        <v>#VALUE!</v>
      </c>
      <c r="BO5" s="0" t="e">
        <f aca="false">Dev!E2+";7#!32"</f>
        <v>#VALUE!</v>
      </c>
      <c r="BP5" s="0" t="e">
        <f aca="false">Dev!F2+";7#!33"</f>
        <v>#VALUE!</v>
      </c>
      <c r="BQ5" s="0" t="e">
        <f aca="false">Dev!G2+";7#!34"</f>
        <v>#VALUE!</v>
      </c>
      <c r="BR5" s="0" t="e">
        <f aca="false">Dev!H2+";7#!35"</f>
        <v>#VALUE!</v>
      </c>
      <c r="BS5" s="0" t="e">
        <f aca="false">Dev!I2+";7#!36"</f>
        <v>#VALUE!</v>
      </c>
      <c r="BT5" s="0" t="e">
        <f aca="false">Dev!J2+";7#!37"</f>
        <v>#VALUE!</v>
      </c>
      <c r="BU5" s="0" t="e">
        <f aca="false">Dev!K2+";7#!38"</f>
        <v>#VALUE!</v>
      </c>
      <c r="BV5" s="0" t="e">
        <f aca="false">Dev!L2+";7#!39"</f>
        <v>#VALUE!</v>
      </c>
      <c r="BW5" s="0" t="e">
        <f aca="false">Dev!M2+";7#!3:"</f>
        <v>#VALUE!</v>
      </c>
      <c r="BX5" s="0" t="e">
        <f aca="false">Dev!N2+";7#!3;"</f>
        <v>#VALUE!</v>
      </c>
      <c r="BY5" s="0" t="e">
        <f aca="false">Dev!O2+";7#!3&lt;"</f>
        <v>#VALUE!</v>
      </c>
      <c r="BZ5" s="0" t="e">
        <f aca="false">Dev!P2+";7#!3="</f>
        <v>#VALUE!</v>
      </c>
      <c r="CA5" s="0" t="e">
        <f aca="false">Dev!Q2+";7#!3&gt;"</f>
        <v>#VALUE!</v>
      </c>
      <c r="CB5" s="0" t="e">
        <f aca="false">Dev!A3+";7#!3?"</f>
        <v>#VALUE!</v>
      </c>
      <c r="CC5" s="0" t="e">
        <f aca="false">Dev!B3+";7#!3@"</f>
        <v>#VALUE!</v>
      </c>
      <c r="CD5" s="0" t="e">
        <f aca="false">Dev!C3+";7#!3A"</f>
        <v>#VALUE!</v>
      </c>
      <c r="CE5" s="0" t="e">
        <f aca="false">Dev!D3+";7#!3B"</f>
        <v>#VALUE!</v>
      </c>
      <c r="CF5" s="0" t="e">
        <f aca="false">Dev!E3+";7#!3C"</f>
        <v>#VALUE!</v>
      </c>
      <c r="CG5" s="0" t="e">
        <f aca="false">Dev!F3+";7#!3D"</f>
        <v>#VALUE!</v>
      </c>
      <c r="CH5" s="0" t="e">
        <f aca="false">Dev!G3+";7#!3E"</f>
        <v>#VALUE!</v>
      </c>
      <c r="CI5" s="0" t="e">
        <f aca="false">Dev!H3+";7#!3F"</f>
        <v>#VALUE!</v>
      </c>
      <c r="CJ5" s="0" t="e">
        <f aca="false">Dev!I3+";7#!3G"</f>
        <v>#VALUE!</v>
      </c>
      <c r="CK5" s="0" t="e">
        <f aca="false">Dev!J3+";7#!3H"</f>
        <v>#VALUE!</v>
      </c>
      <c r="CL5" s="0" t="e">
        <f aca="false">Dev!K3+";7#!3I"</f>
        <v>#VALUE!</v>
      </c>
      <c r="CM5" s="0" t="e">
        <f aca="false">Dev!L3+";7#!3J"</f>
        <v>#VALUE!</v>
      </c>
      <c r="CN5" s="0" t="e">
        <f aca="false">Dev!M3+";7#!3K"</f>
        <v>#VALUE!</v>
      </c>
      <c r="CO5" s="0" t="e">
        <f aca="false">Dev!N3+";7#!3L"</f>
        <v>#VALUE!</v>
      </c>
      <c r="CP5" s="0" t="e">
        <f aca="false">Dev!O3+";7#!3M"</f>
        <v>#VALUE!</v>
      </c>
      <c r="CQ5" s="0" t="e">
        <f aca="false">Dev!P3+";7#!3N"</f>
        <v>#VALUE!</v>
      </c>
      <c r="CR5" s="0" t="e">
        <f aca="false">Dev!Q3+";7#!3O"</f>
        <v>#VALUE!</v>
      </c>
      <c r="CS5" s="0" t="e">
        <f aca="false">Dev!A4+";7#!3P"</f>
        <v>#VALUE!</v>
      </c>
      <c r="CT5" s="0" t="e">
        <f aca="false">Dev!B4+";7#!3Q"</f>
        <v>#VALUE!</v>
      </c>
      <c r="CU5" s="0" t="e">
        <f aca="false">Dev!C4+";7#!3R"</f>
        <v>#VALUE!</v>
      </c>
      <c r="CV5" s="0" t="e">
        <f aca="false">Dev!D4+";7#!3S"</f>
        <v>#VALUE!</v>
      </c>
      <c r="CW5" s="0" t="e">
        <f aca="false">Dev!E4+";7#!3T"</f>
        <v>#VALUE!</v>
      </c>
      <c r="CX5" s="0" t="e">
        <f aca="false">Dev!F4+";7#!3U"</f>
        <v>#VALUE!</v>
      </c>
      <c r="CY5" s="0" t="e">
        <f aca="false">Dev!G4+";7#!3V"</f>
        <v>#VALUE!</v>
      </c>
      <c r="CZ5" s="0" t="e">
        <f aca="false">Dev!H4+";7#!3W"</f>
        <v>#VALUE!</v>
      </c>
      <c r="DA5" s="0" t="e">
        <f aca="false">Dev!I4+";7#!3X"</f>
        <v>#VALUE!</v>
      </c>
      <c r="DB5" s="0" t="e">
        <f aca="false">Dev!J4+";7#!3Y"</f>
        <v>#VALUE!</v>
      </c>
      <c r="DC5" s="0" t="e">
        <f aca="false">Dev!K4+";7#!3Z"</f>
        <v>#VALUE!</v>
      </c>
      <c r="DD5" s="0" t="e">
        <f aca="false">Dev!L4+";7#!3["</f>
        <v>#VALUE!</v>
      </c>
      <c r="DE5" s="0" t="e">
        <f aca="false">Dev!M4+";7#!3\"</f>
        <v>#VALUE!</v>
      </c>
      <c r="DF5" s="0" t="e">
        <f aca="false">Dev!N4+";7#!3]"</f>
        <v>#VALUE!</v>
      </c>
      <c r="DG5" s="0" t="e">
        <f aca="false">Dev!O4+";7#!3^"</f>
        <v>#VALUE!</v>
      </c>
      <c r="DH5" s="0" t="e">
        <f aca="false">Dev!P4+";7#!3_"</f>
        <v>#VALUE!</v>
      </c>
      <c r="DI5" s="0" t="e">
        <f aca="false">Dev!Q4+";7#!3`"</f>
        <v>#VALUE!</v>
      </c>
      <c r="DJ5" s="0" t="e">
        <f aca="false">Dev!A5+";7#!3a"</f>
        <v>#VALUE!</v>
      </c>
      <c r="DK5" s="0" t="e">
        <f aca="false">Dev!B5+";7#!3b"</f>
        <v>#VALUE!</v>
      </c>
      <c r="DL5" s="0" t="e">
        <f aca="false">Dev!C5+";7#!3c"</f>
        <v>#VALUE!</v>
      </c>
      <c r="DM5" s="0" t="e">
        <f aca="false">Dev!D5+";7#!3d"</f>
        <v>#VALUE!</v>
      </c>
      <c r="DN5" s="0" t="e">
        <f aca="false">Dev!E5+";7#!3e"</f>
        <v>#VALUE!</v>
      </c>
      <c r="DO5" s="0" t="e">
        <f aca="false">Dev!F5+";7#!3f"</f>
        <v>#VALUE!</v>
      </c>
      <c r="DP5" s="0" t="e">
        <f aca="false">Dev!G5+";7#!3g"</f>
        <v>#VALUE!</v>
      </c>
      <c r="DQ5" s="0" t="e">
        <f aca="false">Dev!H5+";7#!3h"</f>
        <v>#VALUE!</v>
      </c>
      <c r="DR5" s="0" t="e">
        <f aca="false">Dev!I5+";7#!3i"</f>
        <v>#VALUE!</v>
      </c>
      <c r="DS5" s="0" t="e">
        <f aca="false">Dev!J5+";7#!3j"</f>
        <v>#VALUE!</v>
      </c>
      <c r="DT5" s="0" t="e">
        <f aca="false">Dev!K5+";7#!3k"</f>
        <v>#VALUE!</v>
      </c>
      <c r="DU5" s="0" t="e">
        <f aca="false">Dev!L5+";7#!3l"</f>
        <v>#VALUE!</v>
      </c>
      <c r="DV5" s="0" t="e">
        <f aca="false">Dev!M5+";7#!3m"</f>
        <v>#VALUE!</v>
      </c>
      <c r="DW5" s="0" t="e">
        <f aca="false">Dev!N5+";7#!3n"</f>
        <v>#VALUE!</v>
      </c>
      <c r="DX5" s="0" t="e">
        <f aca="false">Dev!O5+";7#!3o"</f>
        <v>#VALUE!</v>
      </c>
      <c r="DY5" s="0" t="e">
        <f aca="false">Dev!P5+";7#!3p"</f>
        <v>#VALUE!</v>
      </c>
      <c r="DZ5" s="0" t="e">
        <f aca="false">Dev!A6+";7#!3q"</f>
        <v>#VALUE!</v>
      </c>
      <c r="EA5" s="0" t="e">
        <f aca="false">Dev!B6+";7#!3r"</f>
        <v>#VALUE!</v>
      </c>
      <c r="EB5" s="0" t="e">
        <f aca="false">Dev!C6+";7#!3s"</f>
        <v>#VALUE!</v>
      </c>
      <c r="EC5" s="0" t="e">
        <f aca="false">Dev!D6+";7#!3t"</f>
        <v>#VALUE!</v>
      </c>
      <c r="ED5" s="0" t="e">
        <f aca="false">Dev!E6+";7#!3u"</f>
        <v>#VALUE!</v>
      </c>
      <c r="EE5" s="0" t="e">
        <f aca="false">Dev!F6+";7#!3v"</f>
        <v>#VALUE!</v>
      </c>
      <c r="EF5" s="0" t="e">
        <f aca="false">Dev!G6+";7#!3w"</f>
        <v>#VALUE!</v>
      </c>
      <c r="EG5" s="0" t="e">
        <f aca="false">Dev!H6+";7#!3x"</f>
        <v>#VALUE!</v>
      </c>
      <c r="EH5" s="0" t="e">
        <f aca="false">Dev!I6+";7#!3y"</f>
        <v>#VALUE!</v>
      </c>
      <c r="EI5" s="0" t="e">
        <f aca="false">Dev!J6+";7#!3z"</f>
        <v>#VALUE!</v>
      </c>
      <c r="EJ5" s="0" t="e">
        <f aca="false">Dev!K6+";7#!3{"</f>
        <v>#VALUE!</v>
      </c>
      <c r="EK5" s="0" t="e">
        <f aca="false">Dev!L6+";7#!3|"</f>
        <v>#VALUE!</v>
      </c>
      <c r="EL5" s="0" t="e">
        <f aca="false">Dev!M6+";7#!3}"</f>
        <v>#VALUE!</v>
      </c>
      <c r="EM5" s="0" t="e">
        <f aca="false">Dev!N6+";7#!3~"</f>
        <v>#VALUE!</v>
      </c>
      <c r="EN5" s="0" t="e">
        <f aca="false">Dev!O6+";7#!4#"</f>
        <v>#VALUE!</v>
      </c>
      <c r="EO5" s="0" t="e">
        <f aca="false">Dev!P6+";7#!4$"</f>
        <v>#VALUE!</v>
      </c>
      <c r="EP5" s="0" t="e">
        <f aca="false">Dev!A7+";7#!4%"</f>
        <v>#VALUE!</v>
      </c>
      <c r="EQ5" s="0" t="e">
        <f aca="false">Dev!B7+";7#!4&amp;"</f>
        <v>#VALUE!</v>
      </c>
      <c r="ER5" s="0" t="e">
        <f aca="false">Dev!C7+";7#!4'"</f>
        <v>#VALUE!</v>
      </c>
      <c r="ES5" s="0" t="e">
        <f aca="false">Dev!D7+";7#!4("</f>
        <v>#VALUE!</v>
      </c>
      <c r="ET5" s="0" t="e">
        <f aca="false">Dev!E7+";7#!4)"</f>
        <v>#VALUE!</v>
      </c>
      <c r="EU5" s="0" t="e">
        <f aca="false">Dev!F7+";7#!4."</f>
        <v>#VALUE!</v>
      </c>
      <c r="EV5" s="0" t="e">
        <f aca="false">Dev!G7+";7#!4/"</f>
        <v>#VALUE!</v>
      </c>
      <c r="EW5" s="0" t="e">
        <f aca="false">Dev!H7+";7#!40"</f>
        <v>#VALUE!</v>
      </c>
      <c r="EX5" s="0" t="e">
        <f aca="false">Dev!I7+";7#!41"</f>
        <v>#VALUE!</v>
      </c>
      <c r="EY5" s="0" t="e">
        <f aca="false">Dev!J7+";7#!42"</f>
        <v>#VALUE!</v>
      </c>
      <c r="EZ5" s="0" t="e">
        <f aca="false">Dev!K7+";7#!43"</f>
        <v>#VALUE!</v>
      </c>
      <c r="FA5" s="0" t="e">
        <f aca="false">Dev!L7+";7#!44"</f>
        <v>#VALUE!</v>
      </c>
      <c r="FB5" s="0" t="e">
        <f aca="false">Dev!M7+";7#!45"</f>
        <v>#VALUE!</v>
      </c>
      <c r="FC5" s="0" t="e">
        <f aca="false">Dev!N7+";7#!46"</f>
        <v>#VALUE!</v>
      </c>
      <c r="FD5" s="0" t="e">
        <f aca="false">Dev!O7+";7#!47"</f>
        <v>#VALUE!</v>
      </c>
      <c r="FE5" s="0" t="e">
        <f aca="false">Dev!P7+";7#!48"</f>
        <v>#VALUE!</v>
      </c>
      <c r="FF5" s="0" t="e">
        <f aca="false">Dev!A8+";7#!49"</f>
        <v>#VALUE!</v>
      </c>
      <c r="FG5" s="0" t="e">
        <f aca="false">Dev!B8+";7#!4:"</f>
        <v>#VALUE!</v>
      </c>
      <c r="FH5" s="0" t="e">
        <f aca="false">Dev!C8+";7#!4;"</f>
        <v>#VALUE!</v>
      </c>
      <c r="FI5" s="0" t="e">
        <f aca="false">Dev!D8+";7#!4&lt;"</f>
        <v>#VALUE!</v>
      </c>
      <c r="FJ5" s="0" t="e">
        <f aca="false">Dev!E8+";7#!4="</f>
        <v>#VALUE!</v>
      </c>
      <c r="FK5" s="0" t="e">
        <f aca="false">Dev!F8+";7#!4&gt;"</f>
        <v>#VALUE!</v>
      </c>
      <c r="FL5" s="0" t="e">
        <f aca="false">Dev!G8+";7#!4?"</f>
        <v>#VALUE!</v>
      </c>
      <c r="FM5" s="0" t="e">
        <f aca="false">Dev!H8+";7#!4@"</f>
        <v>#VALUE!</v>
      </c>
      <c r="FN5" s="0" t="e">
        <f aca="false">Dev!I8+";7#!4A"</f>
        <v>#VALUE!</v>
      </c>
      <c r="FO5" s="0" t="e">
        <f aca="false">Dev!J8+";7#!4B"</f>
        <v>#VALUE!</v>
      </c>
      <c r="FP5" s="0" t="e">
        <f aca="false">Dev!K8+";7#!4C"</f>
        <v>#VALUE!</v>
      </c>
      <c r="FQ5" s="0" t="e">
        <f aca="false">Dev!L8+";7#!4D"</f>
        <v>#VALUE!</v>
      </c>
      <c r="FR5" s="0" t="e">
        <f aca="false">Dev!M8+";7#!4E"</f>
        <v>#VALUE!</v>
      </c>
      <c r="FS5" s="0" t="e">
        <f aca="false">Dev!N8+";7#!4F"</f>
        <v>#VALUE!</v>
      </c>
      <c r="FT5" s="0" t="e">
        <f aca="false">Dev!O8+";7#!4G"</f>
        <v>#VALUE!</v>
      </c>
      <c r="FU5" s="0" t="e">
        <f aca="false">Dev!P8+";7#!4H"</f>
        <v>#VALUE!</v>
      </c>
      <c r="FV5" s="0" t="e">
        <f aca="false">Dev!A9+";7#!4I"</f>
        <v>#VALUE!</v>
      </c>
      <c r="FW5" s="0" t="e">
        <f aca="false">Dev!B9+";7#!4J"</f>
        <v>#VALUE!</v>
      </c>
      <c r="FX5" s="0" t="e">
        <f aca="false">Dev!C9+";7#!4K"</f>
        <v>#VALUE!</v>
      </c>
      <c r="FY5" s="0" t="e">
        <f aca="false">Dev!D9+";7#!4L"</f>
        <v>#VALUE!</v>
      </c>
      <c r="FZ5" s="0" t="e">
        <f aca="false">Dev!E9+";7#!4M"</f>
        <v>#VALUE!</v>
      </c>
      <c r="GA5" s="0" t="e">
        <f aca="false">Dev!F9+";7#!4N"</f>
        <v>#VALUE!</v>
      </c>
      <c r="GB5" s="0" t="e">
        <f aca="false">Dev!G9+";7#!4O"</f>
        <v>#VALUE!</v>
      </c>
      <c r="GC5" s="0" t="e">
        <f aca="false">Dev!H9+";7#!4P"</f>
        <v>#VALUE!</v>
      </c>
      <c r="GD5" s="35" t="e">
        <f aca="false">Dev!I9+";7#!4Q"</f>
        <v>#VALUE!</v>
      </c>
      <c r="GE5" s="0" t="e">
        <f aca="false">Dev!J9+";7#!4R"</f>
        <v>#VALUE!</v>
      </c>
      <c r="GF5" s="0" t="e">
        <f aca="false">Dev!K9+";7#!4S"</f>
        <v>#VALUE!</v>
      </c>
      <c r="GG5" s="0" t="e">
        <f aca="false">Dev!L9+";7#!4T"</f>
        <v>#VALUE!</v>
      </c>
      <c r="GH5" s="0" t="e">
        <f aca="false">Dev!M9+";7#!4U"</f>
        <v>#VALUE!</v>
      </c>
      <c r="GI5" s="0" t="e">
        <f aca="false">Dev!N9+";7#!4V"</f>
        <v>#VALUE!</v>
      </c>
      <c r="GJ5" s="0" t="e">
        <f aca="false">Dev!O9+";7#!4W"</f>
        <v>#VALUE!</v>
      </c>
      <c r="GK5" s="0" t="e">
        <f aca="false">Dev!P9+";7#!4X"</f>
        <v>#VALUE!</v>
      </c>
      <c r="GL5" s="0" t="e">
        <f aca="false">Dev!A10+";7#!4Y"</f>
        <v>#VALUE!</v>
      </c>
      <c r="GM5" s="0" t="e">
        <f aca="false">Dev!B10+";7#!4Z"</f>
        <v>#VALUE!</v>
      </c>
      <c r="GN5" s="0" t="e">
        <f aca="false">Dev!C10+";7#!4["</f>
        <v>#VALUE!</v>
      </c>
      <c r="GO5" s="0" t="e">
        <f aca="false">Dev!D10+";7#!4\"</f>
        <v>#VALUE!</v>
      </c>
      <c r="GP5" s="0" t="e">
        <f aca="false">Dev!E10+";7#!4]"</f>
        <v>#VALUE!</v>
      </c>
      <c r="GQ5" s="0" t="e">
        <f aca="false">Dev!F10+";7#!4^"</f>
        <v>#VALUE!</v>
      </c>
      <c r="GR5" s="0" t="e">
        <f aca="false">Dev!G10+";7#!4_"</f>
        <v>#VALUE!</v>
      </c>
      <c r="GS5" s="0" t="e">
        <f aca="false">Dev!H10+";7#!4`"</f>
        <v>#VALUE!</v>
      </c>
      <c r="GT5" s="35" t="e">
        <f aca="false">Dev!I10+";7#!4a"</f>
        <v>#VALUE!</v>
      </c>
      <c r="GU5" s="0" t="e">
        <f aca="false">Dev!J10+";7#!4b"</f>
        <v>#VALUE!</v>
      </c>
      <c r="GV5" s="0" t="e">
        <f aca="false">Dev!K10+";7#!4c"</f>
        <v>#VALUE!</v>
      </c>
      <c r="GW5" s="0" t="e">
        <f aca="false">Dev!L10+";7#!4d"</f>
        <v>#VALUE!</v>
      </c>
      <c r="GX5" s="0" t="e">
        <f aca="false">Dev!M10+";7#!4e"</f>
        <v>#VALUE!</v>
      </c>
      <c r="GY5" s="0" t="e">
        <f aca="false">Dev!N10+";7#!4f"</f>
        <v>#VALUE!</v>
      </c>
      <c r="GZ5" s="0" t="e">
        <f aca="false">Dev!O10+";7#!4g"</f>
        <v>#VALUE!</v>
      </c>
      <c r="HA5" s="0" t="e">
        <f aca="false">Dev!P10+";7#!4h"</f>
        <v>#VALUE!</v>
      </c>
      <c r="HB5" s="0" t="e">
        <f aca="false">Dev!A11+";7#!4i"</f>
        <v>#VALUE!</v>
      </c>
      <c r="HC5" s="0" t="e">
        <f aca="false">Dev!B11+";7#!4j"</f>
        <v>#VALUE!</v>
      </c>
      <c r="HD5" s="0" t="e">
        <f aca="false">Dev!C11+";7#!4k"</f>
        <v>#VALUE!</v>
      </c>
      <c r="HE5" s="0" t="e">
        <f aca="false">Dev!D11+";7#!4l"</f>
        <v>#VALUE!</v>
      </c>
      <c r="HF5" s="0" t="e">
        <f aca="false">Dev!E11+";7#!4m"</f>
        <v>#VALUE!</v>
      </c>
      <c r="HG5" s="0" t="e">
        <f aca="false">Dev!F11+";7#!4n"</f>
        <v>#VALUE!</v>
      </c>
      <c r="HH5" s="0" t="e">
        <f aca="false">Dev!G11+";7#!4o"</f>
        <v>#VALUE!</v>
      </c>
      <c r="HI5" s="0" t="e">
        <f aca="false">Dev!H11+";7#!4p"</f>
        <v>#VALUE!</v>
      </c>
      <c r="HJ5" s="0" t="e">
        <f aca="false">Dev!I11+";7#!4q"</f>
        <v>#VALUE!</v>
      </c>
      <c r="HK5" s="0" t="e">
        <f aca="false">Dev!J11+";7#!4r"</f>
        <v>#VALUE!</v>
      </c>
      <c r="HL5" s="0" t="e">
        <f aca="false">Dev!K11+";7#!4s"</f>
        <v>#VALUE!</v>
      </c>
      <c r="HM5" s="0" t="e">
        <f aca="false">Dev!L11+";7#!4t"</f>
        <v>#VALUE!</v>
      </c>
      <c r="HN5" s="0" t="e">
        <f aca="false">Dev!M11+";7#!4u"</f>
        <v>#VALUE!</v>
      </c>
      <c r="HO5" s="0" t="e">
        <f aca="false">Dev!N11+";7#!4v"</f>
        <v>#VALUE!</v>
      </c>
      <c r="HP5" s="0" t="e">
        <f aca="false">Dev!O11+";7#!4w"</f>
        <v>#VALUE!</v>
      </c>
      <c r="HQ5" s="0" t="e">
        <f aca="false">Dev!P11+";7#!4x"</f>
        <v>#VALUE!</v>
      </c>
      <c r="HR5" s="0" t="e">
        <f aca="false">Dev!A12+";7#!4y"</f>
        <v>#VALUE!</v>
      </c>
      <c r="HS5" s="0" t="e">
        <f aca="false">Dev!B12+";7#!4z"</f>
        <v>#VALUE!</v>
      </c>
      <c r="HT5" s="0" t="e">
        <f aca="false">Dev!C12+";7#!4{"</f>
        <v>#VALUE!</v>
      </c>
      <c r="HU5" s="0" t="e">
        <f aca="false">Dev!D12+";7#!4|"</f>
        <v>#VALUE!</v>
      </c>
      <c r="HV5" s="0" t="e">
        <f aca="false">Dev!E12+";7#!4}"</f>
        <v>#VALUE!</v>
      </c>
      <c r="HW5" s="0" t="e">
        <f aca="false">Dev!F12+";7#!4~"</f>
        <v>#VALUE!</v>
      </c>
      <c r="HX5" s="0" t="e">
        <f aca="false">Dev!G12+";7#!5#"</f>
        <v>#VALUE!</v>
      </c>
      <c r="HY5" s="0" t="e">
        <f aca="false">Dev!H12+";7#!5$"</f>
        <v>#VALUE!</v>
      </c>
      <c r="HZ5" s="0" t="e">
        <f aca="false">Dev!I12+";7#!5%"</f>
        <v>#VALUE!</v>
      </c>
      <c r="IA5" s="0" t="e">
        <f aca="false">Dev!J12+";7#!5&amp;"</f>
        <v>#VALUE!</v>
      </c>
      <c r="IB5" s="0" t="e">
        <f aca="false">Dev!K12+";7#!5'"</f>
        <v>#VALUE!</v>
      </c>
      <c r="IC5" s="0" t="e">
        <f aca="false">Dev!L12+";7#!5("</f>
        <v>#VALUE!</v>
      </c>
      <c r="ID5" s="0" t="e">
        <f aca="false">Dev!M12+";7#!5)"</f>
        <v>#VALUE!</v>
      </c>
      <c r="IE5" s="0" t="e">
        <f aca="false">Dev!N12+";7#!5."</f>
        <v>#VALUE!</v>
      </c>
      <c r="IF5" s="0" t="e">
        <f aca="false">Dev!O12+";7#!5/"</f>
        <v>#VALUE!</v>
      </c>
      <c r="IG5" s="0" t="e">
        <f aca="false">Dev!P12+";7#!50"</f>
        <v>#VALUE!</v>
      </c>
      <c r="IH5" s="0" t="e">
        <f aca="false">Dev!A13+";7#!51"</f>
        <v>#VALUE!</v>
      </c>
      <c r="II5" s="0" t="e">
        <f aca="false">Dev!B13+";7#!52"</f>
        <v>#VALUE!</v>
      </c>
      <c r="IJ5" s="0" t="e">
        <f aca="false">Dev!C13+";7#!53"</f>
        <v>#VALUE!</v>
      </c>
      <c r="IK5" s="0" t="e">
        <f aca="false">Dev!D13+";7#!54"</f>
        <v>#VALUE!</v>
      </c>
      <c r="IL5" s="0" t="e">
        <f aca="false">Dev!E13+";7#!55"</f>
        <v>#VALUE!</v>
      </c>
      <c r="IM5" s="0" t="e">
        <f aca="false">Dev!F13+";7#!56"</f>
        <v>#VALUE!</v>
      </c>
      <c r="IN5" s="0" t="e">
        <f aca="false">Dev!G13+";7#!57"</f>
        <v>#VALUE!</v>
      </c>
      <c r="IO5" s="0" t="e">
        <f aca="false">Dev!H13+";7#!58"</f>
        <v>#VALUE!</v>
      </c>
      <c r="IP5" s="0" t="e">
        <f aca="false">Dev!I13+";7#!59"</f>
        <v>#VALUE!</v>
      </c>
      <c r="IQ5" s="0" t="e">
        <f aca="false">Dev!J13+";7#!5:"</f>
        <v>#VALUE!</v>
      </c>
      <c r="IR5" s="0" t="e">
        <f aca="false">Dev!K13+";7#!5;"</f>
        <v>#VALUE!</v>
      </c>
      <c r="IS5" s="0" t="e">
        <f aca="false">Dev!L13+";7#!5&lt;"</f>
        <v>#VALUE!</v>
      </c>
      <c r="IT5" s="0" t="e">
        <f aca="false">Dev!M13+";7#!5="</f>
        <v>#VALUE!</v>
      </c>
      <c r="IU5" s="0" t="e">
        <f aca="false">Dev!N13+";7#!5&gt;"</f>
        <v>#VALUE!</v>
      </c>
      <c r="IV5" s="0" t="e">
        <f aca="false">Dev!O13+";7#!5?"</f>
        <v>#VALUE!</v>
      </c>
    </row>
    <row r="6" customFormat="false" ht="15" hidden="false" customHeight="false" outlineLevel="0" collapsed="false">
      <c r="A6" s="0" t="s">
        <v>97</v>
      </c>
      <c r="F6" s="0" t="e">
        <f aca="false">Dev!P13+";7#!5@"</f>
        <v>#VALUE!</v>
      </c>
      <c r="G6" s="0" t="e">
        <f aca="false">Dev!A14+";7#!5A"</f>
        <v>#VALUE!</v>
      </c>
      <c r="H6" s="0" t="e">
        <f aca="false">Dev!B14+";7#!5B"</f>
        <v>#VALUE!</v>
      </c>
      <c r="I6" s="0" t="e">
        <f aca="false">Dev!C14+";7#!5C"</f>
        <v>#VALUE!</v>
      </c>
      <c r="J6" s="0" t="e">
        <f aca="false">Dev!D14+";7#!5D"</f>
        <v>#VALUE!</v>
      </c>
      <c r="K6" s="0" t="e">
        <f aca="false">Dev!E14+";7#!5E"</f>
        <v>#VALUE!</v>
      </c>
      <c r="L6" s="0" t="e">
        <f aca="false">Dev!F14+";7#!5F"</f>
        <v>#VALUE!</v>
      </c>
      <c r="M6" s="0" t="e">
        <f aca="false">Dev!G14+";7#!5G"</f>
        <v>#VALUE!</v>
      </c>
      <c r="N6" s="0" t="e">
        <f aca="false">Dev!H14+";7#!5H"</f>
        <v>#VALUE!</v>
      </c>
      <c r="O6" s="0" t="e">
        <f aca="false">Dev!I14+";7#!5I"</f>
        <v>#VALUE!</v>
      </c>
      <c r="P6" s="0" t="e">
        <f aca="false">Dev!J14+";7#!5J"</f>
        <v>#VALUE!</v>
      </c>
      <c r="Q6" s="0" t="e">
        <f aca="false">Dev!K14+";7#!5K"</f>
        <v>#VALUE!</v>
      </c>
      <c r="R6" s="0" t="e">
        <f aca="false">Dev!L14+";7#!5L"</f>
        <v>#VALUE!</v>
      </c>
      <c r="S6" s="0" t="e">
        <f aca="false">Dev!M14+";7#!5M"</f>
        <v>#VALUE!</v>
      </c>
      <c r="T6" s="0" t="e">
        <f aca="false">Dev!N14+";7#!5N"</f>
        <v>#VALUE!</v>
      </c>
      <c r="U6" s="0" t="e">
        <f aca="false">Dev!O14+";7#!5O"</f>
        <v>#VALUE!</v>
      </c>
      <c r="V6" s="0" t="e">
        <f aca="false">Dev!P14+";7#!5P"</f>
        <v>#VALUE!</v>
      </c>
      <c r="W6" s="0" t="e">
        <f aca="false">Dev!A15+";7#!5Q"</f>
        <v>#VALUE!</v>
      </c>
      <c r="X6" s="0" t="e">
        <f aca="false">Dev!B15+";7#!5R"</f>
        <v>#VALUE!</v>
      </c>
      <c r="Y6" s="0" t="e">
        <f aca="false">Dev!C15+";7#!5S"</f>
        <v>#VALUE!</v>
      </c>
      <c r="Z6" s="0" t="e">
        <f aca="false">Dev!D15+";7#!5T"</f>
        <v>#VALUE!</v>
      </c>
      <c r="AA6" s="0" t="e">
        <f aca="false">Dev!E15+";7#!5U"</f>
        <v>#VALUE!</v>
      </c>
      <c r="AB6" s="0" t="e">
        <f aca="false">Dev!F15+";7#!5V"</f>
        <v>#VALUE!</v>
      </c>
      <c r="AC6" s="0" t="e">
        <f aca="false">Dev!G15+";7#!5W"</f>
        <v>#VALUE!</v>
      </c>
      <c r="AD6" s="0" t="e">
        <f aca="false">Dev!H15+";7#!5X"</f>
        <v>#VALUE!</v>
      </c>
      <c r="AE6" s="0" t="e">
        <f aca="false">Dev!I15+";7#!5Y"</f>
        <v>#VALUE!</v>
      </c>
      <c r="AF6" s="0" t="e">
        <f aca="false">Dev!J15+";7#!5Z"</f>
        <v>#VALUE!</v>
      </c>
      <c r="AG6" s="0" t="e">
        <f aca="false">Dev!K15+";7#!5["</f>
        <v>#VALUE!</v>
      </c>
      <c r="AH6" s="0" t="e">
        <f aca="false">Dev!L15+";7#!5\"</f>
        <v>#VALUE!</v>
      </c>
      <c r="AI6" s="0" t="e">
        <f aca="false">Dev!M15+";7#!5]"</f>
        <v>#VALUE!</v>
      </c>
      <c r="AJ6" s="0" t="e">
        <f aca="false">Dev!N15+";7#!5^"</f>
        <v>#VALUE!</v>
      </c>
      <c r="AK6" s="0" t="e">
        <f aca="false">Dev!O15+";7#!5_"</f>
        <v>#VALUE!</v>
      </c>
      <c r="AL6" s="0" t="e">
        <f aca="false">Dev!P15+";7#!5`"</f>
        <v>#VALUE!</v>
      </c>
      <c r="AM6" s="0" t="e">
        <f aca="false">Dev!A16+";7#!5a"</f>
        <v>#VALUE!</v>
      </c>
      <c r="AN6" s="0" t="e">
        <f aca="false">Dev!B16+";7#!5b"</f>
        <v>#VALUE!</v>
      </c>
      <c r="AO6" s="0" t="e">
        <f aca="false">Dev!C16+";7#!5c"</f>
        <v>#VALUE!</v>
      </c>
      <c r="AP6" s="0" t="e">
        <f aca="false">Dev!D16+";7#!5d"</f>
        <v>#VALUE!</v>
      </c>
      <c r="AQ6" s="0" t="e">
        <f aca="false">Dev!E16+";7#!5e"</f>
        <v>#VALUE!</v>
      </c>
      <c r="AR6" s="0" t="e">
        <f aca="false">Dev!F16+";7#!5f"</f>
        <v>#VALUE!</v>
      </c>
      <c r="AS6" s="0" t="e">
        <f aca="false">Dev!G16+";7#!5g"</f>
        <v>#VALUE!</v>
      </c>
      <c r="AT6" s="0" t="e">
        <f aca="false">Dev!H16+";7#!5h"</f>
        <v>#VALUE!</v>
      </c>
      <c r="AU6" s="0" t="e">
        <f aca="false">Dev!I16+";7#!5i"</f>
        <v>#VALUE!</v>
      </c>
      <c r="AV6" s="0" t="e">
        <f aca="false">Dev!J16+";7#!5j"</f>
        <v>#VALUE!</v>
      </c>
      <c r="AW6" s="0" t="e">
        <f aca="false">Dev!K16+";7#!5k"</f>
        <v>#VALUE!</v>
      </c>
      <c r="AX6" s="0" t="e">
        <f aca="false">Dev!L16+";7#!5l"</f>
        <v>#VALUE!</v>
      </c>
      <c r="AY6" s="0" t="e">
        <f aca="false">Dev!M16+";7#!5m"</f>
        <v>#VALUE!</v>
      </c>
      <c r="AZ6" s="0" t="e">
        <f aca="false">Dev!N16+";7#!5n"</f>
        <v>#VALUE!</v>
      </c>
      <c r="BA6" s="0" t="e">
        <f aca="false">Dev!O16+";7#!5o"</f>
        <v>#VALUE!</v>
      </c>
      <c r="BB6" s="0" t="e">
        <f aca="false">Dev!P16+";7#!5p"</f>
        <v>#VALUE!</v>
      </c>
      <c r="BC6" s="0" t="e">
        <f aca="false">Dev!A17+";7#!5q"</f>
        <v>#VALUE!</v>
      </c>
      <c r="BD6" s="0" t="e">
        <f aca="false">Dev!B17+";7#!5r"</f>
        <v>#VALUE!</v>
      </c>
      <c r="BE6" s="0" t="e">
        <f aca="false">Dev!C17+";7#!5s"</f>
        <v>#VALUE!</v>
      </c>
      <c r="BF6" s="0" t="e">
        <f aca="false">Dev!D17+";7#!5t"</f>
        <v>#VALUE!</v>
      </c>
      <c r="BG6" s="0" t="e">
        <f aca="false">Dev!E17+";7#!5u"</f>
        <v>#VALUE!</v>
      </c>
      <c r="BH6" s="0" t="e">
        <f aca="false">Dev!F17+";7#!5v"</f>
        <v>#VALUE!</v>
      </c>
      <c r="BI6" s="0" t="e">
        <f aca="false">Dev!G17+";7#!5w"</f>
        <v>#VALUE!</v>
      </c>
      <c r="BJ6" s="0" t="e">
        <f aca="false">Dev!H17+";7#!5x"</f>
        <v>#VALUE!</v>
      </c>
      <c r="BK6" s="0" t="e">
        <f aca="false">Dev!I17+";7#!5y"</f>
        <v>#VALUE!</v>
      </c>
      <c r="BL6" s="0" t="e">
        <f aca="false">Dev!J17+";7#!5z"</f>
        <v>#VALUE!</v>
      </c>
      <c r="BM6" s="0" t="e">
        <f aca="false">Dev!K17+";7#!5{"</f>
        <v>#VALUE!</v>
      </c>
      <c r="BN6" s="0" t="e">
        <f aca="false">Dev!L17+";7#!5|"</f>
        <v>#VALUE!</v>
      </c>
      <c r="BO6" s="0" t="e">
        <f aca="false">Dev!M17+";7#!5}"</f>
        <v>#VALUE!</v>
      </c>
      <c r="BP6" s="0" t="e">
        <f aca="false">Dev!N17+";7#!5~"</f>
        <v>#VALUE!</v>
      </c>
      <c r="BQ6" s="0" t="e">
        <f aca="false">Dev!O17+";7#!6#"</f>
        <v>#VALUE!</v>
      </c>
      <c r="BR6" s="0" t="e">
        <f aca="false">Dev!P17+";7#!6$"</f>
        <v>#VALUE!</v>
      </c>
      <c r="BS6" s="0" t="e">
        <f aca="false">Dev!A18+";7#!6%"</f>
        <v>#VALUE!</v>
      </c>
      <c r="BT6" s="0" t="e">
        <f aca="false">Dev!B18+";7#!6&amp;"</f>
        <v>#VALUE!</v>
      </c>
      <c r="BU6" s="0" t="e">
        <f aca="false">Dev!C18+";7#!6'"</f>
        <v>#VALUE!</v>
      </c>
      <c r="BV6" s="0" t="e">
        <f aca="false">Dev!D18+";7#!6("</f>
        <v>#VALUE!</v>
      </c>
      <c r="BW6" s="0" t="e">
        <f aca="false">Dev!E18+";7#!6)"</f>
        <v>#VALUE!</v>
      </c>
      <c r="BX6" s="0" t="e">
        <f aca="false">Dev!F18+";7#!6."</f>
        <v>#VALUE!</v>
      </c>
      <c r="BY6" s="0" t="e">
        <f aca="false">Dev!G18+";7#!6/"</f>
        <v>#VALUE!</v>
      </c>
      <c r="BZ6" s="0" t="e">
        <f aca="false">Dev!H18+";7#!60"</f>
        <v>#VALUE!</v>
      </c>
      <c r="CA6" s="0" t="e">
        <f aca="false">Dev!I18+";7#!61"</f>
        <v>#VALUE!</v>
      </c>
      <c r="CB6" s="0" t="e">
        <f aca="false">Dev!J18+";7#!62"</f>
        <v>#VALUE!</v>
      </c>
      <c r="CC6" s="0" t="e">
        <f aca="false">Dev!K18+";7#!63"</f>
        <v>#VALUE!</v>
      </c>
      <c r="CD6" s="0" t="e">
        <f aca="false">Dev!L18+";7#!64"</f>
        <v>#VALUE!</v>
      </c>
      <c r="CE6" s="0" t="e">
        <f aca="false">Dev!M18+";7#!65"</f>
        <v>#VALUE!</v>
      </c>
      <c r="CF6" s="0" t="e">
        <f aca="false">Dev!N18+";7#!66"</f>
        <v>#VALUE!</v>
      </c>
      <c r="CG6" s="0" t="e">
        <f aca="false">Dev!O18+";7#!67"</f>
        <v>#VALUE!</v>
      </c>
      <c r="CH6" s="0" t="e">
        <f aca="false">Dev!P18+";7#!68"</f>
        <v>#VALUE!</v>
      </c>
      <c r="CI6" s="0" t="e">
        <f aca="false">Dev!A19+";7#!69"</f>
        <v>#VALUE!</v>
      </c>
      <c r="CJ6" s="0" t="e">
        <f aca="false">Dev!B19+";7#!6:"</f>
        <v>#VALUE!</v>
      </c>
      <c r="CK6" s="0" t="e">
        <f aca="false">Dev!C19+";7#!6;"</f>
        <v>#VALUE!</v>
      </c>
      <c r="CL6" s="0" t="e">
        <f aca="false">Dev!D19+";7#!6&lt;"</f>
        <v>#VALUE!</v>
      </c>
      <c r="CM6" s="0" t="e">
        <f aca="false">Dev!E19+";7#!6="</f>
        <v>#VALUE!</v>
      </c>
      <c r="CN6" s="0" t="e">
        <f aca="false">Dev!F19+";7#!6&gt;"</f>
        <v>#VALUE!</v>
      </c>
      <c r="CO6" s="0" t="e">
        <f aca="false">Dev!G19+";7#!6?"</f>
        <v>#VALUE!</v>
      </c>
      <c r="CP6" s="0" t="e">
        <f aca="false">Dev!H19+";7#!6@"</f>
        <v>#VALUE!</v>
      </c>
      <c r="CQ6" s="0" t="e">
        <f aca="false">Dev!I19+";7#!6A"</f>
        <v>#VALUE!</v>
      </c>
      <c r="CR6" s="0" t="e">
        <f aca="false">Dev!J19+";7#!6B"</f>
        <v>#VALUE!</v>
      </c>
      <c r="CS6" s="0" t="e">
        <f aca="false">Dev!K19+";7#!6C"</f>
        <v>#VALUE!</v>
      </c>
      <c r="CT6" s="0" t="e">
        <f aca="false">Dev!L19+";7#!6D"</f>
        <v>#VALUE!</v>
      </c>
      <c r="CU6" s="0" t="e">
        <f aca="false">Dev!M19+";7#!6E"</f>
        <v>#VALUE!</v>
      </c>
      <c r="CV6" s="0" t="e">
        <f aca="false">Dev!N19+";7#!6F"</f>
        <v>#VALUE!</v>
      </c>
      <c r="CW6" s="0" t="e">
        <f aca="false">Dev!O19+";7#!6G"</f>
        <v>#VALUE!</v>
      </c>
      <c r="CX6" s="0" t="e">
        <f aca="false">Dev!P19+";7#!6H"</f>
        <v>#VALUE!</v>
      </c>
      <c r="CY6" s="0" t="e">
        <f aca="false">Dev!A20+";7#!6I"</f>
        <v>#VALUE!</v>
      </c>
      <c r="CZ6" s="0" t="e">
        <f aca="false">Dev!B20+";7#!6J"</f>
        <v>#VALUE!</v>
      </c>
      <c r="DA6" s="0" t="e">
        <f aca="false">Dev!C20+";7#!6K"</f>
        <v>#VALUE!</v>
      </c>
      <c r="DB6" s="0" t="e">
        <f aca="false">Dev!D20+";7#!6L"</f>
        <v>#VALUE!</v>
      </c>
      <c r="DC6" s="0" t="e">
        <f aca="false">Dev!E20+";7#!6M"</f>
        <v>#VALUE!</v>
      </c>
      <c r="DD6" s="0" t="e">
        <f aca="false">Dev!F20+";7#!6N"</f>
        <v>#VALUE!</v>
      </c>
      <c r="DE6" s="0" t="e">
        <f aca="false">Dev!G20+";7#!6O"</f>
        <v>#VALUE!</v>
      </c>
      <c r="DF6" s="0" t="e">
        <f aca="false">Dev!H20+";7#!6P"</f>
        <v>#VALUE!</v>
      </c>
      <c r="DG6" s="0" t="e">
        <f aca="false">Dev!I20+";7#!6Q"</f>
        <v>#VALUE!</v>
      </c>
      <c r="DH6" s="0" t="e">
        <f aca="false">Dev!J20+";7#!6R"</f>
        <v>#VALUE!</v>
      </c>
      <c r="DI6" s="0" t="e">
        <f aca="false">Dev!K20+";7#!6S"</f>
        <v>#VALUE!</v>
      </c>
      <c r="DJ6" s="0" t="e">
        <f aca="false">Dev!L20+";7#!6T"</f>
        <v>#VALUE!</v>
      </c>
      <c r="DK6" s="0" t="e">
        <f aca="false">Dev!M20+";7#!6U"</f>
        <v>#VALUE!</v>
      </c>
      <c r="DL6" s="0" t="e">
        <f aca="false">Dev!N20+";7#!6V"</f>
        <v>#VALUE!</v>
      </c>
      <c r="DM6" s="0" t="e">
        <f aca="false">Dev!O20+";7#!6W"</f>
        <v>#VALUE!</v>
      </c>
      <c r="DN6" s="0" t="e">
        <f aca="false">Dev!P20+";7#!6X"</f>
        <v>#VALUE!</v>
      </c>
      <c r="DO6" s="0" t="e">
        <f aca="false">Dev!A21+";7#!6Y"</f>
        <v>#VALUE!</v>
      </c>
      <c r="DP6" s="0" t="e">
        <f aca="false">Dev!B21+";7#!6Z"</f>
        <v>#VALUE!</v>
      </c>
      <c r="DQ6" s="0" t="e">
        <f aca="false">Dev!C21+";7#!6["</f>
        <v>#N/A</v>
      </c>
      <c r="DR6" s="0" t="e">
        <f aca="false">Dev!D21+";7#!6\"</f>
        <v>#VALUE!</v>
      </c>
      <c r="DS6" s="0" t="e">
        <f aca="false">Dev!E21+";7#!6]"</f>
        <v>#VALUE!</v>
      </c>
      <c r="DT6" s="0" t="e">
        <f aca="false">Dev!F21+";7#!6^"</f>
        <v>#VALUE!</v>
      </c>
      <c r="DU6" s="0" t="e">
        <f aca="false">Dev!G21+";7#!6_"</f>
        <v>#VALUE!</v>
      </c>
      <c r="DV6" s="0" t="e">
        <f aca="false">Dev!H21+";7#!6`"</f>
        <v>#VALUE!</v>
      </c>
      <c r="DW6" s="0" t="e">
        <f aca="false">Dev!I21+";7#!6a"</f>
        <v>#VALUE!</v>
      </c>
      <c r="DX6" s="0" t="e">
        <f aca="false">Dev!J21+";7#!6b"</f>
        <v>#VALUE!</v>
      </c>
      <c r="DY6" s="0" t="e">
        <f aca="false">Dev!K21+";7#!6c"</f>
        <v>#VALUE!</v>
      </c>
      <c r="DZ6" s="0" t="e">
        <f aca="false">Dev!L21+";7#!6d"</f>
        <v>#VALUE!</v>
      </c>
      <c r="EA6" s="0" t="e">
        <f aca="false">Dev!M21+";7#!6e"</f>
        <v>#VALUE!</v>
      </c>
      <c r="EB6" s="0" t="e">
        <f aca="false">Dev!N21+";7#!6f"</f>
        <v>#VALUE!</v>
      </c>
      <c r="EC6" s="0" t="e">
        <f aca="false">Dev!O21+";7#!6g"</f>
        <v>#VALUE!</v>
      </c>
      <c r="ED6" s="0" t="e">
        <f aca="false">Dev!P21+";7#!6h"</f>
        <v>#VALUE!</v>
      </c>
      <c r="EE6" s="0" t="e">
        <f aca="false">Dev!A22+";7#!6i"</f>
        <v>#VALUE!</v>
      </c>
      <c r="EF6" s="0" t="e">
        <f aca="false">Dev!B22+";7#!6j"</f>
        <v>#VALUE!</v>
      </c>
      <c r="EG6" s="0" t="e">
        <f aca="false">Dev!C22+";7#!6k"</f>
        <v>#N/A</v>
      </c>
      <c r="EH6" s="0" t="e">
        <f aca="false">Dev!D22+";7#!6l"</f>
        <v>#VALUE!</v>
      </c>
      <c r="EI6" s="0" t="e">
        <f aca="false">Dev!E22+";7#!6m"</f>
        <v>#VALUE!</v>
      </c>
      <c r="EJ6" s="0" t="e">
        <f aca="false">Dev!F22+";7#!6n"</f>
        <v>#VALUE!</v>
      </c>
      <c r="EK6" s="0" t="e">
        <f aca="false">Dev!G22+";7#!6o"</f>
        <v>#VALUE!</v>
      </c>
      <c r="EL6" s="0" t="e">
        <f aca="false">Dev!H22+";7#!6p"</f>
        <v>#VALUE!</v>
      </c>
      <c r="EM6" s="0" t="e">
        <f aca="false">Dev!I22+";7#!6q"</f>
        <v>#VALUE!</v>
      </c>
      <c r="EN6" s="0" t="e">
        <f aca="false">Dev!J22+";7#!6r"</f>
        <v>#VALUE!</v>
      </c>
      <c r="EO6" s="0" t="e">
        <f aca="false">Dev!K22+";7#!6s"</f>
        <v>#VALUE!</v>
      </c>
      <c r="EP6" s="0" t="e">
        <f aca="false">Dev!L22+";7#!6t"</f>
        <v>#VALUE!</v>
      </c>
      <c r="EQ6" s="0" t="e">
        <f aca="false">Dev!M22+";7#!6u"</f>
        <v>#VALUE!</v>
      </c>
      <c r="ER6" s="0" t="e">
        <f aca="false">Dev!N22+";7#!6v"</f>
        <v>#VALUE!</v>
      </c>
      <c r="ES6" s="0" t="e">
        <f aca="false">Dev!O22+";7#!6w"</f>
        <v>#VALUE!</v>
      </c>
      <c r="ET6" s="0" t="e">
        <f aca="false">Dev!P22+";7#!6x"</f>
        <v>#VALUE!</v>
      </c>
      <c r="EU6" s="0" t="e">
        <f aca="false">Dev!A23+";7#!6y"</f>
        <v>#VALUE!</v>
      </c>
      <c r="EV6" s="0" t="e">
        <f aca="false">Dev!B23+";7#!6z"</f>
        <v>#VALUE!</v>
      </c>
      <c r="EW6" s="0" t="e">
        <f aca="false">Dev!C23+";7#!6{"</f>
        <v>#VALUE!</v>
      </c>
      <c r="EX6" s="35" t="e">
        <f aca="false">Dev!D23+";7#!6|"</f>
        <v>#VALUE!</v>
      </c>
      <c r="EY6" s="35" t="e">
        <f aca="false">Dev!E23+";7#!6}"</f>
        <v>#VALUE!</v>
      </c>
      <c r="EZ6" s="35" t="e">
        <f aca="false">Dev!F23+";7#!6~"</f>
        <v>#VALUE!</v>
      </c>
      <c r="FA6" s="35" t="e">
        <f aca="false">Dev!G23+";7#!7#"</f>
        <v>#VALUE!</v>
      </c>
      <c r="FB6" s="35" t="e">
        <f aca="false">Dev!H23+";7#!7$"</f>
        <v>#VALUE!</v>
      </c>
      <c r="FC6" s="35" t="e">
        <f aca="false">Dev!I23+";7#!7%"</f>
        <v>#VALUE!</v>
      </c>
      <c r="FD6" s="35" t="e">
        <f aca="false">Dev!J23+";7#!7&amp;"</f>
        <v>#VALUE!</v>
      </c>
      <c r="FE6" s="35" t="e">
        <f aca="false">Dev!K23+";7#!7'"</f>
        <v>#VALUE!</v>
      </c>
      <c r="FF6" s="35" t="e">
        <f aca="false">Dev!L23+";7#!7("</f>
        <v>#VALUE!</v>
      </c>
      <c r="FG6" s="35" t="e">
        <f aca="false">Dev!M23+";7#!7)"</f>
        <v>#VALUE!</v>
      </c>
      <c r="FH6" s="35" t="e">
        <f aca="false">Dev!N23+";7#!7."</f>
        <v>#VALUE!</v>
      </c>
      <c r="FI6" s="35" t="e">
        <f aca="false">Dev!O23+";7#!7/"</f>
        <v>#VALUE!</v>
      </c>
      <c r="FJ6" s="35" t="e">
        <f aca="false">Dev!P23+";7#!70"</f>
        <v>#VALUE!</v>
      </c>
      <c r="FK6" s="0" t="e">
        <f aca="false">Dev!A24+";7#!71"</f>
        <v>#VALUE!</v>
      </c>
      <c r="FL6" s="0" t="e">
        <f aca="false">Dev!B24+";7#!72"</f>
        <v>#VALUE!</v>
      </c>
      <c r="FM6" s="0" t="e">
        <f aca="false">Dev!C24+";7#!73"</f>
        <v>#VALUE!</v>
      </c>
      <c r="FN6" s="35" t="e">
        <f aca="false">Dev!D24+";7#!74"</f>
        <v>#VALUE!</v>
      </c>
      <c r="FO6" s="35" t="e">
        <f aca="false">Dev!E24+";7#!75"</f>
        <v>#VALUE!</v>
      </c>
      <c r="FP6" s="35" t="e">
        <f aca="false">Dev!F24+";7#!76"</f>
        <v>#VALUE!</v>
      </c>
      <c r="FQ6" s="35" t="e">
        <f aca="false">Dev!G24+";7#!77"</f>
        <v>#VALUE!</v>
      </c>
      <c r="FR6" s="35" t="e">
        <f aca="false">Dev!H24+";7#!78"</f>
        <v>#VALUE!</v>
      </c>
      <c r="FS6" s="35" t="e">
        <f aca="false">Dev!I24+";7#!79"</f>
        <v>#VALUE!</v>
      </c>
      <c r="FT6" s="35" t="e">
        <f aca="false">Dev!J24+";7#!7:"</f>
        <v>#VALUE!</v>
      </c>
      <c r="FU6" s="35" t="e">
        <f aca="false">Dev!K24+";7#!7;"</f>
        <v>#VALUE!</v>
      </c>
      <c r="FV6" s="35" t="e">
        <f aca="false">Dev!L24+";7#!7&lt;"</f>
        <v>#VALUE!</v>
      </c>
      <c r="FW6" s="35" t="e">
        <f aca="false">Dev!M24+";7#!7="</f>
        <v>#VALUE!</v>
      </c>
      <c r="FX6" s="35" t="e">
        <f aca="false">Dev!N24+";7#!7&gt;"</f>
        <v>#VALUE!</v>
      </c>
      <c r="FY6" s="35" t="e">
        <f aca="false">Dev!O24+";7#!7?"</f>
        <v>#VALUE!</v>
      </c>
      <c r="FZ6" s="35" t="e">
        <f aca="false">Dev!P24+";7#!7@"</f>
        <v>#VALUE!</v>
      </c>
      <c r="GA6" s="0" t="e">
        <f aca="false">Dev!A25+";7#!7A"</f>
        <v>#VALUE!</v>
      </c>
      <c r="GB6" s="0" t="e">
        <f aca="false">Dev!B25+";7#!7B"</f>
        <v>#VALUE!</v>
      </c>
      <c r="GC6" s="0" t="e">
        <f aca="false">Dev!C25+";7#!7C"</f>
        <v>#VALUE!</v>
      </c>
      <c r="GD6" s="35" t="e">
        <f aca="false">Dev!D25+";7#!7D"</f>
        <v>#VALUE!</v>
      </c>
      <c r="GE6" s="35" t="e">
        <f aca="false">Dev!E25+";7#!7E"</f>
        <v>#VALUE!</v>
      </c>
      <c r="GF6" s="35" t="e">
        <f aca="false">Dev!F25+";7#!7F"</f>
        <v>#VALUE!</v>
      </c>
      <c r="GG6" s="35" t="e">
        <f aca="false">Dev!G25+";7#!7G"</f>
        <v>#VALUE!</v>
      </c>
      <c r="GH6" s="35" t="e">
        <f aca="false">Dev!H25+";7#!7H"</f>
        <v>#VALUE!</v>
      </c>
      <c r="GI6" s="35" t="e">
        <f aca="false">Dev!I25+";7#!7I"</f>
        <v>#VALUE!</v>
      </c>
      <c r="GJ6" s="35" t="e">
        <f aca="false">Dev!J25+";7#!7J"</f>
        <v>#VALUE!</v>
      </c>
      <c r="GK6" s="35" t="e">
        <f aca="false">Dev!K25+";7#!7K"</f>
        <v>#VALUE!</v>
      </c>
      <c r="GL6" s="35" t="e">
        <f aca="false">Dev!L25+";7#!7L"</f>
        <v>#VALUE!</v>
      </c>
      <c r="GM6" s="35" t="e">
        <f aca="false">Dev!M25+";7#!7M"</f>
        <v>#VALUE!</v>
      </c>
      <c r="GN6" s="35" t="e">
        <f aca="false">Dev!N25+";7#!7N"</f>
        <v>#VALUE!</v>
      </c>
      <c r="GO6" s="35" t="e">
        <f aca="false">Dev!O25+";7#!7O"</f>
        <v>#VALUE!</v>
      </c>
      <c r="GP6" s="35" t="e">
        <f aca="false">Dev!P25+";7#!7P"</f>
        <v>#VALUE!</v>
      </c>
      <c r="GQ6" s="0" t="e">
        <f aca="false">Dev!A26+";7#!7Q"</f>
        <v>#VALUE!</v>
      </c>
      <c r="GR6" s="0" t="e">
        <f aca="false">Dev!B26+";7#!7R"</f>
        <v>#VALUE!</v>
      </c>
      <c r="GS6" s="0" t="e">
        <f aca="false">Dev!C26+";7#!7S"</f>
        <v>#VALUE!</v>
      </c>
      <c r="GT6" s="36" t="e">
        <f aca="false">Dev!D26+";7#!7T"</f>
        <v>#VALUE!</v>
      </c>
      <c r="GU6" s="36" t="e">
        <f aca="false">Dev!E26+";7#!7U"</f>
        <v>#VALUE!</v>
      </c>
      <c r="GV6" s="36" t="e">
        <f aca="false">Dev!F26+";7#!7V"</f>
        <v>#VALUE!</v>
      </c>
      <c r="GW6" s="36" t="e">
        <f aca="false">Dev!G26+";7#!7W"</f>
        <v>#VALUE!</v>
      </c>
      <c r="GX6" s="36" t="e">
        <f aca="false">Dev!H26+";7#!7X"</f>
        <v>#VALUE!</v>
      </c>
      <c r="GY6" s="36" t="e">
        <f aca="false">Dev!I26+";7#!7Y"</f>
        <v>#VALUE!</v>
      </c>
      <c r="GZ6" s="36" t="e">
        <f aca="false">Dev!J26+";7#!7Z"</f>
        <v>#DIV/0!</v>
      </c>
      <c r="HA6" s="36" t="e">
        <f aca="false">Dev!K26+";7#!7["</f>
        <v>#DIV/0!</v>
      </c>
      <c r="HB6" s="36" t="e">
        <f aca="false">Dev!L26+";7#!7\"</f>
        <v>#DIV/0!</v>
      </c>
      <c r="HC6" s="36" t="e">
        <f aca="false">Dev!M26+";7#!7]"</f>
        <v>#DIV/0!</v>
      </c>
      <c r="HD6" s="36" t="e">
        <f aca="false">Dev!N26+";7#!7^"</f>
        <v>#DIV/0!</v>
      </c>
      <c r="HE6" s="36" t="e">
        <f aca="false">Dev!O26+";7#!7_"</f>
        <v>#DIV/0!</v>
      </c>
      <c r="HF6" s="36" t="e">
        <f aca="false">Dev!P26+";7#!7`"</f>
        <v>#VALUE!</v>
      </c>
      <c r="HG6" s="0" t="e">
        <f aca="false">Guillaume!A:A*";7#!7a"</f>
        <v>#VALUE!</v>
      </c>
      <c r="HH6" s="0" t="e">
        <f aca="false">Guillaume!B:B*";7#!7b"</f>
        <v>#VALUE!</v>
      </c>
      <c r="HI6" s="0" t="e">
        <f aca="false">Guillaume!C:C*";7#!7c"</f>
        <v>#VALUE!</v>
      </c>
      <c r="HJ6" s="0" t="e">
        <f aca="false">Guillaume!D:D*";7#!7d"</f>
        <v>#VALUE!</v>
      </c>
      <c r="HK6" s="0" t="e">
        <f aca="false">Guillaume!E:E*";7#!7e"</f>
        <v>#VALUE!</v>
      </c>
      <c r="HL6" s="0" t="e">
        <f aca="false">Guillaume!F:F*";7#!7f"</f>
        <v>#VALUE!</v>
      </c>
      <c r="HM6" s="0" t="e">
        <f aca="false">Guillaume!G:G*";7#!7g"</f>
        <v>#VALUE!</v>
      </c>
      <c r="HN6" s="0" t="e">
        <f aca="false">Guillaume!H:H*";7#!7h"</f>
        <v>#VALUE!</v>
      </c>
      <c r="HO6" s="0" t="e">
        <f aca="false">Guillaume!I:I*";7#!7i"</f>
        <v>#VALUE!</v>
      </c>
      <c r="HP6" s="0" t="e">
        <f aca="false">Guillaume!J:J*";7#!7j"</f>
        <v>#VALUE!</v>
      </c>
      <c r="HQ6" s="0" t="e">
        <f aca="false">Guillaume!K:K*";7#!7k"</f>
        <v>#VALUE!</v>
      </c>
      <c r="HR6" s="0" t="e">
        <f aca="false">Guillaume!L:L*";7#!7l"</f>
        <v>#VALUE!</v>
      </c>
      <c r="HS6" s="0" t="e">
        <f aca="false">Guillaume!M:M*";7#!7m"</f>
        <v>#VALUE!</v>
      </c>
      <c r="HT6" s="0" t="e">
        <f aca="false">Guillaume!N:N*";7#!7n"</f>
        <v>#VALUE!</v>
      </c>
      <c r="HU6" s="0" t="e">
        <f aca="false">Guillaume!O:O*";7#!7o"</f>
        <v>#VALUE!</v>
      </c>
      <c r="HV6" s="0" t="e">
        <f aca="false">Guillaume!P:P*";7#!7p"</f>
        <v>#VALUE!</v>
      </c>
      <c r="HW6" s="0" t="e">
        <f aca="false">Guillaume!Q:Q*";7#!7q"</f>
        <v>#VALUE!</v>
      </c>
      <c r="HX6" s="0" t="e">
        <f aca="false">Guillaume!R:R*";7#!7r"</f>
        <v>#VALUE!</v>
      </c>
      <c r="HY6" s="0" t="e">
        <f aca="false">Guillaume!S:S*";7#!7s"</f>
        <v>#VALUE!</v>
      </c>
      <c r="HZ6" s="0" t="e">
        <f aca="false">Guillaume!T:T*";7#!7t"</f>
        <v>#VALUE!</v>
      </c>
      <c r="IA6" s="0" t="e">
        <f aca="false">Guillaume!U:U*";7#!7u"</f>
        <v>#VALUE!</v>
      </c>
      <c r="IB6" s="0" t="e">
        <f aca="false">Guillaume!V:V*";7#!7v"</f>
        <v>#VALUE!</v>
      </c>
      <c r="IC6" s="0" t="e">
        <f aca="false">Guillaume!W:W*";7#!7w"</f>
        <v>#VALUE!</v>
      </c>
      <c r="ID6" s="0" t="e">
        <f aca="false">Guillaume!X:X*";7#!7x"</f>
        <v>#VALUE!</v>
      </c>
      <c r="IE6" s="0" t="e">
        <f aca="false">Guillaume!Y:Y*";7#!7y"</f>
        <v>#VALUE!</v>
      </c>
      <c r="IF6" s="0" t="e">
        <f aca="false">Guillaume!Z:Z*";7#!7z"</f>
        <v>#VALUE!</v>
      </c>
      <c r="IG6" s="0" t="e">
        <f aca="false">Guillaume!AA:AA*";7#!7{"</f>
        <v>#VALUE!</v>
      </c>
      <c r="IH6" s="0" t="e">
        <f aca="false">Guillaume!AB:AB*";7#!7|"</f>
        <v>#VALUE!</v>
      </c>
      <c r="II6" s="0" t="e">
        <f aca="false">Guillaume!AC:AC*";7#!7}"</f>
        <v>#VALUE!</v>
      </c>
      <c r="IJ6" s="0" t="e">
        <f aca="false">Guillaume!AD:AD*";7#!7~"</f>
        <v>#VALUE!</v>
      </c>
      <c r="IK6" s="0" t="e">
        <f aca="false">Guillaume!AE:AE*";7#!8#"</f>
        <v>#VALUE!</v>
      </c>
      <c r="IL6" s="0" t="e">
        <f aca="false">Guillaume!AF:AF*";7#!8$"</f>
        <v>#VALUE!</v>
      </c>
      <c r="IM6" s="0" t="e">
        <f aca="false">Guillaume!AG:AG*";7#!8%"</f>
        <v>#VALUE!</v>
      </c>
      <c r="IN6" s="0" t="e">
        <f aca="false">Guillaume!AH:AH*";7#!8&amp;"</f>
        <v>#VALUE!</v>
      </c>
      <c r="IO6" s="0" t="e">
        <f aca="false">Guillaume!AI:AI*";7#!8'"</f>
        <v>#VALUE!</v>
      </c>
      <c r="IP6" s="0" t="e">
        <f aca="false">Guillaume!AJ:AJ*";7#!8("</f>
        <v>#VALUE!</v>
      </c>
      <c r="IQ6" s="0" t="e">
        <f aca="false">Guillaume!AK:AK*";7#!8)"</f>
        <v>#VALUE!</v>
      </c>
      <c r="IR6" s="0" t="e">
        <f aca="false">Guillaume!AL:AL*";7#!8."</f>
        <v>#VALUE!</v>
      </c>
      <c r="IS6" s="0" t="e">
        <f aca="false">Guillaume!AM:AM*";7#!8/"</f>
        <v>#VALUE!</v>
      </c>
      <c r="IT6" s="0" t="e">
        <f aca="false">Guillaume!AN:AN*";7#!80"</f>
        <v>#VALUE!</v>
      </c>
      <c r="IU6" s="0" t="e">
        <f aca="false">Guillaume!AO:AO*";7#!81"</f>
        <v>#VALUE!</v>
      </c>
      <c r="IV6" s="0" t="e">
        <f aca="false">Guillaume!AP:AP*";7#!82"</f>
        <v>#VALUE!</v>
      </c>
    </row>
    <row r="7" customFormat="false" ht="15" hidden="false" customHeight="false" outlineLevel="0" collapsed="false">
      <c r="A7" s="0" t="s">
        <v>98</v>
      </c>
      <c r="F7" s="0" t="e">
        <f aca="false">Guillaume!AQ:AQ*";7#!83"</f>
        <v>#VALUE!</v>
      </c>
      <c r="G7" s="0" t="e">
        <f aca="false">Guillaume!AR:AR*";7#!84"</f>
        <v>#VALUE!</v>
      </c>
      <c r="H7" s="0" t="e">
        <f aca="false">Guillaume!AS:AS*";7#!85"</f>
        <v>#VALUE!</v>
      </c>
      <c r="I7" s="0" t="e">
        <f aca="false">Guillaume!AT:AT*";7#!86"</f>
        <v>#VALUE!</v>
      </c>
      <c r="J7" s="0" t="e">
        <f aca="false">Guillaume!AU:AU*";7#!87"</f>
        <v>#VALUE!</v>
      </c>
      <c r="K7" s="0" t="e">
        <f aca="false">Guillaume!AV:AV*";7#!88"</f>
        <v>#VALUE!</v>
      </c>
      <c r="L7" s="0" t="e">
        <f aca="false">Guillaume!AW:AW*";7#!89"</f>
        <v>#VALUE!</v>
      </c>
      <c r="M7" s="0" t="e">
        <f aca="false">Guillaume!AX:AX*";7#!8:"</f>
        <v>#VALUE!</v>
      </c>
      <c r="N7" s="0" t="e">
        <f aca="false">Guillaume!AY:AY*";7#!8;"</f>
        <v>#VALUE!</v>
      </c>
      <c r="O7" s="0" t="e">
        <f aca="false">Guillaume!AZ:AZ*";7#!8&lt;"</f>
        <v>#VALUE!</v>
      </c>
      <c r="P7" s="0" t="e">
        <f aca="false">Guillaume!BA:BA*";7#!8="</f>
        <v>#VALUE!</v>
      </c>
      <c r="Q7" s="0" t="e">
        <f aca="false">Guillaume!BB:BB*";7#!8&gt;"</f>
        <v>#VALUE!</v>
      </c>
      <c r="R7" s="0" t="e">
        <f aca="false">Guillaume!BC:BC*";7#!8?"</f>
        <v>#VALUE!</v>
      </c>
      <c r="S7" s="0" t="e">
        <f aca="false">Guillaume!BD:BD*";7#!8@"</f>
        <v>#VALUE!</v>
      </c>
      <c r="T7" s="0" t="e">
        <f aca="false">Guillaume!BE:BE*";7#!8A"</f>
        <v>#VALUE!</v>
      </c>
      <c r="U7" s="0" t="e">
        <f aca="false">Guillaume!BF:BF*";7#!8B"</f>
        <v>#VALUE!</v>
      </c>
      <c r="V7" s="0" t="e">
        <f aca="false">Guillaume!BG:BG*";7#!8C"</f>
        <v>#VALUE!</v>
      </c>
      <c r="W7" s="0" t="e">
        <f aca="false">Guillaume!BH:BH*";7#!8D"</f>
        <v>#VALUE!</v>
      </c>
      <c r="X7" s="0" t="e">
        <f aca="false">Guillaume!BI:BI*";7#!8E"</f>
        <v>#VALUE!</v>
      </c>
      <c r="Y7" s="0" t="e">
        <f aca="false">Guillaume!BJ:BJ*";7#!8F"</f>
        <v>#VALUE!</v>
      </c>
      <c r="Z7" s="0" t="e">
        <f aca="false">Guillaume!BK:BK*";7#!8G"</f>
        <v>#VALUE!</v>
      </c>
      <c r="AA7" s="0" t="e">
        <f aca="false">Guillaume!BL:BL*";7#!8H"</f>
        <v>#VALUE!</v>
      </c>
      <c r="AB7" s="0" t="e">
        <f aca="false">Guillaume!BM:BM*";7#!8I"</f>
        <v>#VALUE!</v>
      </c>
      <c r="AC7" s="0" t="e">
        <f aca="false">Guillaume!BN:BN*";7#!8J"</f>
        <v>#VALUE!</v>
      </c>
      <c r="AD7" s="0" t="e">
        <f aca="false">Guillaume!BO:BO*";7#!8K"</f>
        <v>#VALUE!</v>
      </c>
      <c r="AE7" s="0" t="e">
        <f aca="false">Guillaume!BP:BP*";7#!8L"</f>
        <v>#VALUE!</v>
      </c>
      <c r="AF7" s="0" t="e">
        <f aca="false">Guillaume!BQ:BQ*";7#!8M"</f>
        <v>#VALUE!</v>
      </c>
      <c r="AG7" s="0" t="e">
        <f aca="false">Guillaume!BR:BR*";7#!8N"</f>
        <v>#VALUE!</v>
      </c>
      <c r="AH7" s="0" t="e">
        <f aca="false">Guillaume!BS:BS*";7#!8O"</f>
        <v>#VALUE!</v>
      </c>
      <c r="AI7" s="0" t="e">
        <f aca="false">Guillaume!BT:BT*";7#!8P"</f>
        <v>#VALUE!</v>
      </c>
      <c r="AJ7" s="0" t="e">
        <f aca="false">Guillaume!BU:BU*";7#!8Q"</f>
        <v>#VALUE!</v>
      </c>
      <c r="AK7" s="0" t="e">
        <f aca="false">Guillaume!BV:BV*";7#!8R"</f>
        <v>#VALUE!</v>
      </c>
      <c r="AL7" s="0" t="e">
        <f aca="false">Guillaume!BW:BW*";7#!8S"</f>
        <v>#VALUE!</v>
      </c>
      <c r="AM7" s="0" t="e">
        <f aca="false">Guillaume!BX:BX*";7#!8T"</f>
        <v>#VALUE!</v>
      </c>
      <c r="AN7" s="0" t="e">
        <f aca="false">Guillaume!BY:BY*";7#!8U"</f>
        <v>#VALUE!</v>
      </c>
      <c r="AO7" s="0" t="e">
        <f aca="false">Guillaume!BZ:BZ*";7#!8V"</f>
        <v>#VALUE!</v>
      </c>
      <c r="AP7" s="0" t="e">
        <f aca="false">Guillaume!CA:CA*";7#!8W"</f>
        <v>#VALUE!</v>
      </c>
      <c r="AQ7" s="0" t="e">
        <f aca="false">Guillaume!CB:CB*";7#!8X"</f>
        <v>#VALUE!</v>
      </c>
      <c r="AR7" s="0" t="e">
        <f aca="false">Guillaume!CC:CC*";7#!8Y"</f>
        <v>#VALUE!</v>
      </c>
      <c r="AS7" s="0" t="e">
        <f aca="false">Guillaume!1:1-";7#!8Z"</f>
        <v>#VALUE!</v>
      </c>
      <c r="AT7" s="0" t="e">
        <f aca="false">Guillaume!2:2-";7#!8["</f>
        <v>#VALUE!</v>
      </c>
      <c r="AU7" s="0" t="e">
        <f aca="false">Guillaume!3:3-";7#!8\"</f>
        <v>#VALUE!</v>
      </c>
      <c r="AV7" s="0" t="e">
        <f aca="false">Guillaume!4:4-";7#!8]"</f>
        <v>#VALUE!</v>
      </c>
      <c r="AW7" s="0" t="e">
        <f aca="false">Guillaume!5:5-";7#!8^"</f>
        <v>#VALUE!</v>
      </c>
      <c r="AX7" s="0" t="e">
        <f aca="false">Guillaume!6:6-";7#!8_"</f>
        <v>#VALUE!</v>
      </c>
      <c r="AY7" s="0" t="e">
        <f aca="false">Guillaume!7:7-";7#!8`"</f>
        <v>#VALUE!</v>
      </c>
      <c r="AZ7" s="0" t="e">
        <f aca="false">Guillaume!8:8-";7#!8a"</f>
        <v>#VALUE!</v>
      </c>
      <c r="BA7" s="0" t="e">
        <f aca="false">Guillaume!9:9-";7#!8b"</f>
        <v>#VALUE!</v>
      </c>
      <c r="BB7" s="0" t="e">
        <f aca="false">Guillaume!10:10-";7#!8c"</f>
        <v>#VALUE!</v>
      </c>
      <c r="BC7" s="0" t="e">
        <f aca="false">Guillaume!11:11-";7#!8d"</f>
        <v>#VALUE!</v>
      </c>
      <c r="BD7" s="0" t="e">
        <f aca="false">Guillaume!12:12-";7#!8e"</f>
        <v>#VALUE!</v>
      </c>
      <c r="BE7" s="0" t="e">
        <f aca="false">Guillaume!13:13-";7#!8f"</f>
        <v>#VALUE!</v>
      </c>
      <c r="BF7" s="0" t="e">
        <f aca="false">Guillaume!14:14-";7#!8g"</f>
        <v>#VALUE!</v>
      </c>
      <c r="BG7" s="0" t="e">
        <f aca="false">Guillaume!15:15-";7#!8h"</f>
        <v>#VALUE!</v>
      </c>
      <c r="BH7" s="0" t="e">
        <f aca="false">Guillaume!16:16-";7#!8i"</f>
        <v>#VALUE!</v>
      </c>
      <c r="BI7" s="0" t="e">
        <f aca="false">Guillaume!17:17-";7#!8j"</f>
        <v>#VALUE!</v>
      </c>
      <c r="BJ7" s="0" t="e">
        <f aca="false">Guillaume!18:18-";7#!8k"</f>
        <v>#VALUE!</v>
      </c>
      <c r="BK7" s="0" t="e">
        <f aca="false">Guillaume!19:19-";7#!8l"</f>
        <v>#VALUE!</v>
      </c>
      <c r="BL7" s="0" t="e">
        <f aca="false">Guillaume!20:20-";7#!8m"</f>
        <v>#VALUE!</v>
      </c>
      <c r="BM7" s="0" t="e">
        <f aca="false">Guillaume!21:21-";7#!8n"</f>
        <v>#VALUE!</v>
      </c>
      <c r="BN7" s="0" t="e">
        <f aca="false">Guillaume!22:22-";7#!8o"</f>
        <v>#VALUE!</v>
      </c>
      <c r="BO7" s="0" t="e">
        <f aca="false">Guillaume!23:23-";7#!8p"</f>
        <v>#VALUE!</v>
      </c>
      <c r="BP7" s="0" t="e">
        <f aca="false">Guillaume!24:24-";7#!8q"</f>
        <v>#VALUE!</v>
      </c>
      <c r="BQ7" s="0" t="e">
        <f aca="false">Guillaume!25:25-";7#!8r"</f>
        <v>#VALUE!</v>
      </c>
      <c r="BR7" s="0" t="e">
        <f aca="false">Guillaume!26:26-";7#!8s"</f>
        <v>#VALUE!</v>
      </c>
      <c r="BS7" s="0" t="e">
        <f aca="false">Guillaume!27:27-";7#!8t"</f>
        <v>#VALUE!</v>
      </c>
      <c r="BT7" s="0" t="e">
        <f aca="false">Guillaume!28:28-";7#!8u"</f>
        <v>#VALUE!</v>
      </c>
      <c r="BU7" s="0" t="e">
        <f aca="false">Guillaume!29:29-";7#!8v"</f>
        <v>#VALUE!</v>
      </c>
      <c r="BV7" s="0" t="e">
        <f aca="false">Guillaume!30:30-";7#!8w"</f>
        <v>#VALUE!</v>
      </c>
      <c r="BW7" s="0" t="e">
        <f aca="false">Guillaume!31:31-";7#!8x"</f>
        <v>#VALUE!</v>
      </c>
      <c r="BX7" s="0" t="e">
        <f aca="false">Guillaume!32:32-";7#!8y"</f>
        <v>#VALUE!</v>
      </c>
      <c r="BY7" s="0" t="e">
        <f aca="false">Guillaume!33:33-";7#!8z"</f>
        <v>#VALUE!</v>
      </c>
      <c r="BZ7" s="0" t="e">
        <f aca="false">Guillaume!34:34-";7#!8{"</f>
        <v>#VALUE!</v>
      </c>
      <c r="CA7" s="0" t="e">
        <f aca="false">Guillaume!35:35-";7#!8|"</f>
        <v>#VALUE!</v>
      </c>
      <c r="CB7" s="0" t="e">
        <f aca="false">Guillaume!36:36-";7#!8}"</f>
        <v>#VALUE!</v>
      </c>
      <c r="CC7" s="0" t="e">
        <f aca="false">Guillaume!37:37-";7#!8~"</f>
        <v>#VALUE!</v>
      </c>
      <c r="CD7" s="0" t="e">
        <f aca="false">Guillaume!38:38-";7#!9#"</f>
        <v>#VALUE!</v>
      </c>
      <c r="CE7" s="0" t="e">
        <f aca="false">Guillaume!39:39-";7#!9$"</f>
        <v>#VALUE!</v>
      </c>
      <c r="CF7" s="0" t="e">
        <f aca="false">Guillaume!40:40-";7#!9%"</f>
        <v>#VALUE!</v>
      </c>
      <c r="CG7" s="0" t="e">
        <f aca="false">Guillaume!41:41-";7#!9&amp;"</f>
        <v>#VALUE!</v>
      </c>
      <c r="CH7" s="0" t="e">
        <f aca="false">Guillaume!42:42-";7#!9'"</f>
        <v>#VALUE!</v>
      </c>
      <c r="CI7" s="0" t="e">
        <f aca="false">Guillaume!43:43-";7#!9("</f>
        <v>#VALUE!</v>
      </c>
      <c r="CJ7" s="0" t="e">
        <f aca="false">Guillaume!44:44-";7#!9)"</f>
        <v>#VALUE!</v>
      </c>
      <c r="CK7" s="0" t="e">
        <f aca="false">Guillaume!45:45-";7#!9."</f>
        <v>#VALUE!</v>
      </c>
      <c r="CL7" s="0" t="e">
        <f aca="false">Guillaume!46:46-";7#!9/"</f>
        <v>#VALUE!</v>
      </c>
      <c r="CM7" s="0" t="e">
        <f aca="false">Guillaume!47:47-";7#!90"</f>
        <v>#VALUE!</v>
      </c>
      <c r="CN7" s="0" t="e">
        <f aca="false">Guillaume!48:48-";7#!91"</f>
        <v>#VALUE!</v>
      </c>
      <c r="CO7" s="0" t="e">
        <f aca="false">Guillaume!49:49-";7#!92"</f>
        <v>#VALUE!</v>
      </c>
      <c r="CP7" s="0" t="e">
        <f aca="false">Guillaume!50:50-";7#!93"</f>
        <v>#VALUE!</v>
      </c>
      <c r="CQ7" s="0" t="e">
        <f aca="false">Guillaume!51:51-";7#!94"</f>
        <v>#VALUE!</v>
      </c>
      <c r="CR7" s="0" t="e">
        <f aca="false">Guillaume!52:52-";7#!95"</f>
        <v>#VALUE!</v>
      </c>
      <c r="CS7" s="0" t="e">
        <f aca="false">Guillaume!53:53-";7#!96"</f>
        <v>#VALUE!</v>
      </c>
      <c r="CT7" s="0" t="e">
        <f aca="false">Guillaume!54:54-";7#!97"</f>
        <v>#VALUE!</v>
      </c>
      <c r="CU7" s="0" t="e">
        <f aca="false">Guillaume!55:55-";7#!98"</f>
        <v>#VALUE!</v>
      </c>
      <c r="CV7" s="0" t="e">
        <f aca="false">Guillaume!56:56-";7#!99"</f>
        <v>#VALUE!</v>
      </c>
      <c r="CW7" s="0" t="e">
        <f aca="false">Guillaume!57:57-";7#!9:"</f>
        <v>#VALUE!</v>
      </c>
      <c r="CX7" s="0" t="e">
        <f aca="false">Guillaume!58:58-";7#!9;"</f>
        <v>#VALUE!</v>
      </c>
      <c r="CY7" s="0" t="e">
        <f aca="false">Guillaume!59:59-";7#!9&lt;"</f>
        <v>#VALUE!</v>
      </c>
      <c r="CZ7" s="0" t="e">
        <f aca="false">Guillaume!60:60-";7#!9="</f>
        <v>#VALUE!</v>
      </c>
      <c r="DA7" s="0" t="e">
        <f aca="false">Guillaume!61:61-";7#!9&gt;"</f>
        <v>#VALUE!</v>
      </c>
      <c r="DB7" s="0" t="e">
        <f aca="false">Guillaume!62:62-";7#!9?"</f>
        <v>#VALUE!</v>
      </c>
      <c r="DC7" s="0" t="e">
        <f aca="false">Guillaume!63:63-";7#!9@"</f>
        <v>#VALUE!</v>
      </c>
      <c r="DD7" s="0" t="e">
        <f aca="false">Guillaume!64:64-";7#!9A"</f>
        <v>#VALUE!</v>
      </c>
      <c r="DE7" s="0" t="e">
        <f aca="false">Guillaume!65:65-";7#!9B"</f>
        <v>#VALUE!</v>
      </c>
      <c r="DF7" s="0" t="e">
        <f aca="false">Guillaume!66:66-";7#!9C"</f>
        <v>#VALUE!</v>
      </c>
      <c r="DG7" s="0" t="e">
        <f aca="false">Guillaume!67:67-";7#!9D"</f>
        <v>#VALUE!</v>
      </c>
      <c r="DH7" s="0" t="e">
        <f aca="false">Guillaume!68:68-";7#!9E"</f>
        <v>#VALUE!</v>
      </c>
      <c r="DI7" s="0" t="e">
        <f aca="false">Guillaume!69:69-";7#!9F"</f>
        <v>#VALUE!</v>
      </c>
      <c r="DJ7" s="0" t="e">
        <f aca="false">Guillaume!70:70-";7#!9G"</f>
        <v>#VALUE!</v>
      </c>
      <c r="DK7" s="0" t="e">
        <f aca="false">Guillaume!71:71-";7#!9H"</f>
        <v>#VALUE!</v>
      </c>
      <c r="DL7" s="0" t="e">
        <f aca="false">Guillaume!72:72-";7#!9I"</f>
        <v>#VALUE!</v>
      </c>
      <c r="DM7" s="0" t="e">
        <f aca="false">Guillaume!73:73-";7#!9J"</f>
        <v>#VALUE!</v>
      </c>
      <c r="DN7" s="0" t="e">
        <f aca="false">Guillaume!74:74-";7#!9K"</f>
        <v>#VALUE!</v>
      </c>
      <c r="DO7" s="0" t="e">
        <f aca="false">Guillaume!75:75-";7#!9L"</f>
        <v>#VALUE!</v>
      </c>
      <c r="DP7" s="0" t="e">
        <f aca="false">Guillaume!76:76-";7#!9M"</f>
        <v>#VALUE!</v>
      </c>
      <c r="DQ7" s="0" t="e">
        <f aca="false">Guillaume!77:77-";7#!9N"</f>
        <v>#VALUE!</v>
      </c>
      <c r="DR7" s="0" t="e">
        <f aca="false">Guillaume!78:78-";7#!9O"</f>
        <v>#VALUE!</v>
      </c>
      <c r="DS7" s="0" t="e">
        <f aca="false">Guillaume!79:79-";7#!9P"</f>
        <v>#VALUE!</v>
      </c>
      <c r="DT7" s="0" t="e">
        <f aca="false">Guillaume!80:80-";7#!9Q"</f>
        <v>#VALUE!</v>
      </c>
      <c r="DU7" s="0" t="e">
        <f aca="false">Guillaume!81:81-";7#!9R"</f>
        <v>#VALUE!</v>
      </c>
      <c r="DV7" s="0" t="e">
        <f aca="false">Guillaume!82:82-";7#!9S"</f>
        <v>#VALUE!</v>
      </c>
      <c r="DW7" s="0" t="e">
        <f aca="false">Guillaume!83:83-";7#!9T"</f>
        <v>#VALUE!</v>
      </c>
      <c r="DX7" s="0" t="e">
        <f aca="false">Guillaume!84:84-";7#!9U"</f>
        <v>#VALUE!</v>
      </c>
      <c r="DY7" s="0" t="e">
        <f aca="false">Guillaume!85:85-";7#!9V"</f>
        <v>#VALUE!</v>
      </c>
      <c r="DZ7" s="0" t="e">
        <f aca="false">Guillaume!86:86-";7#!9W"</f>
        <v>#VALUE!</v>
      </c>
      <c r="EA7" s="0" t="e">
        <f aca="false">Guillaume!87:87-";7#!9X"</f>
        <v>#VALUE!</v>
      </c>
      <c r="EB7" s="0" t="e">
        <f aca="false">Guillaume!88:88-";7#!9Y"</f>
        <v>#VALUE!</v>
      </c>
      <c r="EC7" s="0" t="e">
        <f aca="false">Guillaume!89:89-";7#!9Z"</f>
        <v>#VALUE!</v>
      </c>
      <c r="ED7" s="0" t="e">
        <f aca="false">Guillaume!90:90-";7#!9["</f>
        <v>#VALUE!</v>
      </c>
      <c r="EE7" s="0" t="e">
        <f aca="false">Guillaume!91:91-";7#!9\"</f>
        <v>#VALUE!</v>
      </c>
      <c r="EF7" s="0" t="e">
        <f aca="false">Guillaume!92:92-";7#!9]"</f>
        <v>#VALUE!</v>
      </c>
      <c r="EG7" s="0" t="e">
        <f aca="false">Guillaume!93:93-";7#!9^"</f>
        <v>#VALUE!</v>
      </c>
      <c r="EH7" s="0" t="e">
        <f aca="false">Guillaume!94:94-";7#!9_"</f>
        <v>#VALUE!</v>
      </c>
      <c r="EI7" s="0" t="e">
        <f aca="false">Guillaume!95:95-";7#!9`"</f>
        <v>#VALUE!</v>
      </c>
      <c r="EJ7" s="0" t="e">
        <f aca="false">Guillaume!96:96-";7#!9a"</f>
        <v>#VALUE!</v>
      </c>
      <c r="EK7" s="0" t="e">
        <f aca="false">Guillaume!97:97-";7#!9b"</f>
        <v>#VALUE!</v>
      </c>
      <c r="EL7" s="0" t="e">
        <f aca="false">Guillaume!98:98-";7#!9c"</f>
        <v>#VALUE!</v>
      </c>
      <c r="EM7" s="0" t="e">
        <f aca="false">Guillaume!99:99-";7#!9d"</f>
        <v>#VALUE!</v>
      </c>
      <c r="EN7" s="0" t="e">
        <f aca="false">Guillaume!100:100-";7#!9e"</f>
        <v>#VALUE!</v>
      </c>
      <c r="EO7" s="0" t="e">
        <f aca="false">Guillaume!101:101-";7#!9f"</f>
        <v>#VALUE!</v>
      </c>
      <c r="EP7" s="0" t="e">
        <f aca="false">Guillaume!102:102-";7#!9g"</f>
        <v>#VALUE!</v>
      </c>
      <c r="EQ7" s="0" t="e">
        <f aca="false">Guillaume!103:103-";7#!9h"</f>
        <v>#VALUE!</v>
      </c>
      <c r="ER7" s="0" t="e">
        <f aca="false">Guillaume!104:104-";7#!9i"</f>
        <v>#VALUE!</v>
      </c>
      <c r="ES7" s="0" t="e">
        <f aca="false">Guillaume!105:105-";7#!9j"</f>
        <v>#VALUE!</v>
      </c>
      <c r="ET7" s="0" t="e">
        <f aca="false">Guillaume!106:106-";7#!9k"</f>
        <v>#VALUE!</v>
      </c>
      <c r="EU7" s="0" t="e">
        <f aca="false">Guillaume!107:107-";7#!9l"</f>
        <v>#VALUE!</v>
      </c>
      <c r="EV7" s="0" t="e">
        <f aca="false">Guillaume!108:108-";7#!9m"</f>
        <v>#VALUE!</v>
      </c>
      <c r="EW7" s="0" t="e">
        <f aca="false">Guillaume!109:109-";7#!9n"</f>
        <v>#VALUE!</v>
      </c>
      <c r="EX7" s="0" t="e">
        <f aca="false">Guillaume!110:110-";7#!9o"</f>
        <v>#VALUE!</v>
      </c>
      <c r="EY7" s="0" t="e">
        <f aca="false">Guillaume!111:111-";7#!9p"</f>
        <v>#VALUE!</v>
      </c>
      <c r="EZ7" s="0" t="e">
        <f aca="false">Guillaume!112:112-";7#!9q"</f>
        <v>#VALUE!</v>
      </c>
      <c r="FA7" s="0" t="e">
        <f aca="false">Guillaume!113:113-";7#!9r"</f>
        <v>#VALUE!</v>
      </c>
      <c r="FB7" s="0" t="e">
        <f aca="false">Guillaume!114:114-";7#!9s"</f>
        <v>#VALUE!</v>
      </c>
      <c r="FC7" s="0" t="e">
        <f aca="false">Guillaume!115:115-";7#!9t"</f>
        <v>#VALUE!</v>
      </c>
      <c r="FD7" s="0" t="e">
        <f aca="false">Guillaume!116:116-";7#!9u"</f>
        <v>#VALUE!</v>
      </c>
      <c r="FE7" s="0" t="e">
        <f aca="false">Guillaume!117:117-";7#!9v"</f>
        <v>#VALUE!</v>
      </c>
      <c r="FF7" s="0" t="e">
        <f aca="false">Guillaume!118:118-";7#!9w"</f>
        <v>#VALUE!</v>
      </c>
      <c r="FG7" s="0" t="e">
        <f aca="false">Guillaume!119:119-";7#!9x"</f>
        <v>#VALUE!</v>
      </c>
      <c r="FH7" s="0" t="e">
        <f aca="false">Guillaume!120:120-";7#!9y"</f>
        <v>#VALUE!</v>
      </c>
      <c r="FI7" s="0" t="e">
        <f aca="false">Guillaume!121:121-";7#!9z"</f>
        <v>#VALUE!</v>
      </c>
      <c r="FJ7" s="0" t="e">
        <f aca="false">Guillaume!122:122-";7#!9{"</f>
        <v>#VALUE!</v>
      </c>
      <c r="FK7" s="0" t="e">
        <f aca="false">Guillaume!123:123-";7#!9|"</f>
        <v>#VALUE!</v>
      </c>
      <c r="FL7" s="0" t="e">
        <f aca="false">Guillaume!124:124-";7#!9}"</f>
        <v>#VALUE!</v>
      </c>
      <c r="FM7" s="0" t="e">
        <f aca="false">Guillaume!125:125-";7#!9~"</f>
        <v>#VALUE!</v>
      </c>
      <c r="FN7" s="0" t="e">
        <f aca="false">Guillaume!126:126-";7#!:#"</f>
        <v>#VALUE!</v>
      </c>
      <c r="FO7" s="0" t="e">
        <f aca="false">Guillaume!127:127-";7#!:$"</f>
        <v>#VALUE!</v>
      </c>
      <c r="FP7" s="0" t="e">
        <f aca="false">Guillaume!128:128-";7#!:%"</f>
        <v>#VALUE!</v>
      </c>
      <c r="FQ7" s="0" t="e">
        <f aca="false">Guillaume!129:129-";7#!:&amp;"</f>
        <v>#VALUE!</v>
      </c>
      <c r="FR7" s="0" t="e">
        <f aca="false">Guillaume!130:130-";7#!:'"</f>
        <v>#VALUE!</v>
      </c>
      <c r="FS7" s="0" t="e">
        <f aca="false">Guillaume!131:131-";7#!:("</f>
        <v>#VALUE!</v>
      </c>
      <c r="FT7" s="0" t="e">
        <f aca="false">Guillaume!132:132-";7#!:)"</f>
        <v>#VALUE!</v>
      </c>
      <c r="FU7" s="0" t="e">
        <f aca="false">Guillaume!133:133-";7#!:."</f>
        <v>#VALUE!</v>
      </c>
      <c r="FV7" s="0" t="e">
        <f aca="false">Guillaume!134:134-";7#!:/"</f>
        <v>#VALUE!</v>
      </c>
      <c r="FW7" s="0" t="e">
        <f aca="false">Guillaume!135:135-";7#!:0"</f>
        <v>#VALUE!</v>
      </c>
      <c r="FX7" s="0" t="e">
        <f aca="false">Guillaume!136:136-";7#!:1"</f>
        <v>#VALUE!</v>
      </c>
      <c r="FY7" s="0" t="e">
        <f aca="false">Guillaume!137:137-";7#!:2"</f>
        <v>#VALUE!</v>
      </c>
      <c r="FZ7" s="0" t="e">
        <f aca="false">Guillaume!138:138-";7#!:3"</f>
        <v>#VALUE!</v>
      </c>
      <c r="GA7" s="0" t="e">
        <f aca="false">Guillaume!139:139-";7#!:4"</f>
        <v>#VALUE!</v>
      </c>
      <c r="GB7" s="0" t="e">
        <f aca="false">Guillaume!140:140-";7#!:5"</f>
        <v>#VALUE!</v>
      </c>
      <c r="GC7" s="0" t="e">
        <f aca="false">Guillaume!141:141-";7#!:6"</f>
        <v>#VALUE!</v>
      </c>
      <c r="GD7" s="0" t="e">
        <f aca="false">Guillaume!142:142-";7#!:7"</f>
        <v>#VALUE!</v>
      </c>
      <c r="GE7" s="0" t="e">
        <f aca="false">Guillaume!143:143-";7#!:8"</f>
        <v>#VALUE!</v>
      </c>
      <c r="GF7" s="0" t="e">
        <f aca="false">Guillaume!144:144-";7#!:9"</f>
        <v>#VALUE!</v>
      </c>
      <c r="GG7" s="0" t="e">
        <f aca="false">Guillaume!145:145-";7#!::"</f>
        <v>#VALUE!</v>
      </c>
      <c r="GH7" s="0" t="e">
        <f aca="false">Guillaume!146:146-";7#!:;"</f>
        <v>#VALUE!</v>
      </c>
      <c r="GI7" s="0" t="e">
        <f aca="false">Guillaume!147:147-";7#!:&lt;"</f>
        <v>#VALUE!</v>
      </c>
      <c r="GJ7" s="0" t="e">
        <f aca="false">Guillaume!148:148-";7#!:="</f>
        <v>#VALUE!</v>
      </c>
      <c r="GK7" s="0" t="e">
        <f aca="false">Guillaume!149:149-";7#!:&gt;"</f>
        <v>#VALUE!</v>
      </c>
      <c r="GL7" s="0" t="e">
        <f aca="false">Guillaume!150:150-";7#!:?"</f>
        <v>#VALUE!</v>
      </c>
      <c r="GM7" s="0" t="e">
        <f aca="false">Guillaume!151:151-";7#!:@"</f>
        <v>#VALUE!</v>
      </c>
      <c r="GN7" s="0" t="e">
        <f aca="false">Guillaume!152:152-";7#!:A"</f>
        <v>#VALUE!</v>
      </c>
      <c r="GO7" s="0" t="e">
        <f aca="false">Guillaume!153:153-";7#!:B"</f>
        <v>#VALUE!</v>
      </c>
      <c r="GP7" s="0" t="e">
        <f aca="false">Guillaume!154:154-";7#!:C"</f>
        <v>#VALUE!</v>
      </c>
      <c r="GQ7" s="0" t="e">
        <f aca="false">Guillaume!155:155-";7#!:D"</f>
        <v>#VALUE!</v>
      </c>
      <c r="GR7" s="0" t="e">
        <f aca="false">Guillaume!156:156-";7#!:E"</f>
        <v>#VALUE!</v>
      </c>
      <c r="GS7" s="0" t="e">
        <f aca="false">Guillaume!157:157-";7#!:F"</f>
        <v>#VALUE!</v>
      </c>
      <c r="GT7" s="0" t="e">
        <f aca="false">Guillaume!158:158-";7#!:G"</f>
        <v>#VALUE!</v>
      </c>
      <c r="GU7" s="0" t="e">
        <f aca="false">Guillaume!159:159-";7#!:H"</f>
        <v>#VALUE!</v>
      </c>
      <c r="GV7" s="0" t="e">
        <f aca="false">Guillaume!160:160-";7#!:I"</f>
        <v>#VALUE!</v>
      </c>
      <c r="GW7" s="0" t="e">
        <f aca="false">Guillaume!161:161-";7#!:J"</f>
        <v>#VALUE!</v>
      </c>
      <c r="GX7" s="0" t="e">
        <f aca="false">Guillaume!162:162-";7#!:K"</f>
        <v>#VALUE!</v>
      </c>
      <c r="GY7" s="0" t="e">
        <f aca="false">Guillaume!163:163-";7#!:L"</f>
        <v>#VALUE!</v>
      </c>
      <c r="GZ7" s="0" t="e">
        <f aca="false">Guillaume!164:164-";7#!:M"</f>
        <v>#VALUE!</v>
      </c>
      <c r="HA7" s="0" t="e">
        <f aca="false">Guillaume!165:165-";7#!:N"</f>
        <v>#VALUE!</v>
      </c>
      <c r="HB7" s="0" t="e">
        <f aca="false">Guillaume!166:166-";7#!:O"</f>
        <v>#VALUE!</v>
      </c>
      <c r="HC7" s="0" t="e">
        <f aca="false">Guillaume!167:167-";7#!:P"</f>
        <v>#VALUE!</v>
      </c>
      <c r="HD7" s="0" t="e">
        <f aca="false">Guillaume!168:168-";7#!:Q"</f>
        <v>#VALUE!</v>
      </c>
      <c r="HE7" s="0" t="e">
        <f aca="false">Guillaume!169:169-";7#!:R"</f>
        <v>#VALUE!</v>
      </c>
      <c r="HF7" s="0" t="e">
        <f aca="false">Guillaume!170:170-";7#!:S"</f>
        <v>#VALUE!</v>
      </c>
      <c r="HG7" s="0" t="e">
        <f aca="false">Guillaume!171:171-";7#!:T"</f>
        <v>#VALUE!</v>
      </c>
      <c r="HH7" s="0" t="e">
        <f aca="false">Guillaume!172:172-";7#!:U"</f>
        <v>#VALUE!</v>
      </c>
      <c r="HI7" s="0" t="e">
        <f aca="false">Guillaume!173:173-";7#!:V"</f>
        <v>#VALUE!</v>
      </c>
      <c r="HJ7" s="0" t="e">
        <f aca="false">Guillaume!174:174-";7#!:W"</f>
        <v>#VALUE!</v>
      </c>
      <c r="HK7" s="0" t="e">
        <f aca="false">Guillaume!175:175-";7#!:X"</f>
        <v>#VALUE!</v>
      </c>
      <c r="HL7" s="0" t="e">
        <f aca="false">Guillaume!176:176-";7#!:Y"</f>
        <v>#VALUE!</v>
      </c>
      <c r="HM7" s="0" t="e">
        <f aca="false">Guillaume!177:177-";7#!:Z"</f>
        <v>#VALUE!</v>
      </c>
      <c r="HN7" s="0" t="e">
        <f aca="false">Guillaume!178:178-";7#!:["</f>
        <v>#VALUE!</v>
      </c>
      <c r="HO7" s="0" t="e">
        <f aca="false">Guillaume!179:179-";7#!:\"</f>
        <v>#VALUE!</v>
      </c>
      <c r="HP7" s="0" t="e">
        <f aca="false">Guillaume!180:180-";7#!:]"</f>
        <v>#VALUE!</v>
      </c>
      <c r="HQ7" s="0" t="e">
        <f aca="false">Guillaume!181:181-";7#!:^"</f>
        <v>#VALUE!</v>
      </c>
      <c r="HR7" s="0" t="e">
        <f aca="false">Guillaume!182:182-";7#!:_"</f>
        <v>#VALUE!</v>
      </c>
      <c r="HS7" s="0" t="e">
        <f aca="false">Guillaume!183:183-";7#!:`"</f>
        <v>#VALUE!</v>
      </c>
      <c r="HT7" s="0" t="e">
        <f aca="false">Guillaume!184:184-";7#!:a"</f>
        <v>#VALUE!</v>
      </c>
      <c r="HU7" s="0" t="e">
        <f aca="false">Guillaume!185:185-";7#!:b"</f>
        <v>#VALUE!</v>
      </c>
      <c r="HV7" s="0" t="e">
        <f aca="false">Guillaume!186:186-";7#!:c"</f>
        <v>#VALUE!</v>
      </c>
      <c r="HW7" s="0" t="e">
        <f aca="false">Guillaume!187:187-";7#!:d"</f>
        <v>#VALUE!</v>
      </c>
      <c r="HX7" s="0" t="e">
        <f aca="false">Guillaume!188:188-";7#!:e"</f>
        <v>#VALUE!</v>
      </c>
      <c r="HY7" s="0" t="e">
        <f aca="false">Guillaume!189:189-";7#!:f"</f>
        <v>#VALUE!</v>
      </c>
      <c r="HZ7" s="0" t="e">
        <f aca="false">Guillaume!190:190-";7#!:g"</f>
        <v>#VALUE!</v>
      </c>
      <c r="IA7" s="0" t="e">
        <f aca="false">Guillaume!191:191-";7#!:h"</f>
        <v>#VALUE!</v>
      </c>
      <c r="IB7" s="0" t="e">
        <f aca="false">Guillaume!192:192-";7#!:i"</f>
        <v>#VALUE!</v>
      </c>
      <c r="IC7" s="0" t="e">
        <f aca="false">Guillaume!193:193-";7#!:j"</f>
        <v>#VALUE!</v>
      </c>
      <c r="ID7" s="0" t="e">
        <f aca="false">Guillaume!194:194-";7#!:k"</f>
        <v>#VALUE!</v>
      </c>
      <c r="IE7" s="0" t="e">
        <f aca="false">Guillaume!195:195-";7#!:l"</f>
        <v>#VALUE!</v>
      </c>
      <c r="IF7" s="0" t="e">
        <f aca="false">Guillaume!196:196-";7#!:m"</f>
        <v>#VALUE!</v>
      </c>
      <c r="IG7" s="0" t="e">
        <f aca="false">Guillaume!197:197-";7#!:n"</f>
        <v>#VALUE!</v>
      </c>
      <c r="IH7" s="0" t="e">
        <f aca="false">Guillaume!198:198-";7#!:o"</f>
        <v>#VALUE!</v>
      </c>
      <c r="II7" s="0" t="e">
        <f aca="false">Guillaume!199:199-";7#!:p"</f>
        <v>#VALUE!</v>
      </c>
      <c r="IJ7" s="0" t="e">
        <f aca="false">Guillaume!200:200-";7#!:q"</f>
        <v>#VALUE!</v>
      </c>
      <c r="IK7" s="0" t="e">
        <f aca="false">Guillaume!201:201-";7#!:r"</f>
        <v>#VALUE!</v>
      </c>
      <c r="IL7" s="0" t="e">
        <f aca="false">Guillaume!202:202-";7#!:s"</f>
        <v>#VALUE!</v>
      </c>
      <c r="IM7" s="0" t="e">
        <f aca="false">Guillaume!203:203-";7#!:t"</f>
        <v>#VALUE!</v>
      </c>
      <c r="IN7" s="0" t="e">
        <f aca="false">Guillaume!204:204-";7#!:u"</f>
        <v>#VALUE!</v>
      </c>
      <c r="IO7" s="0" t="e">
        <f aca="false">Guillaume!205:205-";7#!:v"</f>
        <v>#VALUE!</v>
      </c>
      <c r="IP7" s="0" t="e">
        <f aca="false">Guillaume!206:206-";7#!:w"</f>
        <v>#VALUE!</v>
      </c>
      <c r="IQ7" s="0" t="e">
        <f aca="false">Guillaume!207:207-";7#!:x"</f>
        <v>#VALUE!</v>
      </c>
      <c r="IR7" s="0" t="e">
        <f aca="false">Guillaume!208:208-";7#!:y"</f>
        <v>#VALUE!</v>
      </c>
      <c r="IS7" s="0" t="e">
        <f aca="false">Guillaume!209:209-";7#!:z"</f>
        <v>#VALUE!</v>
      </c>
      <c r="IT7" s="0" t="e">
        <f aca="false">Guillaume!210:210-";7#!:{"</f>
        <v>#VALUE!</v>
      </c>
      <c r="IU7" s="0" t="e">
        <f aca="false">Guillaume!211:211-";7#!:|"</f>
        <v>#VALUE!</v>
      </c>
      <c r="IV7" s="0" t="e">
        <f aca="false">Guillaume!212:212-";7#!:}"</f>
        <v>#VALUE!</v>
      </c>
    </row>
    <row r="8" customFormat="false" ht="15" hidden="false" customHeight="false" outlineLevel="0" collapsed="false">
      <c r="F8" s="0" t="e">
        <f aca="false">Guillaume!213:213-";7#!:~"</f>
        <v>#VALUE!</v>
      </c>
      <c r="G8" s="0" t="e">
        <f aca="false">Guillaume!214:214-";7#!;#"</f>
        <v>#VALUE!</v>
      </c>
      <c r="H8" s="0" t="e">
        <f aca="false">Guillaume!215:215-";7#!;$"</f>
        <v>#VALUE!</v>
      </c>
      <c r="I8" s="0" t="e">
        <f aca="false">Guillaume!216:216-";7#!;%"</f>
        <v>#VALUE!</v>
      </c>
      <c r="J8" s="0" t="e">
        <f aca="false">Guillaume!217:217-";7#!;&amp;"</f>
        <v>#VALUE!</v>
      </c>
      <c r="K8" s="0" t="e">
        <f aca="false">Guillaume!218:218-";7#!;'"</f>
        <v>#VALUE!</v>
      </c>
      <c r="L8" s="0" t="e">
        <f aca="false">Guillaume!219:219-";7#!;("</f>
        <v>#VALUE!</v>
      </c>
      <c r="M8" s="0" t="e">
        <f aca="false">Guillaume!220:220-";7#!;)"</f>
        <v>#VALUE!</v>
      </c>
      <c r="N8" s="0" t="e">
        <f aca="false">Guillaume!221:221-";7#!;."</f>
        <v>#VALUE!</v>
      </c>
      <c r="O8" s="0" t="e">
        <f aca="false">Guillaume!222:222-";7#!;/"</f>
        <v>#VALUE!</v>
      </c>
      <c r="P8" s="0" t="e">
        <f aca="false">Guillaume!223:223-";7#!;0"</f>
        <v>#VALUE!</v>
      </c>
      <c r="Q8" s="0" t="e">
        <f aca="false">Guillaume!224:224-";7#!;1"</f>
        <v>#VALUE!</v>
      </c>
      <c r="R8" s="0" t="e">
        <f aca="false">Guillaume!225:225-";7#!;2"</f>
        <v>#VALUE!</v>
      </c>
      <c r="S8" s="0" t="e">
        <f aca="false">Guillaume!226:226-";7#!;3"</f>
        <v>#VALUE!</v>
      </c>
      <c r="T8" s="0" t="e">
        <f aca="false">Guillaume!227:227-";7#!;4"</f>
        <v>#VALUE!</v>
      </c>
      <c r="U8" s="0" t="e">
        <f aca="false">Guillaume!228:228-";7#!;5"</f>
        <v>#VALUE!</v>
      </c>
      <c r="V8" s="0" t="e">
        <f aca="false">Guillaume!229:229-";7#!;6"</f>
        <v>#VALUE!</v>
      </c>
      <c r="W8" s="0" t="e">
        <f aca="false">Guillaume!230:230-";7#!;7"</f>
        <v>#VALUE!</v>
      </c>
      <c r="X8" s="0" t="e">
        <f aca="false">Guillaume!231:231-";7#!;8"</f>
        <v>#VALUE!</v>
      </c>
      <c r="Y8" s="0" t="e">
        <f aca="false">Guillaume!A1+";7#!;9"</f>
        <v>#VALUE!</v>
      </c>
      <c r="Z8" s="0" t="e">
        <f aca="false">Guillaume!B1+";7#!;:"</f>
        <v>#VALUE!</v>
      </c>
      <c r="AA8" s="0" t="e">
        <f aca="false">Guillaume!C1+";7#!;;"</f>
        <v>#VALUE!</v>
      </c>
      <c r="AB8" s="0" t="e">
        <f aca="false">Guillaume!D1+";7#!;&lt;"</f>
        <v>#VALUE!</v>
      </c>
      <c r="AC8" s="0" t="e">
        <f aca="false">Guillaume!E1+";7#!;="</f>
        <v>#VALUE!</v>
      </c>
      <c r="AD8" s="0" t="e">
        <f aca="false">Guillaume!F1+";7#!;&gt;"</f>
        <v>#VALUE!</v>
      </c>
      <c r="AE8" s="0" t="e">
        <f aca="false">Guillaume!G1+";7#!;?"</f>
        <v>#VALUE!</v>
      </c>
      <c r="AF8" s="0" t="e">
        <f aca="false">Guillaume!H1+";7#!;@"</f>
        <v>#VALUE!</v>
      </c>
      <c r="AG8" s="0" t="e">
        <f aca="false">Guillaume!I1+";7#!;A"</f>
        <v>#VALUE!</v>
      </c>
      <c r="AH8" s="0" t="e">
        <f aca="false">Guillaume!J1+";7#!;B"</f>
        <v>#VALUE!</v>
      </c>
      <c r="AI8" s="0" t="e">
        <f aca="false">Guillaume!K1+";7#!;C"</f>
        <v>#VALUE!</v>
      </c>
      <c r="AJ8" s="0" t="e">
        <f aca="false">Guillaume!L1+";7#!;D"</f>
        <v>#VALUE!</v>
      </c>
      <c r="AK8" s="0" t="e">
        <f aca="false">Guillaume!M1+";7#!;E"</f>
        <v>#VALUE!</v>
      </c>
      <c r="AL8" s="0" t="e">
        <f aca="false">Guillaume!N1+";7#!;F"</f>
        <v>#VALUE!</v>
      </c>
      <c r="AM8" s="0" t="e">
        <f aca="false">Guillaume!O1+";7#!;G"</f>
        <v>#VALUE!</v>
      </c>
      <c r="AN8" s="0" t="e">
        <f aca="false">Guillaume!P1+";7#!;H"</f>
        <v>#VALUE!</v>
      </c>
      <c r="AO8" s="0" t="e">
        <f aca="false">Guillaume!A2+";7#!;I"</f>
        <v>#VALUE!</v>
      </c>
      <c r="AP8" s="0" t="e">
        <f aca="false">Guillaume!B2+";7#!;J"</f>
        <v>#VALUE!</v>
      </c>
      <c r="AQ8" s="0" t="e">
        <f aca="false">Guillaume!C2+";7#!;K"</f>
        <v>#VALUE!</v>
      </c>
      <c r="AR8" s="0" t="e">
        <f aca="false">Guillaume!D2+";7#!;L"</f>
        <v>#VALUE!</v>
      </c>
      <c r="AS8" s="0" t="e">
        <f aca="false">Guillaume!E2+";7#!;M"</f>
        <v>#VALUE!</v>
      </c>
      <c r="AT8" s="0" t="e">
        <f aca="false">Guillaume!F2+";7#!;N"</f>
        <v>#VALUE!</v>
      </c>
      <c r="AU8" s="0" t="e">
        <f aca="false">Guillaume!G2+";7#!;O"</f>
        <v>#VALUE!</v>
      </c>
      <c r="AV8" s="0" t="e">
        <f aca="false">Guillaume!H2+";7#!;P"</f>
        <v>#VALUE!</v>
      </c>
      <c r="AW8" s="0" t="e">
        <f aca="false">Guillaume!I2+";7#!;Q"</f>
        <v>#VALUE!</v>
      </c>
      <c r="AX8" s="0" t="e">
        <f aca="false">Guillaume!J2+";7#!;R"</f>
        <v>#VALUE!</v>
      </c>
      <c r="AY8" s="0" t="e">
        <f aca="false">Guillaume!K2+";7#!;S"</f>
        <v>#VALUE!</v>
      </c>
      <c r="AZ8" s="0" t="e">
        <f aca="false">Guillaume!L2+";7#!;T"</f>
        <v>#VALUE!</v>
      </c>
      <c r="BA8" s="0" t="e">
        <f aca="false">Guillaume!M2+";7#!;U"</f>
        <v>#VALUE!</v>
      </c>
      <c r="BB8" s="0" t="e">
        <f aca="false">Guillaume!N2+";7#!;V"</f>
        <v>#VALUE!</v>
      </c>
      <c r="BC8" s="0" t="e">
        <f aca="false">Guillaume!O2+";7#!;W"</f>
        <v>#VALUE!</v>
      </c>
      <c r="BD8" s="0" t="e">
        <f aca="false">Guillaume!P2+";7#!;X"</f>
        <v>#VALUE!</v>
      </c>
      <c r="BE8" s="0" t="e">
        <f aca="false">Guillaume!Q2+";7#!;Y"</f>
        <v>#VALUE!</v>
      </c>
      <c r="BF8" s="0" t="e">
        <f aca="false">Guillaume!A3+";7#!;Z"</f>
        <v>#VALUE!</v>
      </c>
      <c r="BG8" s="0" t="e">
        <f aca="false">Guillaume!B3+";7#!;["</f>
        <v>#VALUE!</v>
      </c>
      <c r="BH8" s="0" t="e">
        <f aca="false">Guillaume!C3+";7#!;\"</f>
        <v>#VALUE!</v>
      </c>
      <c r="BI8" s="0" t="e">
        <f aca="false">Guillaume!D3+";7#!;]"</f>
        <v>#VALUE!</v>
      </c>
      <c r="BJ8" s="0" t="e">
        <f aca="false">Guillaume!E3+";7#!;^"</f>
        <v>#VALUE!</v>
      </c>
      <c r="BK8" s="0" t="e">
        <f aca="false">Guillaume!F3+";7#!;_"</f>
        <v>#VALUE!</v>
      </c>
      <c r="BL8" s="0" t="e">
        <f aca="false">Guillaume!G3+";7#!;`"</f>
        <v>#VALUE!</v>
      </c>
      <c r="BM8" s="0" t="e">
        <f aca="false">Guillaume!H3+";7#!;a"</f>
        <v>#VALUE!</v>
      </c>
      <c r="BN8" s="0" t="e">
        <f aca="false">Guillaume!I3+";7#!;b"</f>
        <v>#VALUE!</v>
      </c>
      <c r="BO8" s="0" t="e">
        <f aca="false">Guillaume!J3+";7#!;c"</f>
        <v>#VALUE!</v>
      </c>
      <c r="BP8" s="0" t="e">
        <f aca="false">Guillaume!K3+";7#!;d"</f>
        <v>#VALUE!</v>
      </c>
      <c r="BQ8" s="0" t="e">
        <f aca="false">Guillaume!L3+";7#!;e"</f>
        <v>#VALUE!</v>
      </c>
      <c r="BR8" s="0" t="e">
        <f aca="false">Guillaume!M3+";7#!;f"</f>
        <v>#VALUE!</v>
      </c>
      <c r="BS8" s="0" t="e">
        <f aca="false">Guillaume!N3+";7#!;g"</f>
        <v>#VALUE!</v>
      </c>
      <c r="BT8" s="0" t="e">
        <f aca="false">Guillaume!O3+";7#!;h"</f>
        <v>#VALUE!</v>
      </c>
      <c r="BU8" s="0" t="e">
        <f aca="false">Guillaume!P3+";7#!;i"</f>
        <v>#VALUE!</v>
      </c>
      <c r="BV8" s="0" t="e">
        <f aca="false">Guillaume!Q3+";7#!;j"</f>
        <v>#VALUE!</v>
      </c>
      <c r="BW8" s="0" t="e">
        <f aca="false">Guillaume!A4+";7#!;k"</f>
        <v>#VALUE!</v>
      </c>
      <c r="BX8" s="0" t="e">
        <f aca="false">Guillaume!B4+";7#!;l"</f>
        <v>#VALUE!</v>
      </c>
      <c r="BY8" s="0" t="e">
        <f aca="false">Guillaume!C4+";7#!;m"</f>
        <v>#VALUE!</v>
      </c>
      <c r="BZ8" s="0" t="e">
        <f aca="false">Guillaume!D4+";7#!;n"</f>
        <v>#VALUE!</v>
      </c>
      <c r="CA8" s="0" t="e">
        <f aca="false">Guillaume!E4+";7#!;o"</f>
        <v>#VALUE!</v>
      </c>
      <c r="CB8" s="0" t="e">
        <f aca="false">Guillaume!F4+";7#!;p"</f>
        <v>#VALUE!</v>
      </c>
      <c r="CC8" s="0" t="e">
        <f aca="false">Guillaume!G4+";7#!;q"</f>
        <v>#VALUE!</v>
      </c>
      <c r="CD8" s="0" t="e">
        <f aca="false">Guillaume!H4+";7#!;r"</f>
        <v>#VALUE!</v>
      </c>
      <c r="CE8" s="0" t="e">
        <f aca="false">Guillaume!I4+";7#!;s"</f>
        <v>#VALUE!</v>
      </c>
      <c r="CF8" s="0" t="e">
        <f aca="false">Guillaume!J4+";7#!;t"</f>
        <v>#VALUE!</v>
      </c>
      <c r="CG8" s="0" t="e">
        <f aca="false">Guillaume!K4+";7#!;u"</f>
        <v>#VALUE!</v>
      </c>
      <c r="CH8" s="0" t="e">
        <f aca="false">Guillaume!L4+";7#!;v"</f>
        <v>#VALUE!</v>
      </c>
      <c r="CI8" s="0" t="e">
        <f aca="false">Guillaume!M4+";7#!;w"</f>
        <v>#VALUE!</v>
      </c>
      <c r="CJ8" s="0" t="e">
        <f aca="false">Guillaume!N4+";7#!;x"</f>
        <v>#VALUE!</v>
      </c>
      <c r="CK8" s="0" t="e">
        <f aca="false">Guillaume!O4+";7#!;y"</f>
        <v>#VALUE!</v>
      </c>
      <c r="CL8" s="0" t="e">
        <f aca="false">Guillaume!P4+";7#!;z"</f>
        <v>#VALUE!</v>
      </c>
      <c r="CM8" s="0" t="e">
        <f aca="false">Guillaume!Q4+";7#!;{"</f>
        <v>#VALUE!</v>
      </c>
      <c r="CN8" s="0" t="e">
        <f aca="false">Guillaume!A5+";7#!;|"</f>
        <v>#VALUE!</v>
      </c>
      <c r="CO8" s="0" t="e">
        <f aca="false">Guillaume!B5+";7#!;}"</f>
        <v>#VALUE!</v>
      </c>
      <c r="CP8" s="0" t="e">
        <f aca="false">Guillaume!C5+";7#!;~"</f>
        <v>#VALUE!</v>
      </c>
      <c r="CQ8" s="0" t="e">
        <f aca="false">Guillaume!D5+";7#!&lt;#"</f>
        <v>#VALUE!</v>
      </c>
      <c r="CR8" s="0" t="e">
        <f aca="false">Guillaume!E5+";7#!&lt;$"</f>
        <v>#VALUE!</v>
      </c>
      <c r="CS8" s="0" t="e">
        <f aca="false">Guillaume!F5+";7#!&lt;%"</f>
        <v>#VALUE!</v>
      </c>
      <c r="CT8" s="0" t="e">
        <f aca="false">Guillaume!G5+";7#!&lt;&amp;"</f>
        <v>#VALUE!</v>
      </c>
      <c r="CU8" s="0" t="e">
        <f aca="false">Guillaume!H5+";7#!&lt;'"</f>
        <v>#VALUE!</v>
      </c>
      <c r="CV8" s="0" t="e">
        <f aca="false">Guillaume!I5+";7#!&lt;("</f>
        <v>#VALUE!</v>
      </c>
      <c r="CW8" s="0" t="e">
        <f aca="false">Guillaume!J5+";7#!&lt;)"</f>
        <v>#VALUE!</v>
      </c>
      <c r="CX8" s="0" t="e">
        <f aca="false">Guillaume!K5+";7#!&lt;."</f>
        <v>#VALUE!</v>
      </c>
      <c r="CY8" s="0" t="e">
        <f aca="false">Guillaume!L5+";7#!&lt;/"</f>
        <v>#VALUE!</v>
      </c>
      <c r="CZ8" s="0" t="e">
        <f aca="false">Guillaume!M5+";7#!&lt;0"</f>
        <v>#VALUE!</v>
      </c>
      <c r="DA8" s="0" t="e">
        <f aca="false">Guillaume!N5+";7#!&lt;1"</f>
        <v>#VALUE!</v>
      </c>
      <c r="DB8" s="0" t="e">
        <f aca="false">Guillaume!O5+";7#!&lt;2"</f>
        <v>#VALUE!</v>
      </c>
      <c r="DC8" s="0" t="e">
        <f aca="false">Guillaume!P5+";7#!&lt;3"</f>
        <v>#VALUE!</v>
      </c>
      <c r="DD8" s="0" t="e">
        <f aca="false">Guillaume!A6+";7#!&lt;4"</f>
        <v>#VALUE!</v>
      </c>
      <c r="DE8" s="0" t="e">
        <f aca="false">Guillaume!B6+";7#!&lt;5"</f>
        <v>#VALUE!</v>
      </c>
      <c r="DF8" s="0" t="e">
        <f aca="false">Guillaume!C6+";7#!&lt;6"</f>
        <v>#VALUE!</v>
      </c>
      <c r="DG8" s="0" t="e">
        <f aca="false">Guillaume!D6+";7#!&lt;7"</f>
        <v>#VALUE!</v>
      </c>
      <c r="DH8" s="0" t="e">
        <f aca="false">Guillaume!E6+";7#!&lt;8"</f>
        <v>#VALUE!</v>
      </c>
      <c r="DI8" s="0" t="e">
        <f aca="false">Guillaume!F6+";7#!&lt;9"</f>
        <v>#VALUE!</v>
      </c>
      <c r="DJ8" s="0" t="e">
        <f aca="false">Guillaume!G6+";7#!&lt;:"</f>
        <v>#VALUE!</v>
      </c>
      <c r="DK8" s="0" t="e">
        <f aca="false">Guillaume!H6+";7#!&lt;;"</f>
        <v>#VALUE!</v>
      </c>
      <c r="DL8" s="0" t="e">
        <f aca="false">Guillaume!I6+";7#!&lt;&lt;"</f>
        <v>#VALUE!</v>
      </c>
      <c r="DM8" s="0" t="e">
        <f aca="false">Guillaume!J6+";7#!&lt;="</f>
        <v>#VALUE!</v>
      </c>
      <c r="DN8" s="0" t="e">
        <f aca="false">Guillaume!K6+";7#!&lt;&gt;"</f>
        <v>#VALUE!</v>
      </c>
      <c r="DO8" s="0" t="e">
        <f aca="false">Guillaume!L6+";7#!&lt;?"</f>
        <v>#VALUE!</v>
      </c>
      <c r="DP8" s="0" t="e">
        <f aca="false">Guillaume!M6+";7#!&lt;@"</f>
        <v>#VALUE!</v>
      </c>
      <c r="DQ8" s="0" t="e">
        <f aca="false">Guillaume!N6+";7#!&lt;A"</f>
        <v>#VALUE!</v>
      </c>
      <c r="DR8" s="0" t="e">
        <f aca="false">Guillaume!O6+";7#!&lt;B"</f>
        <v>#VALUE!</v>
      </c>
      <c r="DS8" s="0" t="e">
        <f aca="false">Guillaume!P6+";7#!&lt;C"</f>
        <v>#VALUE!</v>
      </c>
      <c r="DT8" s="0" t="e">
        <f aca="false">Guillaume!A7+";7#!&lt;D"</f>
        <v>#VALUE!</v>
      </c>
      <c r="DU8" s="0" t="e">
        <f aca="false">Guillaume!B7+";7#!&lt;E"</f>
        <v>#VALUE!</v>
      </c>
      <c r="DV8" s="0" t="e">
        <f aca="false">Guillaume!C7+";7#!&lt;F"</f>
        <v>#VALUE!</v>
      </c>
      <c r="DW8" s="0" t="e">
        <f aca="false">Guillaume!D7+";7#!&lt;G"</f>
        <v>#VALUE!</v>
      </c>
      <c r="DX8" s="0" t="e">
        <f aca="false">Guillaume!E7+";7#!&lt;H"</f>
        <v>#VALUE!</v>
      </c>
      <c r="DY8" s="0" t="e">
        <f aca="false">Guillaume!F7+";7#!&lt;I"</f>
        <v>#VALUE!</v>
      </c>
      <c r="DZ8" s="0" t="e">
        <f aca="false">Guillaume!G7+";7#!&lt;J"</f>
        <v>#VALUE!</v>
      </c>
      <c r="EA8" s="0" t="e">
        <f aca="false">Guillaume!H7+";7#!&lt;K"</f>
        <v>#VALUE!</v>
      </c>
      <c r="EB8" s="0" t="e">
        <f aca="false">Guillaume!I7+";7#!&lt;L"</f>
        <v>#VALUE!</v>
      </c>
      <c r="EC8" s="0" t="e">
        <f aca="false">Guillaume!J7+";7#!&lt;M"</f>
        <v>#VALUE!</v>
      </c>
      <c r="ED8" s="0" t="e">
        <f aca="false">Guillaume!K7+";7#!&lt;N"</f>
        <v>#VALUE!</v>
      </c>
      <c r="EE8" s="0" t="e">
        <f aca="false">Guillaume!L7+";7#!&lt;O"</f>
        <v>#VALUE!</v>
      </c>
      <c r="EF8" s="0" t="e">
        <f aca="false">Guillaume!M7+";7#!&lt;P"</f>
        <v>#VALUE!</v>
      </c>
      <c r="EG8" s="0" t="e">
        <f aca="false">Guillaume!N7+";7#!&lt;Q"</f>
        <v>#VALUE!</v>
      </c>
      <c r="EH8" s="0" t="e">
        <f aca="false">Guillaume!O7+";7#!&lt;R"</f>
        <v>#VALUE!</v>
      </c>
      <c r="EI8" s="0" t="e">
        <f aca="false">Guillaume!P7+";7#!&lt;S"</f>
        <v>#VALUE!</v>
      </c>
      <c r="EJ8" s="0" t="e">
        <f aca="false">Guillaume!A8+";7#!&lt;T"</f>
        <v>#VALUE!</v>
      </c>
      <c r="EK8" s="0" t="e">
        <f aca="false">Guillaume!B8+";7#!&lt;U"</f>
        <v>#VALUE!</v>
      </c>
      <c r="EL8" s="0" t="e">
        <f aca="false">Guillaume!C8+";7#!&lt;V"</f>
        <v>#VALUE!</v>
      </c>
      <c r="EM8" s="0" t="e">
        <f aca="false">Guillaume!D8+";7#!&lt;W"</f>
        <v>#VALUE!</v>
      </c>
      <c r="EN8" s="0" t="e">
        <f aca="false">Guillaume!E8+";7#!&lt;X"</f>
        <v>#VALUE!</v>
      </c>
      <c r="EO8" s="0" t="e">
        <f aca="false">Guillaume!F8+";7#!&lt;Y"</f>
        <v>#VALUE!</v>
      </c>
      <c r="EP8" s="0" t="e">
        <f aca="false">Guillaume!G8+";7#!&lt;Z"</f>
        <v>#VALUE!</v>
      </c>
      <c r="EQ8" s="0" t="e">
        <f aca="false">Guillaume!H8+";7#!&lt;["</f>
        <v>#VALUE!</v>
      </c>
      <c r="ER8" s="0" t="e">
        <f aca="false">Guillaume!I8+";7#!&lt;\"</f>
        <v>#VALUE!</v>
      </c>
      <c r="ES8" s="0" t="e">
        <f aca="false">Guillaume!J8+";7#!&lt;]"</f>
        <v>#VALUE!</v>
      </c>
      <c r="ET8" s="0" t="e">
        <f aca="false">Guillaume!K8+";7#!&lt;^"</f>
        <v>#VALUE!</v>
      </c>
      <c r="EU8" s="0" t="e">
        <f aca="false">Guillaume!L8+";7#!&lt;_"</f>
        <v>#VALUE!</v>
      </c>
      <c r="EV8" s="0" t="e">
        <f aca="false">Guillaume!M8+";7#!&lt;`"</f>
        <v>#VALUE!</v>
      </c>
      <c r="EW8" s="0" t="e">
        <f aca="false">Guillaume!N8+";7#!&lt;a"</f>
        <v>#VALUE!</v>
      </c>
      <c r="EX8" s="0" t="e">
        <f aca="false">Guillaume!O8+";7#!&lt;b"</f>
        <v>#VALUE!</v>
      </c>
      <c r="EY8" s="0" t="e">
        <f aca="false">Guillaume!P8+";7#!&lt;c"</f>
        <v>#VALUE!</v>
      </c>
      <c r="EZ8" s="0" t="e">
        <f aca="false">Guillaume!A9+";7#!&lt;d"</f>
        <v>#VALUE!</v>
      </c>
      <c r="FA8" s="0" t="e">
        <f aca="false">Guillaume!B9+";7#!&lt;e"</f>
        <v>#VALUE!</v>
      </c>
      <c r="FB8" s="0" t="e">
        <f aca="false">Guillaume!C9+";7#!&lt;f"</f>
        <v>#VALUE!</v>
      </c>
      <c r="FC8" s="0" t="e">
        <f aca="false">Guillaume!D9+";7#!&lt;g"</f>
        <v>#VALUE!</v>
      </c>
      <c r="FD8" s="0" t="e">
        <f aca="false">Guillaume!E9+";7#!&lt;h"</f>
        <v>#VALUE!</v>
      </c>
      <c r="FE8" s="0" t="e">
        <f aca="false">Guillaume!F9+";7#!&lt;i"</f>
        <v>#VALUE!</v>
      </c>
      <c r="FF8" s="0" t="e">
        <f aca="false">Guillaume!G9+";7#!&lt;j"</f>
        <v>#VALUE!</v>
      </c>
      <c r="FG8" s="0" t="e">
        <f aca="false">Guillaume!H9+";7#!&lt;k"</f>
        <v>#VALUE!</v>
      </c>
      <c r="FH8" s="35" t="e">
        <f aca="false">Guillaume!I9+";7#!&lt;l"</f>
        <v>#VALUE!</v>
      </c>
      <c r="FI8" s="0" t="e">
        <f aca="false">Guillaume!J9+";7#!&lt;m"</f>
        <v>#VALUE!</v>
      </c>
      <c r="FJ8" s="0" t="e">
        <f aca="false">Guillaume!K9+";7#!&lt;n"</f>
        <v>#VALUE!</v>
      </c>
      <c r="FK8" s="0" t="e">
        <f aca="false">Guillaume!L9+";7#!&lt;o"</f>
        <v>#VALUE!</v>
      </c>
      <c r="FL8" s="0" t="e">
        <f aca="false">Guillaume!M9+";7#!&lt;p"</f>
        <v>#VALUE!</v>
      </c>
      <c r="FM8" s="0" t="e">
        <f aca="false">Guillaume!N9+";7#!&lt;q"</f>
        <v>#VALUE!</v>
      </c>
      <c r="FN8" s="0" t="e">
        <f aca="false">Guillaume!O9+";7#!&lt;r"</f>
        <v>#VALUE!</v>
      </c>
      <c r="FO8" s="0" t="e">
        <f aca="false">Guillaume!P9+";7#!&lt;s"</f>
        <v>#VALUE!</v>
      </c>
      <c r="FP8" s="0" t="e">
        <f aca="false">Guillaume!A10+";7#!&lt;t"</f>
        <v>#VALUE!</v>
      </c>
      <c r="FQ8" s="0" t="e">
        <f aca="false">Guillaume!B10+";7#!&lt;u"</f>
        <v>#VALUE!</v>
      </c>
      <c r="FR8" s="0" t="e">
        <f aca="false">Guillaume!C10+";7#!&lt;v"</f>
        <v>#VALUE!</v>
      </c>
      <c r="FS8" s="0" t="e">
        <f aca="false">Guillaume!D10+";7#!&lt;w"</f>
        <v>#VALUE!</v>
      </c>
      <c r="FT8" s="0" t="e">
        <f aca="false">Guillaume!E10+";7#!&lt;x"</f>
        <v>#VALUE!</v>
      </c>
      <c r="FU8" s="0" t="e">
        <f aca="false">Guillaume!F10+";7#!&lt;y"</f>
        <v>#VALUE!</v>
      </c>
      <c r="FV8" s="0" t="e">
        <f aca="false">Guillaume!G10+";7#!&lt;z"</f>
        <v>#VALUE!</v>
      </c>
      <c r="FW8" s="0" t="e">
        <f aca="false">Guillaume!H10+";7#!&lt;{"</f>
        <v>#VALUE!</v>
      </c>
      <c r="FX8" s="35" t="e">
        <f aca="false">Guillaume!I10+";7#!&lt;|"</f>
        <v>#VALUE!</v>
      </c>
      <c r="FY8" s="0" t="e">
        <f aca="false">Guillaume!J10+";7#!&lt;}"</f>
        <v>#VALUE!</v>
      </c>
      <c r="FZ8" s="0" t="e">
        <f aca="false">Guillaume!K10+";7#!&lt;~"</f>
        <v>#VALUE!</v>
      </c>
      <c r="GA8" s="0" t="e">
        <f aca="false">Guillaume!L10+";7#!=#"</f>
        <v>#VALUE!</v>
      </c>
      <c r="GB8" s="0" t="e">
        <f aca="false">Guillaume!M10+";7#!=$"</f>
        <v>#VALUE!</v>
      </c>
      <c r="GC8" s="0" t="e">
        <f aca="false">Guillaume!N10+";7#!=%"</f>
        <v>#VALUE!</v>
      </c>
      <c r="GD8" s="0" t="e">
        <f aca="false">Guillaume!O10+";7#!=&amp;"</f>
        <v>#VALUE!</v>
      </c>
      <c r="GE8" s="0" t="e">
        <f aca="false">Guillaume!P10+";7#!='"</f>
        <v>#VALUE!</v>
      </c>
      <c r="GF8" s="0" t="e">
        <f aca="false">Guillaume!A11+";7#!=("</f>
        <v>#VALUE!</v>
      </c>
      <c r="GG8" s="0" t="e">
        <f aca="false">Guillaume!B11+";7#!=)"</f>
        <v>#VALUE!</v>
      </c>
      <c r="GH8" s="0" t="e">
        <f aca="false">Guillaume!C11+";7#!=."</f>
        <v>#VALUE!</v>
      </c>
      <c r="GI8" s="0" t="e">
        <f aca="false">Guillaume!D11+";7#!=/"</f>
        <v>#VALUE!</v>
      </c>
      <c r="GJ8" s="0" t="e">
        <f aca="false">Guillaume!E11+";7#!=0"</f>
        <v>#VALUE!</v>
      </c>
      <c r="GK8" s="0" t="e">
        <f aca="false">Guillaume!F11+";7#!=1"</f>
        <v>#VALUE!</v>
      </c>
      <c r="GL8" s="0" t="e">
        <f aca="false">Guillaume!G11+";7#!=2"</f>
        <v>#VALUE!</v>
      </c>
      <c r="GM8" s="0" t="e">
        <f aca="false">Guillaume!H11+";7#!=3"</f>
        <v>#VALUE!</v>
      </c>
      <c r="GN8" s="0" t="e">
        <f aca="false">Guillaume!I11+";7#!=4"</f>
        <v>#VALUE!</v>
      </c>
      <c r="GO8" s="0" t="e">
        <f aca="false">Guillaume!J11+";7#!=5"</f>
        <v>#VALUE!</v>
      </c>
      <c r="GP8" s="0" t="e">
        <f aca="false">Guillaume!K11+";7#!=6"</f>
        <v>#VALUE!</v>
      </c>
      <c r="GQ8" s="0" t="e">
        <f aca="false">Guillaume!L11+";7#!=7"</f>
        <v>#VALUE!</v>
      </c>
      <c r="GR8" s="0" t="e">
        <f aca="false">Guillaume!M11+";7#!=8"</f>
        <v>#VALUE!</v>
      </c>
      <c r="GS8" s="0" t="e">
        <f aca="false">Guillaume!N11+";7#!=9"</f>
        <v>#VALUE!</v>
      </c>
      <c r="GT8" s="0" t="e">
        <f aca="false">Guillaume!O11+";7#!=:"</f>
        <v>#VALUE!</v>
      </c>
      <c r="GU8" s="0" t="e">
        <f aca="false">Guillaume!P11+";7#!=;"</f>
        <v>#VALUE!</v>
      </c>
      <c r="GV8" s="0" t="e">
        <f aca="false">Guillaume!A12+";7#!=&lt;"</f>
        <v>#VALUE!</v>
      </c>
      <c r="GW8" s="0" t="e">
        <f aca="false">Guillaume!B12+";7#!=="</f>
        <v>#VALUE!</v>
      </c>
      <c r="GX8" s="0" t="e">
        <f aca="false">Guillaume!C12+";7#!=&gt;"</f>
        <v>#VALUE!</v>
      </c>
      <c r="GY8" s="0" t="e">
        <f aca="false">Guillaume!D12+";7#!=?"</f>
        <v>#VALUE!</v>
      </c>
      <c r="GZ8" s="0" t="e">
        <f aca="false">Guillaume!E12+";7#!=@"</f>
        <v>#VALUE!</v>
      </c>
      <c r="HA8" s="0" t="e">
        <f aca="false">Guillaume!F12+";7#!=A"</f>
        <v>#VALUE!</v>
      </c>
      <c r="HB8" s="0" t="e">
        <f aca="false">Guillaume!G12+";7#!=B"</f>
        <v>#VALUE!</v>
      </c>
      <c r="HC8" s="0" t="e">
        <f aca="false">Guillaume!H12+";7#!=C"</f>
        <v>#VALUE!</v>
      </c>
      <c r="HD8" s="0" t="e">
        <f aca="false">Guillaume!I12+";7#!=D"</f>
        <v>#VALUE!</v>
      </c>
      <c r="HE8" s="0" t="e">
        <f aca="false">Guillaume!J12+";7#!=E"</f>
        <v>#VALUE!</v>
      </c>
      <c r="HF8" s="0" t="e">
        <f aca="false">Guillaume!K12+";7#!=F"</f>
        <v>#VALUE!</v>
      </c>
      <c r="HG8" s="0" t="e">
        <f aca="false">Guillaume!L12+";7#!=G"</f>
        <v>#VALUE!</v>
      </c>
      <c r="HH8" s="0" t="e">
        <f aca="false">Guillaume!M12+";7#!=H"</f>
        <v>#VALUE!</v>
      </c>
      <c r="HI8" s="0" t="e">
        <f aca="false">Guillaume!N12+";7#!=I"</f>
        <v>#VALUE!</v>
      </c>
      <c r="HJ8" s="0" t="e">
        <f aca="false">Guillaume!O12+";7#!=J"</f>
        <v>#VALUE!</v>
      </c>
      <c r="HK8" s="0" t="e">
        <f aca="false">Guillaume!P12+";7#!=K"</f>
        <v>#VALUE!</v>
      </c>
      <c r="HL8" s="0" t="e">
        <f aca="false">Guillaume!A13+";7#!=L"</f>
        <v>#VALUE!</v>
      </c>
      <c r="HM8" s="0" t="e">
        <f aca="false">Guillaume!B13+";7#!=M"</f>
        <v>#VALUE!</v>
      </c>
      <c r="HN8" s="0" t="e">
        <f aca="false">Guillaume!C13+";7#!=N"</f>
        <v>#VALUE!</v>
      </c>
      <c r="HO8" s="0" t="e">
        <f aca="false">Guillaume!D13+";7#!=O"</f>
        <v>#VALUE!</v>
      </c>
      <c r="HP8" s="0" t="e">
        <f aca="false">Guillaume!E13+";7#!=P"</f>
        <v>#VALUE!</v>
      </c>
      <c r="HQ8" s="0" t="e">
        <f aca="false">Guillaume!F13+";7#!=Q"</f>
        <v>#VALUE!</v>
      </c>
      <c r="HR8" s="0" t="e">
        <f aca="false">Guillaume!G13+";7#!=R"</f>
        <v>#VALUE!</v>
      </c>
      <c r="HS8" s="0" t="e">
        <f aca="false">Guillaume!H13+";7#!=S"</f>
        <v>#VALUE!</v>
      </c>
      <c r="HT8" s="0" t="e">
        <f aca="false">Guillaume!I13+";7#!=T"</f>
        <v>#VALUE!</v>
      </c>
      <c r="HU8" s="0" t="e">
        <f aca="false">Guillaume!J13+";7#!=U"</f>
        <v>#VALUE!</v>
      </c>
      <c r="HV8" s="0" t="e">
        <f aca="false">Guillaume!K13+";7#!=V"</f>
        <v>#VALUE!</v>
      </c>
      <c r="HW8" s="0" t="e">
        <f aca="false">Guillaume!L13+";7#!=W"</f>
        <v>#VALUE!</v>
      </c>
      <c r="HX8" s="0" t="e">
        <f aca="false">Guillaume!M13+";7#!=X"</f>
        <v>#VALUE!</v>
      </c>
      <c r="HY8" s="0" t="e">
        <f aca="false">Guillaume!N13+";7#!=Y"</f>
        <v>#VALUE!</v>
      </c>
      <c r="HZ8" s="0" t="e">
        <f aca="false">Guillaume!O13+";7#!=Z"</f>
        <v>#VALUE!</v>
      </c>
      <c r="IA8" s="0" t="e">
        <f aca="false">Guillaume!P13+";7#!=["</f>
        <v>#VALUE!</v>
      </c>
      <c r="IB8" s="0" t="e">
        <f aca="false">Guillaume!A14+";7#!=\"</f>
        <v>#VALUE!</v>
      </c>
      <c r="IC8" s="0" t="e">
        <f aca="false">Guillaume!B14+";7#!=]"</f>
        <v>#VALUE!</v>
      </c>
      <c r="ID8" s="0" t="e">
        <f aca="false">Guillaume!C14+";7#!=^"</f>
        <v>#VALUE!</v>
      </c>
      <c r="IE8" s="0" t="e">
        <f aca="false">Guillaume!D14+";7#!=_"</f>
        <v>#VALUE!</v>
      </c>
      <c r="IF8" s="0" t="e">
        <f aca="false">Guillaume!E14+";7#!=`"</f>
        <v>#VALUE!</v>
      </c>
      <c r="IG8" s="0" t="e">
        <f aca="false">Guillaume!F14+";7#!=a"</f>
        <v>#VALUE!</v>
      </c>
      <c r="IH8" s="0" t="e">
        <f aca="false">Guillaume!G14+";7#!=b"</f>
        <v>#VALUE!</v>
      </c>
      <c r="II8" s="0" t="e">
        <f aca="false">Guillaume!H14+";7#!=c"</f>
        <v>#VALUE!</v>
      </c>
      <c r="IJ8" s="0" t="e">
        <f aca="false">Guillaume!I14+";7#!=d"</f>
        <v>#VALUE!</v>
      </c>
      <c r="IK8" s="0" t="e">
        <f aca="false">Guillaume!J14+";7#!=e"</f>
        <v>#VALUE!</v>
      </c>
      <c r="IL8" s="0" t="e">
        <f aca="false">Guillaume!K14+";7#!=f"</f>
        <v>#VALUE!</v>
      </c>
      <c r="IM8" s="0" t="e">
        <f aca="false">Guillaume!L14+";7#!=g"</f>
        <v>#VALUE!</v>
      </c>
      <c r="IN8" s="0" t="e">
        <f aca="false">Guillaume!M14+";7#!=h"</f>
        <v>#VALUE!</v>
      </c>
      <c r="IO8" s="0" t="e">
        <f aca="false">Guillaume!N14+";7#!=i"</f>
        <v>#VALUE!</v>
      </c>
      <c r="IP8" s="0" t="e">
        <f aca="false">Guillaume!O14+";7#!=j"</f>
        <v>#VALUE!</v>
      </c>
      <c r="IQ8" s="0" t="e">
        <f aca="false">Guillaume!P14+";7#!=k"</f>
        <v>#VALUE!</v>
      </c>
      <c r="IR8" s="0" t="e">
        <f aca="false">Guillaume!A15+";7#!=l"</f>
        <v>#VALUE!</v>
      </c>
      <c r="IS8" s="0" t="e">
        <f aca="false">Guillaume!B15+";7#!=m"</f>
        <v>#VALUE!</v>
      </c>
      <c r="IT8" s="0" t="e">
        <f aca="false">Guillaume!C15+";7#!=n"</f>
        <v>#VALUE!</v>
      </c>
      <c r="IU8" s="0" t="e">
        <f aca="false">Guillaume!D15+";7#!=o"</f>
        <v>#VALUE!</v>
      </c>
      <c r="IV8" s="0" t="e">
        <f aca="false">Guillaume!E15+";7#!=p"</f>
        <v>#VALUE!</v>
      </c>
    </row>
    <row r="9" customFormat="false" ht="15" hidden="false" customHeight="false" outlineLevel="0" collapsed="false">
      <c r="F9" s="0" t="e">
        <f aca="false">Guillaume!F15+";7#!=q"</f>
        <v>#VALUE!</v>
      </c>
      <c r="G9" s="0" t="e">
        <f aca="false">Guillaume!G15+";7#!=r"</f>
        <v>#VALUE!</v>
      </c>
      <c r="H9" s="0" t="e">
        <f aca="false">Guillaume!H15+";7#!=s"</f>
        <v>#VALUE!</v>
      </c>
      <c r="I9" s="0" t="e">
        <f aca="false">Guillaume!I15+";7#!=t"</f>
        <v>#VALUE!</v>
      </c>
      <c r="J9" s="0" t="e">
        <f aca="false">Guillaume!J15+";7#!=u"</f>
        <v>#VALUE!</v>
      </c>
      <c r="K9" s="0" t="e">
        <f aca="false">Guillaume!K15+";7#!=v"</f>
        <v>#VALUE!</v>
      </c>
      <c r="L9" s="0" t="e">
        <f aca="false">Guillaume!L15+";7#!=w"</f>
        <v>#VALUE!</v>
      </c>
      <c r="M9" s="0" t="e">
        <f aca="false">Guillaume!M15+";7#!=x"</f>
        <v>#VALUE!</v>
      </c>
      <c r="N9" s="0" t="e">
        <f aca="false">Guillaume!N15+";7#!=y"</f>
        <v>#VALUE!</v>
      </c>
      <c r="O9" s="0" t="e">
        <f aca="false">Guillaume!O15+";7#!=z"</f>
        <v>#VALUE!</v>
      </c>
      <c r="P9" s="0" t="e">
        <f aca="false">Guillaume!P15+";7#!={"</f>
        <v>#VALUE!</v>
      </c>
      <c r="Q9" s="0" t="e">
        <f aca="false">Guillaume!A16+";7#!=|"</f>
        <v>#VALUE!</v>
      </c>
      <c r="R9" s="0" t="e">
        <f aca="false">Guillaume!B16+";7#!=}"</f>
        <v>#VALUE!</v>
      </c>
      <c r="S9" s="0" t="e">
        <f aca="false">Guillaume!C16+";7#!=~"</f>
        <v>#VALUE!</v>
      </c>
      <c r="T9" s="0" t="e">
        <f aca="false">Guillaume!D16+";7#!&gt;#"</f>
        <v>#VALUE!</v>
      </c>
      <c r="U9" s="0" t="e">
        <f aca="false">Guillaume!E16+";7#!&gt;$"</f>
        <v>#VALUE!</v>
      </c>
      <c r="V9" s="0" t="e">
        <f aca="false">Guillaume!F16+";7#!&gt;%"</f>
        <v>#VALUE!</v>
      </c>
      <c r="W9" s="0" t="e">
        <f aca="false">Guillaume!G16+";7#!&gt;&amp;"</f>
        <v>#VALUE!</v>
      </c>
      <c r="X9" s="0" t="e">
        <f aca="false">Guillaume!H16+";7#!&gt;'"</f>
        <v>#VALUE!</v>
      </c>
      <c r="Y9" s="0" t="e">
        <f aca="false">Guillaume!I16+";7#!&gt;("</f>
        <v>#VALUE!</v>
      </c>
      <c r="Z9" s="0" t="e">
        <f aca="false">Guillaume!J16+";7#!&gt;)"</f>
        <v>#VALUE!</v>
      </c>
      <c r="AA9" s="0" t="e">
        <f aca="false">Guillaume!K16+";7#!&gt;."</f>
        <v>#VALUE!</v>
      </c>
      <c r="AB9" s="0" t="e">
        <f aca="false">Guillaume!L16+";7#!&gt;/"</f>
        <v>#VALUE!</v>
      </c>
      <c r="AC9" s="0" t="e">
        <f aca="false">Guillaume!M16+";7#!&gt;0"</f>
        <v>#VALUE!</v>
      </c>
      <c r="AD9" s="0" t="e">
        <f aca="false">Guillaume!N16+";7#!&gt;1"</f>
        <v>#VALUE!</v>
      </c>
      <c r="AE9" s="0" t="e">
        <f aca="false">Guillaume!O16+";7#!&gt;2"</f>
        <v>#VALUE!</v>
      </c>
      <c r="AF9" s="0" t="e">
        <f aca="false">Guillaume!P16+";7#!&gt;3"</f>
        <v>#VALUE!</v>
      </c>
      <c r="AG9" s="0" t="e">
        <f aca="false">Guillaume!A17+";7#!&gt;4"</f>
        <v>#VALUE!</v>
      </c>
      <c r="AH9" s="0" t="e">
        <f aca="false">Guillaume!B17+";7#!&gt;5"</f>
        <v>#VALUE!</v>
      </c>
      <c r="AI9" s="0" t="e">
        <f aca="false">Guillaume!C17+";7#!&gt;6"</f>
        <v>#VALUE!</v>
      </c>
      <c r="AJ9" s="0" t="e">
        <f aca="false">Guillaume!D17+";7#!&gt;7"</f>
        <v>#VALUE!</v>
      </c>
      <c r="AK9" s="0" t="e">
        <f aca="false">Guillaume!E17+";7#!&gt;8"</f>
        <v>#VALUE!</v>
      </c>
      <c r="AL9" s="0" t="e">
        <f aca="false">Guillaume!F17+";7#!&gt;9"</f>
        <v>#VALUE!</v>
      </c>
      <c r="AM9" s="0" t="e">
        <f aca="false">Guillaume!G17+";7#!&gt;:"</f>
        <v>#VALUE!</v>
      </c>
      <c r="AN9" s="0" t="e">
        <f aca="false">Guillaume!H17+";7#!&gt;;"</f>
        <v>#VALUE!</v>
      </c>
      <c r="AO9" s="0" t="e">
        <f aca="false">Guillaume!I17+";7#!&gt;&lt;"</f>
        <v>#VALUE!</v>
      </c>
      <c r="AP9" s="0" t="e">
        <f aca="false">Guillaume!J17+";7#!&gt;="</f>
        <v>#VALUE!</v>
      </c>
      <c r="AQ9" s="0" t="e">
        <f aca="false">Guillaume!K17+";7#!&gt;&gt;"</f>
        <v>#VALUE!</v>
      </c>
      <c r="AR9" s="0" t="e">
        <f aca="false">Guillaume!L17+";7#!&gt;?"</f>
        <v>#VALUE!</v>
      </c>
      <c r="AS9" s="0" t="e">
        <f aca="false">Guillaume!M17+";7#!&gt;@"</f>
        <v>#VALUE!</v>
      </c>
      <c r="AT9" s="0" t="e">
        <f aca="false">Guillaume!N17+";7#!&gt;A"</f>
        <v>#VALUE!</v>
      </c>
      <c r="AU9" s="0" t="e">
        <f aca="false">Guillaume!O17+";7#!&gt;B"</f>
        <v>#VALUE!</v>
      </c>
      <c r="AV9" s="0" t="e">
        <f aca="false">Guillaume!P17+";7#!&gt;C"</f>
        <v>#VALUE!</v>
      </c>
      <c r="AW9" s="0" t="e">
        <f aca="false">Guillaume!A18+";7#!&gt;D"</f>
        <v>#VALUE!</v>
      </c>
      <c r="AX9" s="0" t="e">
        <f aca="false">Guillaume!B18+";7#!&gt;E"</f>
        <v>#VALUE!</v>
      </c>
      <c r="AY9" s="0" t="e">
        <f aca="false">Guillaume!C18+";7#!&gt;F"</f>
        <v>#VALUE!</v>
      </c>
      <c r="AZ9" s="0" t="e">
        <f aca="false">Guillaume!D18+";7#!&gt;G"</f>
        <v>#VALUE!</v>
      </c>
      <c r="BA9" s="0" t="e">
        <f aca="false">Guillaume!E18+";7#!&gt;H"</f>
        <v>#VALUE!</v>
      </c>
      <c r="BB9" s="0" t="e">
        <f aca="false">Guillaume!F18+";7#!&gt;I"</f>
        <v>#VALUE!</v>
      </c>
      <c r="BC9" s="0" t="e">
        <f aca="false">Guillaume!G18+";7#!&gt;J"</f>
        <v>#VALUE!</v>
      </c>
      <c r="BD9" s="0" t="e">
        <f aca="false">Guillaume!H18+";7#!&gt;K"</f>
        <v>#VALUE!</v>
      </c>
      <c r="BE9" s="0" t="e">
        <f aca="false">Guillaume!I18+";7#!&gt;L"</f>
        <v>#VALUE!</v>
      </c>
      <c r="BF9" s="0" t="e">
        <f aca="false">Guillaume!J18+";7#!&gt;M"</f>
        <v>#VALUE!</v>
      </c>
      <c r="BG9" s="0" t="e">
        <f aca="false">Guillaume!K18+";7#!&gt;N"</f>
        <v>#VALUE!</v>
      </c>
      <c r="BH9" s="0" t="e">
        <f aca="false">Guillaume!L18+";7#!&gt;O"</f>
        <v>#VALUE!</v>
      </c>
      <c r="BI9" s="0" t="e">
        <f aca="false">Guillaume!M18+";7#!&gt;P"</f>
        <v>#VALUE!</v>
      </c>
      <c r="BJ9" s="0" t="e">
        <f aca="false">Guillaume!N18+";7#!&gt;Q"</f>
        <v>#VALUE!</v>
      </c>
      <c r="BK9" s="0" t="e">
        <f aca="false">Guillaume!O18+";7#!&gt;R"</f>
        <v>#VALUE!</v>
      </c>
      <c r="BL9" s="0" t="e">
        <f aca="false">Guillaume!P18+";7#!&gt;S"</f>
        <v>#VALUE!</v>
      </c>
      <c r="BM9" s="0" t="e">
        <f aca="false">Guillaume!A19+";7#!&gt;T"</f>
        <v>#VALUE!</v>
      </c>
      <c r="BN9" s="0" t="e">
        <f aca="false">Guillaume!B19+";7#!&gt;U"</f>
        <v>#VALUE!</v>
      </c>
      <c r="BO9" s="0" t="e">
        <f aca="false">Guillaume!C19+";7#!&gt;V"</f>
        <v>#N/A</v>
      </c>
      <c r="BP9" s="0" t="e">
        <f aca="false">Guillaume!D19+";7#!&gt;W"</f>
        <v>#VALUE!</v>
      </c>
      <c r="BQ9" s="0" t="e">
        <f aca="false">Guillaume!E19+";7#!&gt;X"</f>
        <v>#VALUE!</v>
      </c>
      <c r="BR9" s="0" t="e">
        <f aca="false">Guillaume!F19+";7#!&gt;Y"</f>
        <v>#VALUE!</v>
      </c>
      <c r="BS9" s="0" t="e">
        <f aca="false">Guillaume!G19+";7#!&gt;Z"</f>
        <v>#VALUE!</v>
      </c>
      <c r="BT9" s="0" t="e">
        <f aca="false">Guillaume!H19+";7#!&gt;["</f>
        <v>#VALUE!</v>
      </c>
      <c r="BU9" s="0" t="e">
        <f aca="false">Guillaume!I19+";7#!&gt;\"</f>
        <v>#VALUE!</v>
      </c>
      <c r="BV9" s="0" t="e">
        <f aca="false">Guillaume!J19+";7#!&gt;]"</f>
        <v>#VALUE!</v>
      </c>
      <c r="BW9" s="0" t="e">
        <f aca="false">Guillaume!K19+";7#!&gt;^"</f>
        <v>#VALUE!</v>
      </c>
      <c r="BX9" s="0" t="e">
        <f aca="false">Guillaume!L19+";7#!&gt;_"</f>
        <v>#VALUE!</v>
      </c>
      <c r="BY9" s="0" t="e">
        <f aca="false">Guillaume!M19+";7#!&gt;`"</f>
        <v>#VALUE!</v>
      </c>
      <c r="BZ9" s="0" t="e">
        <f aca="false">Guillaume!N19+";7#!&gt;a"</f>
        <v>#VALUE!</v>
      </c>
      <c r="CA9" s="0" t="e">
        <f aca="false">Guillaume!O19+";7#!&gt;b"</f>
        <v>#VALUE!</v>
      </c>
      <c r="CB9" s="0" t="e">
        <f aca="false">Guillaume!P19+";7#!&gt;c"</f>
        <v>#VALUE!</v>
      </c>
      <c r="CC9" s="0" t="e">
        <f aca="false">Guillaume!A20+";7#!&gt;d"</f>
        <v>#VALUE!</v>
      </c>
      <c r="CD9" s="0" t="e">
        <f aca="false">Guillaume!B20+";7#!&gt;e"</f>
        <v>#VALUE!</v>
      </c>
      <c r="CE9" s="0" t="e">
        <f aca="false">Guillaume!C20+";7#!&gt;f"</f>
        <v>#N/A</v>
      </c>
      <c r="CF9" s="0" t="e">
        <f aca="false">Guillaume!D20+";7#!&gt;g"</f>
        <v>#VALUE!</v>
      </c>
      <c r="CG9" s="0" t="e">
        <f aca="false">Guillaume!E20+";7#!&gt;h"</f>
        <v>#VALUE!</v>
      </c>
      <c r="CH9" s="0" t="e">
        <f aca="false">Guillaume!F20+";7#!&gt;i"</f>
        <v>#VALUE!</v>
      </c>
      <c r="CI9" s="0" t="e">
        <f aca="false">Guillaume!G20+";7#!&gt;j"</f>
        <v>#VALUE!</v>
      </c>
      <c r="CJ9" s="0" t="e">
        <f aca="false">Guillaume!H20+";7#!&gt;k"</f>
        <v>#VALUE!</v>
      </c>
      <c r="CK9" s="0" t="e">
        <f aca="false">Guillaume!I20+";7#!&gt;l"</f>
        <v>#VALUE!</v>
      </c>
      <c r="CL9" s="0" t="e">
        <f aca="false">Guillaume!J20+";7#!&gt;m"</f>
        <v>#VALUE!</v>
      </c>
      <c r="CM9" s="0" t="e">
        <f aca="false">Guillaume!K20+";7#!&gt;n"</f>
        <v>#VALUE!</v>
      </c>
      <c r="CN9" s="0" t="e">
        <f aca="false">Guillaume!L20+";7#!&gt;o"</f>
        <v>#VALUE!</v>
      </c>
      <c r="CO9" s="0" t="e">
        <f aca="false">Guillaume!M20+";7#!&gt;p"</f>
        <v>#VALUE!</v>
      </c>
      <c r="CP9" s="0" t="e">
        <f aca="false">Guillaume!N20+";7#!&gt;q"</f>
        <v>#VALUE!</v>
      </c>
      <c r="CQ9" s="0" t="e">
        <f aca="false">Guillaume!O20+";7#!&gt;r"</f>
        <v>#VALUE!</v>
      </c>
      <c r="CR9" s="0" t="e">
        <f aca="false">Guillaume!P20+";7#!&gt;s"</f>
        <v>#VALUE!</v>
      </c>
      <c r="CS9" s="0" t="e">
        <f aca="false">Guillaume!A21+";7#!&gt;t"</f>
        <v>#VALUE!</v>
      </c>
      <c r="CT9" s="0" t="e">
        <f aca="false">Guillaume!B21+";7#!&gt;u"</f>
        <v>#VALUE!</v>
      </c>
      <c r="CU9" s="0" t="e">
        <f aca="false">Guillaume!C21+";7#!&gt;v"</f>
        <v>#N/A</v>
      </c>
      <c r="CV9" s="0" t="e">
        <f aca="false">Guillaume!D21+";7#!&gt;w"</f>
        <v>#VALUE!</v>
      </c>
      <c r="CW9" s="0" t="e">
        <f aca="false">Guillaume!E21+";7#!&gt;x"</f>
        <v>#VALUE!</v>
      </c>
      <c r="CX9" s="0" t="e">
        <f aca="false">Guillaume!F21+";7#!&gt;y"</f>
        <v>#VALUE!</v>
      </c>
      <c r="CY9" s="0" t="e">
        <f aca="false">Guillaume!G21+";7#!&gt;z"</f>
        <v>#VALUE!</v>
      </c>
      <c r="CZ9" s="0" t="e">
        <f aca="false">Guillaume!H21+";7#!&gt;{"</f>
        <v>#VALUE!</v>
      </c>
      <c r="DA9" s="0" t="e">
        <f aca="false">Guillaume!I21+";7#!&gt;|"</f>
        <v>#VALUE!</v>
      </c>
      <c r="DB9" s="0" t="e">
        <f aca="false">Guillaume!J21+";7#!&gt;}"</f>
        <v>#VALUE!</v>
      </c>
      <c r="DC9" s="0" t="e">
        <f aca="false">Guillaume!K21+";7#!&gt;~"</f>
        <v>#VALUE!</v>
      </c>
      <c r="DD9" s="0" t="e">
        <f aca="false">Guillaume!L21+";7#!?#"</f>
        <v>#VALUE!</v>
      </c>
      <c r="DE9" s="0" t="e">
        <f aca="false">Guillaume!M21+";7#!?$"</f>
        <v>#VALUE!</v>
      </c>
      <c r="DF9" s="0" t="e">
        <f aca="false">Guillaume!N21+";7#!?%"</f>
        <v>#VALUE!</v>
      </c>
      <c r="DG9" s="0" t="e">
        <f aca="false">Guillaume!O21+";7#!?&amp;"</f>
        <v>#VALUE!</v>
      </c>
      <c r="DH9" s="0" t="e">
        <f aca="false">Guillaume!P21+";7#!?'"</f>
        <v>#VALUE!</v>
      </c>
      <c r="DI9" s="0" t="e">
        <f aca="false">Guillaume!A22+";7#!?("</f>
        <v>#VALUE!</v>
      </c>
      <c r="DJ9" s="0" t="e">
        <f aca="false">Guillaume!B22+";7#!?)"</f>
        <v>#VALUE!</v>
      </c>
      <c r="DK9" s="0" t="e">
        <f aca="false">Guillaume!C22+";7#!?."</f>
        <v>#N/A</v>
      </c>
      <c r="DL9" s="0" t="e">
        <f aca="false">Guillaume!D22+";7#!?/"</f>
        <v>#VALUE!</v>
      </c>
      <c r="DM9" s="0" t="e">
        <f aca="false">Guillaume!E22+";7#!?0"</f>
        <v>#VALUE!</v>
      </c>
      <c r="DN9" s="0" t="e">
        <f aca="false">Guillaume!F22+";7#!?1"</f>
        <v>#VALUE!</v>
      </c>
      <c r="DO9" s="0" t="e">
        <f aca="false">Guillaume!G22+";7#!?2"</f>
        <v>#VALUE!</v>
      </c>
      <c r="DP9" s="0" t="e">
        <f aca="false">Guillaume!H22+";7#!?3"</f>
        <v>#VALUE!</v>
      </c>
      <c r="DQ9" s="0" t="e">
        <f aca="false">Guillaume!I22+";7#!?4"</f>
        <v>#VALUE!</v>
      </c>
      <c r="DR9" s="0" t="e">
        <f aca="false">Guillaume!J22+";7#!?5"</f>
        <v>#VALUE!</v>
      </c>
      <c r="DS9" s="0" t="e">
        <f aca="false">Guillaume!K22+";7#!?6"</f>
        <v>#VALUE!</v>
      </c>
      <c r="DT9" s="0" t="e">
        <f aca="false">Guillaume!L22+";7#!?7"</f>
        <v>#VALUE!</v>
      </c>
      <c r="DU9" s="0" t="e">
        <f aca="false">Guillaume!M22+";7#!?8"</f>
        <v>#VALUE!</v>
      </c>
      <c r="DV9" s="0" t="e">
        <f aca="false">Guillaume!N22+";7#!?9"</f>
        <v>#VALUE!</v>
      </c>
      <c r="DW9" s="0" t="e">
        <f aca="false">Guillaume!O22+";7#!?:"</f>
        <v>#VALUE!</v>
      </c>
      <c r="DX9" s="0" t="e">
        <f aca="false">Guillaume!P22+";7#!?;"</f>
        <v>#VALUE!</v>
      </c>
      <c r="DY9" s="0" t="e">
        <f aca="false">Guillaume!A23+";7#!?&lt;"</f>
        <v>#VALUE!</v>
      </c>
      <c r="DZ9" s="0" t="e">
        <f aca="false">Guillaume!B23+";7#!?="</f>
        <v>#VALUE!</v>
      </c>
      <c r="EA9" s="0" t="e">
        <f aca="false">Guillaume!C23+";7#!?&gt;"</f>
        <v>#VALUE!</v>
      </c>
      <c r="EB9" s="35" t="e">
        <f aca="false">Guillaume!D23+";7#!??"</f>
        <v>#VALUE!</v>
      </c>
      <c r="EC9" s="35" t="e">
        <f aca="false">Guillaume!E23+";7#!?@"</f>
        <v>#VALUE!</v>
      </c>
      <c r="ED9" s="35" t="e">
        <f aca="false">Guillaume!F23+";7#!?A"</f>
        <v>#VALUE!</v>
      </c>
      <c r="EE9" s="35" t="e">
        <f aca="false">Guillaume!G23+";7#!?B"</f>
        <v>#VALUE!</v>
      </c>
      <c r="EF9" s="35" t="e">
        <f aca="false">Guillaume!H23+";7#!?C"</f>
        <v>#VALUE!</v>
      </c>
      <c r="EG9" s="35" t="e">
        <f aca="false">Guillaume!I23+";7#!?D"</f>
        <v>#VALUE!</v>
      </c>
      <c r="EH9" s="35" t="e">
        <f aca="false">Guillaume!J23+";7#!?E"</f>
        <v>#VALUE!</v>
      </c>
      <c r="EI9" s="35" t="e">
        <f aca="false">Guillaume!K23+";7#!?F"</f>
        <v>#VALUE!</v>
      </c>
      <c r="EJ9" s="35" t="e">
        <f aca="false">Guillaume!L23+";7#!?G"</f>
        <v>#VALUE!</v>
      </c>
      <c r="EK9" s="35" t="e">
        <f aca="false">Guillaume!M23+";7#!?H"</f>
        <v>#VALUE!</v>
      </c>
      <c r="EL9" s="35" t="e">
        <f aca="false">Guillaume!N23+";7#!?I"</f>
        <v>#VALUE!</v>
      </c>
      <c r="EM9" s="35" t="e">
        <f aca="false">Guillaume!O23+";7#!?J"</f>
        <v>#VALUE!</v>
      </c>
      <c r="EN9" s="35" t="e">
        <f aca="false">Guillaume!P23+";7#!?K"</f>
        <v>#VALUE!</v>
      </c>
      <c r="EO9" s="0" t="e">
        <f aca="false">Guillaume!A24+";7#!?L"</f>
        <v>#VALUE!</v>
      </c>
      <c r="EP9" s="0" t="e">
        <f aca="false">Guillaume!B24+";7#!?M"</f>
        <v>#VALUE!</v>
      </c>
      <c r="EQ9" s="0" t="e">
        <f aca="false">Guillaume!C24+";7#!?N"</f>
        <v>#VALUE!</v>
      </c>
      <c r="ER9" s="35" t="e">
        <f aca="false">Guillaume!D24+";7#!?O"</f>
        <v>#VALUE!</v>
      </c>
      <c r="ES9" s="35" t="e">
        <f aca="false">Guillaume!E24+";7#!?P"</f>
        <v>#VALUE!</v>
      </c>
      <c r="ET9" s="35" t="e">
        <f aca="false">Guillaume!F24+";7#!?Q"</f>
        <v>#VALUE!</v>
      </c>
      <c r="EU9" s="35" t="e">
        <f aca="false">Guillaume!G24+";7#!?R"</f>
        <v>#VALUE!</v>
      </c>
      <c r="EV9" s="35" t="e">
        <f aca="false">Guillaume!H24+";7#!?S"</f>
        <v>#VALUE!</v>
      </c>
      <c r="EW9" s="35" t="e">
        <f aca="false">Guillaume!I24+";7#!?T"</f>
        <v>#VALUE!</v>
      </c>
      <c r="EX9" s="35" t="e">
        <f aca="false">Guillaume!J24+";7#!?U"</f>
        <v>#VALUE!</v>
      </c>
      <c r="EY9" s="35" t="e">
        <f aca="false">Guillaume!K24+";7#!?V"</f>
        <v>#VALUE!</v>
      </c>
      <c r="EZ9" s="35" t="e">
        <f aca="false">Guillaume!L24+";7#!?W"</f>
        <v>#VALUE!</v>
      </c>
      <c r="FA9" s="35" t="e">
        <f aca="false">Guillaume!M24+";7#!?X"</f>
        <v>#VALUE!</v>
      </c>
      <c r="FB9" s="35" t="e">
        <f aca="false">Guillaume!N24+";7#!?Y"</f>
        <v>#VALUE!</v>
      </c>
      <c r="FC9" s="35" t="e">
        <f aca="false">Guillaume!O24+";7#!?Z"</f>
        <v>#VALUE!</v>
      </c>
      <c r="FD9" s="35" t="e">
        <f aca="false">Guillaume!P24+";7#!?["</f>
        <v>#VALUE!</v>
      </c>
      <c r="FE9" s="0" t="e">
        <f aca="false">Guillaume!A25+";7#!?\"</f>
        <v>#VALUE!</v>
      </c>
      <c r="FF9" s="0" t="e">
        <f aca="false">Guillaume!B25+";7#!?]"</f>
        <v>#VALUE!</v>
      </c>
      <c r="FG9" s="0" t="e">
        <f aca="false">Guillaume!C25+";7#!?^"</f>
        <v>#VALUE!</v>
      </c>
      <c r="FH9" s="35" t="e">
        <f aca="false">Guillaume!D25+";7#!?_"</f>
        <v>#VALUE!</v>
      </c>
      <c r="FI9" s="35" t="e">
        <f aca="false">Guillaume!E25+";7#!?`"</f>
        <v>#VALUE!</v>
      </c>
      <c r="FJ9" s="35" t="e">
        <f aca="false">Guillaume!F25+";7#!?a"</f>
        <v>#VALUE!</v>
      </c>
      <c r="FK9" s="35" t="e">
        <f aca="false">Guillaume!G25+";7#!?b"</f>
        <v>#VALUE!</v>
      </c>
      <c r="FL9" s="35" t="e">
        <f aca="false">Guillaume!H25+";7#!?c"</f>
        <v>#VALUE!</v>
      </c>
      <c r="FM9" s="35" t="e">
        <f aca="false">Guillaume!I25+";7#!?d"</f>
        <v>#VALUE!</v>
      </c>
      <c r="FN9" s="35" t="e">
        <f aca="false">Guillaume!J25+";7#!?e"</f>
        <v>#VALUE!</v>
      </c>
      <c r="FO9" s="35" t="e">
        <f aca="false">Guillaume!K25+";7#!?f"</f>
        <v>#VALUE!</v>
      </c>
      <c r="FP9" s="35" t="e">
        <f aca="false">Guillaume!L25+";7#!?g"</f>
        <v>#VALUE!</v>
      </c>
      <c r="FQ9" s="35" t="e">
        <f aca="false">Guillaume!M25+";7#!?h"</f>
        <v>#VALUE!</v>
      </c>
      <c r="FR9" s="35" t="e">
        <f aca="false">Guillaume!N25+";7#!?i"</f>
        <v>#VALUE!</v>
      </c>
      <c r="FS9" s="35" t="e">
        <f aca="false">Guillaume!O25+";7#!?j"</f>
        <v>#VALUE!</v>
      </c>
      <c r="FT9" s="35" t="e">
        <f aca="false">Guillaume!P25+";7#!?k"</f>
        <v>#VALUE!</v>
      </c>
      <c r="FU9" s="0" t="e">
        <f aca="false">Guillaume!A26+";7#!?l"</f>
        <v>#VALUE!</v>
      </c>
      <c r="FV9" s="0" t="e">
        <f aca="false">Guillaume!B26+";7#!?m"</f>
        <v>#VALUE!</v>
      </c>
      <c r="FW9" s="0" t="e">
        <f aca="false">Guillaume!C26+";7#!?n"</f>
        <v>#VALUE!</v>
      </c>
      <c r="FX9" s="36" t="e">
        <f aca="false">Guillaume!D26+";7#!?o"</f>
        <v>#VALUE!</v>
      </c>
      <c r="FY9" s="36" t="e">
        <f aca="false">Guillaume!E26+";7#!?p"</f>
        <v>#VALUE!</v>
      </c>
      <c r="FZ9" s="36" t="e">
        <f aca="false">Guillaume!F26+";7#!?q"</f>
        <v>#VALUE!</v>
      </c>
      <c r="GA9" s="36" t="e">
        <f aca="false">Guillaume!G26+";7#!?r"</f>
        <v>#VALUE!</v>
      </c>
      <c r="GB9" s="36" t="e">
        <f aca="false">Guillaume!H26+";7#!?s"</f>
        <v>#DIV/0!</v>
      </c>
      <c r="GC9" s="36" t="e">
        <f aca="false">Guillaume!I26+";7#!?t"</f>
        <v>#DIV/0!</v>
      </c>
      <c r="GD9" s="36" t="e">
        <f aca="false">Guillaume!J26+";7#!?u"</f>
        <v>#DIV/0!</v>
      </c>
      <c r="GE9" s="36" t="e">
        <f aca="false">Guillaume!K26+";7#!?v"</f>
        <v>#DIV/0!</v>
      </c>
      <c r="GF9" s="36" t="e">
        <f aca="false">Guillaume!L26+";7#!?w"</f>
        <v>#DIV/0!</v>
      </c>
      <c r="GG9" s="36" t="e">
        <f aca="false">Guillaume!M26+";7#!?x"</f>
        <v>#DIV/0!</v>
      </c>
      <c r="GH9" s="36" t="e">
        <f aca="false">Guillaume!N26+";7#!?y"</f>
        <v>#DIV/0!</v>
      </c>
      <c r="GI9" s="36" t="e">
        <f aca="false">Guillaume!O26+";7#!?z"</f>
        <v>#DIV/0!</v>
      </c>
      <c r="GJ9" s="36" t="e">
        <f aca="false">Guillaume!P26+";7#!?{"</f>
        <v>#VALUE!</v>
      </c>
      <c r="GK9" s="0" t="e">
        <f aca="false">Lishoy!A:A*";7#!?|"</f>
        <v>#VALUE!</v>
      </c>
      <c r="GL9" s="0" t="e">
        <f aca="false">Lishoy!B:B*";7#!?}"</f>
        <v>#VALUE!</v>
      </c>
      <c r="GM9" s="0" t="e">
        <f aca="false">Lishoy!C:C*";7#!?~"</f>
        <v>#VALUE!</v>
      </c>
      <c r="GN9" s="0" t="e">
        <f aca="false">Lishoy!D:D*";7#!@#"</f>
        <v>#VALUE!</v>
      </c>
      <c r="GO9" s="0" t="e">
        <f aca="false">Lishoy!E:E*";7#!@$"</f>
        <v>#VALUE!</v>
      </c>
      <c r="GP9" s="0" t="e">
        <f aca="false">Lishoy!F:F*";7#!@%"</f>
        <v>#VALUE!</v>
      </c>
      <c r="GQ9" s="0" t="e">
        <f aca="false">Lishoy!G:G*";7#!@&amp;"</f>
        <v>#VALUE!</v>
      </c>
      <c r="GR9" s="0" t="e">
        <f aca="false">Lishoy!H:H*";7#!@'"</f>
        <v>#VALUE!</v>
      </c>
      <c r="GS9" s="0" t="e">
        <f aca="false">Lishoy!I:I*";7#!@("</f>
        <v>#VALUE!</v>
      </c>
      <c r="GT9" s="0" t="e">
        <f aca="false">Lishoy!J:J*";7#!@)"</f>
        <v>#VALUE!</v>
      </c>
      <c r="GU9" s="0" t="e">
        <f aca="false">Lishoy!K:K*";7#!@."</f>
        <v>#VALUE!</v>
      </c>
      <c r="GV9" s="0" t="e">
        <f aca="false">Lishoy!L:L*";7#!@/"</f>
        <v>#VALUE!</v>
      </c>
      <c r="GW9" s="0" t="e">
        <f aca="false">Lishoy!M:M*";7#!@0"</f>
        <v>#VALUE!</v>
      </c>
      <c r="GX9" s="0" t="e">
        <f aca="false">Lishoy!N:N*";7#!@1"</f>
        <v>#VALUE!</v>
      </c>
      <c r="GY9" s="0" t="e">
        <f aca="false">Lishoy!O:O*";7#!@2"</f>
        <v>#VALUE!</v>
      </c>
      <c r="GZ9" s="0" t="e">
        <f aca="false">Lishoy!P:P*";7#!@3"</f>
        <v>#VALUE!</v>
      </c>
      <c r="HA9" s="0" t="e">
        <f aca="false">Lishoy!Q:Q*";7#!@4"</f>
        <v>#VALUE!</v>
      </c>
      <c r="HB9" s="0" t="e">
        <f aca="false">Lishoy!R:R*";7#!@5"</f>
        <v>#VALUE!</v>
      </c>
      <c r="HC9" s="0" t="e">
        <f aca="false">Lishoy!S:S*";7#!@6"</f>
        <v>#VALUE!</v>
      </c>
      <c r="HD9" s="0" t="e">
        <f aca="false">Lishoy!T:T*";7#!@7"</f>
        <v>#VALUE!</v>
      </c>
      <c r="HE9" s="0" t="e">
        <f aca="false">Lishoy!U:U*";7#!@8"</f>
        <v>#VALUE!</v>
      </c>
      <c r="HF9" s="0" t="e">
        <f aca="false">Lishoy!V:V*";7#!@9"</f>
        <v>#VALUE!</v>
      </c>
      <c r="HG9" s="0" t="e">
        <f aca="false">Lishoy!W:W*";7#!@:"</f>
        <v>#VALUE!</v>
      </c>
      <c r="HH9" s="0" t="e">
        <f aca="false">Lishoy!X:X*";7#!@;"</f>
        <v>#VALUE!</v>
      </c>
      <c r="HI9" s="0" t="e">
        <f aca="false">Lishoy!Y:Y*";7#!@&lt;"</f>
        <v>#VALUE!</v>
      </c>
      <c r="HJ9" s="0" t="e">
        <f aca="false">Lishoy!Z:Z*";7#!@="</f>
        <v>#VALUE!</v>
      </c>
      <c r="HK9" s="0" t="e">
        <f aca="false">Lishoy!AA:AA*";7#!@&gt;"</f>
        <v>#VALUE!</v>
      </c>
      <c r="HL9" s="0" t="e">
        <f aca="false">Lishoy!AB:AB*";7#!@?"</f>
        <v>#VALUE!</v>
      </c>
      <c r="HM9" s="0" t="e">
        <f aca="false">Lishoy!AC:AC*";7#!@@"</f>
        <v>#VALUE!</v>
      </c>
      <c r="HN9" s="0" t="e">
        <f aca="false">Lishoy!AD:AD*";7#!@A"</f>
        <v>#VALUE!</v>
      </c>
      <c r="HO9" s="0" t="e">
        <f aca="false">Lishoy!AE:AE*";7#!@B"</f>
        <v>#VALUE!</v>
      </c>
      <c r="HP9" s="0" t="e">
        <f aca="false">Lishoy!AF:AF*";7#!@C"</f>
        <v>#VALUE!</v>
      </c>
      <c r="HQ9" s="0" t="e">
        <f aca="false">Lishoy!AG:AG*";7#!@D"</f>
        <v>#VALUE!</v>
      </c>
      <c r="HR9" s="0" t="e">
        <f aca="false">Lishoy!AH:AH*";7#!@E"</f>
        <v>#VALUE!</v>
      </c>
      <c r="HS9" s="0" t="e">
        <f aca="false">Lishoy!AI:AI*";7#!@F"</f>
        <v>#VALUE!</v>
      </c>
      <c r="HT9" s="0" t="e">
        <f aca="false">Lishoy!AJ:AJ*";7#!@G"</f>
        <v>#VALUE!</v>
      </c>
      <c r="HU9" s="0" t="e">
        <f aca="false">Lishoy!AK:AK*";7#!@H"</f>
        <v>#VALUE!</v>
      </c>
      <c r="HV9" s="0" t="e">
        <f aca="false">Lishoy!AL:AL*";7#!@I"</f>
        <v>#VALUE!</v>
      </c>
      <c r="HW9" s="0" t="e">
        <f aca="false">Lishoy!AM:AM*";7#!@J"</f>
        <v>#VALUE!</v>
      </c>
      <c r="HX9" s="0" t="e">
        <f aca="false">Lishoy!AN:AN*";7#!@K"</f>
        <v>#VALUE!</v>
      </c>
      <c r="HY9" s="0" t="e">
        <f aca="false">Lishoy!AO:AO*";7#!@L"</f>
        <v>#VALUE!</v>
      </c>
      <c r="HZ9" s="0" t="e">
        <f aca="false">Lishoy!AP:AP*";7#!@M"</f>
        <v>#VALUE!</v>
      </c>
      <c r="IA9" s="0" t="e">
        <f aca="false">Lishoy!AQ:AQ*";7#!@N"</f>
        <v>#VALUE!</v>
      </c>
      <c r="IB9" s="0" t="e">
        <f aca="false">Lishoy!AR:AR*";7#!@O"</f>
        <v>#VALUE!</v>
      </c>
      <c r="IC9" s="0" t="e">
        <f aca="false">Lishoy!AS:AS*";7#!@P"</f>
        <v>#VALUE!</v>
      </c>
      <c r="ID9" s="0" t="e">
        <f aca="false">Lishoy!AT:AT*";7#!@Q"</f>
        <v>#VALUE!</v>
      </c>
      <c r="IE9" s="0" t="e">
        <f aca="false">Lishoy!AU:AU*";7#!@R"</f>
        <v>#VALUE!</v>
      </c>
      <c r="IF9" s="0" t="e">
        <f aca="false">Lishoy!AV:AV*";7#!@S"</f>
        <v>#VALUE!</v>
      </c>
      <c r="IG9" s="0" t="e">
        <f aca="false">Lishoy!AW:AW*";7#!@T"</f>
        <v>#VALUE!</v>
      </c>
      <c r="IH9" s="0" t="e">
        <f aca="false">Lishoy!AX:AX*";7#!@U"</f>
        <v>#VALUE!</v>
      </c>
      <c r="II9" s="0" t="e">
        <f aca="false">Lishoy!AY:AY*";7#!@V"</f>
        <v>#VALUE!</v>
      </c>
      <c r="IJ9" s="0" t="e">
        <f aca="false">Lishoy!AZ:AZ*";7#!@W"</f>
        <v>#VALUE!</v>
      </c>
      <c r="IK9" s="0" t="e">
        <f aca="false">Lishoy!BA:BA*";7#!@X"</f>
        <v>#VALUE!</v>
      </c>
      <c r="IL9" s="0" t="e">
        <f aca="false">Lishoy!BB:BB*";7#!@Y"</f>
        <v>#VALUE!</v>
      </c>
      <c r="IM9" s="0" t="e">
        <f aca="false">Lishoy!BC:BC*";7#!@Z"</f>
        <v>#VALUE!</v>
      </c>
      <c r="IN9" s="0" t="e">
        <f aca="false">Lishoy!BD:BD*";7#!@["</f>
        <v>#VALUE!</v>
      </c>
      <c r="IO9" s="0" t="e">
        <f aca="false">Lishoy!BE:BE*";7#!@\"</f>
        <v>#VALUE!</v>
      </c>
      <c r="IP9" s="0" t="e">
        <f aca="false">Lishoy!BF:BF*";7#!@]"</f>
        <v>#VALUE!</v>
      </c>
      <c r="IQ9" s="0" t="e">
        <f aca="false">Lishoy!BG:BG*";7#!@^"</f>
        <v>#VALUE!</v>
      </c>
      <c r="IR9" s="0" t="e">
        <f aca="false">Lishoy!BH:BH*";7#!@_"</f>
        <v>#VALUE!</v>
      </c>
      <c r="IS9" s="0" t="e">
        <f aca="false">Lishoy!BI:BI*";7#!@`"</f>
        <v>#VALUE!</v>
      </c>
      <c r="IT9" s="0" t="e">
        <f aca="false">Lishoy!BJ:BJ*";7#!@a"</f>
        <v>#VALUE!</v>
      </c>
      <c r="IU9" s="0" t="e">
        <f aca="false">Lishoy!BK:BK*";7#!@b"</f>
        <v>#VALUE!</v>
      </c>
      <c r="IV9" s="0" t="e">
        <f aca="false">Lishoy!BL:BL*";7#!@c"</f>
        <v>#VALUE!</v>
      </c>
    </row>
    <row r="10" customFormat="false" ht="15" hidden="false" customHeight="false" outlineLevel="0" collapsed="false">
      <c r="F10" s="0" t="e">
        <f aca="false">Lishoy!BM:BM*";7#!@d"</f>
        <v>#VALUE!</v>
      </c>
      <c r="G10" s="0" t="e">
        <f aca="false">Lishoy!BN:BN*";7#!@e"</f>
        <v>#VALUE!</v>
      </c>
      <c r="H10" s="0" t="e">
        <f aca="false">Lishoy!BO:BO*";7#!@f"</f>
        <v>#VALUE!</v>
      </c>
      <c r="I10" s="0" t="e">
        <f aca="false">Lishoy!BP:BP*";7#!@g"</f>
        <v>#VALUE!</v>
      </c>
      <c r="J10" s="0" t="e">
        <f aca="false">Lishoy!BQ:BQ*";7#!@h"</f>
        <v>#VALUE!</v>
      </c>
      <c r="K10" s="0" t="e">
        <f aca="false">Lishoy!BR:BR*";7#!@i"</f>
        <v>#VALUE!</v>
      </c>
      <c r="L10" s="0" t="e">
        <f aca="false">Lishoy!BS:BS*";7#!@j"</f>
        <v>#VALUE!</v>
      </c>
      <c r="M10" s="0" t="e">
        <f aca="false">Lishoy!BT:BT*";7#!@k"</f>
        <v>#VALUE!</v>
      </c>
      <c r="N10" s="0" t="e">
        <f aca="false">Lishoy!BU:BU*";7#!@l"</f>
        <v>#VALUE!</v>
      </c>
      <c r="O10" s="0" t="e">
        <f aca="false">Lishoy!BV:BV*";7#!@m"</f>
        <v>#VALUE!</v>
      </c>
      <c r="P10" s="0" t="e">
        <f aca="false">Lishoy!BW:BW*";7#!@n"</f>
        <v>#VALUE!</v>
      </c>
      <c r="Q10" s="0" t="e">
        <f aca="false">Lishoy!BX:BX*";7#!@o"</f>
        <v>#VALUE!</v>
      </c>
      <c r="R10" s="0" t="e">
        <f aca="false">Lishoy!BY:BY*";7#!@p"</f>
        <v>#VALUE!</v>
      </c>
      <c r="S10" s="0" t="e">
        <f aca="false">Lishoy!BZ:BZ*";7#!@q"</f>
        <v>#VALUE!</v>
      </c>
      <c r="T10" s="0" t="e">
        <f aca="false">Lishoy!CA:CA*";7#!@r"</f>
        <v>#VALUE!</v>
      </c>
      <c r="U10" s="0" t="e">
        <f aca="false">Lishoy!CB:CB*";7#!@s"</f>
        <v>#VALUE!</v>
      </c>
      <c r="V10" s="0" t="e">
        <f aca="false">Lishoy!CC:CC*";7#!@t"</f>
        <v>#VALUE!</v>
      </c>
      <c r="W10" s="0" t="e">
        <f aca="false">Lishoy!1:1-";7#!@u"</f>
        <v>#VALUE!</v>
      </c>
      <c r="X10" s="0" t="e">
        <f aca="false">Lishoy!2:2-";7#!@v"</f>
        <v>#VALUE!</v>
      </c>
      <c r="Y10" s="0" t="e">
        <f aca="false">Lishoy!3:3-";7#!@w"</f>
        <v>#VALUE!</v>
      </c>
      <c r="Z10" s="0" t="e">
        <f aca="false">Lishoy!4:4-";7#!@x"</f>
        <v>#VALUE!</v>
      </c>
      <c r="AA10" s="0" t="e">
        <f aca="false">Lishoy!5:5-";7#!@y"</f>
        <v>#VALUE!</v>
      </c>
      <c r="AB10" s="0" t="e">
        <f aca="false">Lishoy!6:6-";7#!@z"</f>
        <v>#VALUE!</v>
      </c>
      <c r="AC10" s="0" t="e">
        <f aca="false">Lishoy!7:7-";7#!@{"</f>
        <v>#VALUE!</v>
      </c>
      <c r="AD10" s="0" t="e">
        <f aca="false">Lishoy!8:8-";7#!@|"</f>
        <v>#VALUE!</v>
      </c>
      <c r="AE10" s="0" t="e">
        <f aca="false">Lishoy!9:9-";7#!@}"</f>
        <v>#VALUE!</v>
      </c>
      <c r="AF10" s="0" t="e">
        <f aca="false">Lishoy!10:10-";7#!@~"</f>
        <v>#VALUE!</v>
      </c>
      <c r="AG10" s="0" t="e">
        <f aca="false">Lishoy!11:11-";7#!A#"</f>
        <v>#VALUE!</v>
      </c>
      <c r="AH10" s="0" t="e">
        <f aca="false">Lishoy!12:12-";7#!A$"</f>
        <v>#VALUE!</v>
      </c>
      <c r="AI10" s="0" t="e">
        <f aca="false">Lishoy!13:13-";7#!A%"</f>
        <v>#VALUE!</v>
      </c>
      <c r="AJ10" s="0" t="e">
        <f aca="false">Lishoy!14:14-";7#!A&amp;"</f>
        <v>#VALUE!</v>
      </c>
      <c r="AK10" s="0" t="e">
        <f aca="false">Lishoy!15:15-";7#!A'"</f>
        <v>#VALUE!</v>
      </c>
      <c r="AL10" s="0" t="e">
        <f aca="false">Lishoy!16:16-";7#!A("</f>
        <v>#VALUE!</v>
      </c>
      <c r="AM10" s="0" t="e">
        <f aca="false">Lishoy!17:17-";7#!A)"</f>
        <v>#VALUE!</v>
      </c>
      <c r="AN10" s="0" t="e">
        <f aca="false">Lishoy!18:18-";7#!A."</f>
        <v>#VALUE!</v>
      </c>
      <c r="AO10" s="0" t="e">
        <f aca="false">Lishoy!19:19-";7#!A/"</f>
        <v>#VALUE!</v>
      </c>
      <c r="AP10" s="0" t="e">
        <f aca="false">Lishoy!20:20-";7#!A0"</f>
        <v>#VALUE!</v>
      </c>
      <c r="AQ10" s="0" t="e">
        <f aca="false">Lishoy!21:21-";7#!A1"</f>
        <v>#VALUE!</v>
      </c>
      <c r="AR10" s="0" t="e">
        <f aca="false">Lishoy!22:22-";7#!A2"</f>
        <v>#VALUE!</v>
      </c>
      <c r="AS10" s="0" t="e">
        <f aca="false">Lishoy!23:23-";7#!A3"</f>
        <v>#VALUE!</v>
      </c>
      <c r="AT10" s="0" t="e">
        <f aca="false">Lishoy!24:24-";7#!A4"</f>
        <v>#VALUE!</v>
      </c>
      <c r="AU10" s="0" t="e">
        <f aca="false">Lishoy!25:25-";7#!A5"</f>
        <v>#VALUE!</v>
      </c>
      <c r="AV10" s="0" t="e">
        <f aca="false">Lishoy!26:26-";7#!A6"</f>
        <v>#VALUE!</v>
      </c>
      <c r="AW10" s="0" t="e">
        <f aca="false">Lishoy!27:27-";7#!A7"</f>
        <v>#VALUE!</v>
      </c>
      <c r="AX10" s="0" t="e">
        <f aca="false">Lishoy!28:28-";7#!A8"</f>
        <v>#VALUE!</v>
      </c>
      <c r="AY10" s="0" t="e">
        <f aca="false">Lishoy!29:29-";7#!A9"</f>
        <v>#VALUE!</v>
      </c>
      <c r="AZ10" s="0" t="e">
        <f aca="false">Lishoy!30:30-";7#!A:"</f>
        <v>#VALUE!</v>
      </c>
      <c r="BA10" s="0" t="e">
        <f aca="false">Lishoy!31:31-";7#!A;"</f>
        <v>#VALUE!</v>
      </c>
      <c r="BB10" s="0" t="e">
        <f aca="false">Lishoy!32:32-";7#!A&lt;"</f>
        <v>#VALUE!</v>
      </c>
      <c r="BC10" s="0" t="e">
        <f aca="false">Lishoy!33:33-";7#!A="</f>
        <v>#VALUE!</v>
      </c>
      <c r="BD10" s="0" t="e">
        <f aca="false">Lishoy!34:34-";7#!A&gt;"</f>
        <v>#VALUE!</v>
      </c>
      <c r="BE10" s="0" t="e">
        <f aca="false">Lishoy!35:35-";7#!A?"</f>
        <v>#VALUE!</v>
      </c>
      <c r="BF10" s="0" t="e">
        <f aca="false">Lishoy!36:36-";7#!A@"</f>
        <v>#VALUE!</v>
      </c>
      <c r="BG10" s="0" t="e">
        <f aca="false">Lishoy!37:37-";7#!AA"</f>
        <v>#VALUE!</v>
      </c>
      <c r="BH10" s="0" t="e">
        <f aca="false">Lishoy!38:38-";7#!AB"</f>
        <v>#VALUE!</v>
      </c>
      <c r="BI10" s="0" t="e">
        <f aca="false">Lishoy!39:39-";7#!AC"</f>
        <v>#VALUE!</v>
      </c>
      <c r="BJ10" s="0" t="e">
        <f aca="false">Lishoy!40:40-";7#!AD"</f>
        <v>#VALUE!</v>
      </c>
      <c r="BK10" s="0" t="e">
        <f aca="false">Lishoy!41:41-";7#!AE"</f>
        <v>#VALUE!</v>
      </c>
      <c r="BL10" s="0" t="e">
        <f aca="false">Lishoy!42:42-";7#!AF"</f>
        <v>#VALUE!</v>
      </c>
      <c r="BM10" s="0" t="e">
        <f aca="false">Lishoy!43:43-";7#!AG"</f>
        <v>#VALUE!</v>
      </c>
      <c r="BN10" s="0" t="e">
        <f aca="false">Lishoy!44:44-";7#!AH"</f>
        <v>#VALUE!</v>
      </c>
      <c r="BO10" s="0" t="e">
        <f aca="false">Lishoy!45:45-";7#!AI"</f>
        <v>#VALUE!</v>
      </c>
      <c r="BP10" s="0" t="e">
        <f aca="false">Lishoy!46:46-";7#!AJ"</f>
        <v>#VALUE!</v>
      </c>
      <c r="BQ10" s="0" t="e">
        <f aca="false">Lishoy!47:47-";7#!AK"</f>
        <v>#VALUE!</v>
      </c>
      <c r="BR10" s="0" t="e">
        <f aca="false">Lishoy!48:48-";7#!AL"</f>
        <v>#VALUE!</v>
      </c>
      <c r="BS10" s="0" t="e">
        <f aca="false">Lishoy!49:49-";7#!AM"</f>
        <v>#VALUE!</v>
      </c>
      <c r="BT10" s="0" t="e">
        <f aca="false">Lishoy!50:50-";7#!AN"</f>
        <v>#VALUE!</v>
      </c>
      <c r="BU10" s="0" t="e">
        <f aca="false">Lishoy!51:51-";7#!AO"</f>
        <v>#VALUE!</v>
      </c>
      <c r="BV10" s="0" t="e">
        <f aca="false">Lishoy!52:52-";7#!AP"</f>
        <v>#VALUE!</v>
      </c>
      <c r="BW10" s="0" t="e">
        <f aca="false">Lishoy!53:53-";7#!AQ"</f>
        <v>#VALUE!</v>
      </c>
      <c r="BX10" s="0" t="e">
        <f aca="false">Lishoy!54:54-";7#!AR"</f>
        <v>#VALUE!</v>
      </c>
      <c r="BY10" s="0" t="e">
        <f aca="false">Lishoy!55:55-";7#!AS"</f>
        <v>#VALUE!</v>
      </c>
      <c r="BZ10" s="0" t="e">
        <f aca="false">Lishoy!56:56-";7#!AT"</f>
        <v>#VALUE!</v>
      </c>
      <c r="CA10" s="0" t="e">
        <f aca="false">Lishoy!57:57-";7#!AU"</f>
        <v>#VALUE!</v>
      </c>
      <c r="CB10" s="0" t="e">
        <f aca="false">Lishoy!58:58-";7#!AV"</f>
        <v>#VALUE!</v>
      </c>
      <c r="CC10" s="0" t="e">
        <f aca="false">Lishoy!59:59-";7#!AW"</f>
        <v>#VALUE!</v>
      </c>
      <c r="CD10" s="0" t="e">
        <f aca="false">Lishoy!60:60-";7#!AX"</f>
        <v>#VALUE!</v>
      </c>
      <c r="CE10" s="0" t="e">
        <f aca="false">Lishoy!61:61-";7#!AY"</f>
        <v>#VALUE!</v>
      </c>
      <c r="CF10" s="0" t="e">
        <f aca="false">Lishoy!62:62-";7#!AZ"</f>
        <v>#VALUE!</v>
      </c>
      <c r="CG10" s="0" t="e">
        <f aca="false">Lishoy!63:63-";7#!A["</f>
        <v>#VALUE!</v>
      </c>
      <c r="CH10" s="0" t="e">
        <f aca="false">Lishoy!64:64-";7#!A\"</f>
        <v>#VALUE!</v>
      </c>
      <c r="CI10" s="0" t="e">
        <f aca="false">Lishoy!65:65-";7#!A]"</f>
        <v>#VALUE!</v>
      </c>
      <c r="CJ10" s="0" t="e">
        <f aca="false">Lishoy!66:66-";7#!A^"</f>
        <v>#VALUE!</v>
      </c>
      <c r="CK10" s="0" t="e">
        <f aca="false">Lishoy!67:67-";7#!A_"</f>
        <v>#VALUE!</v>
      </c>
      <c r="CL10" s="0" t="e">
        <f aca="false">Lishoy!68:68-";7#!A`"</f>
        <v>#VALUE!</v>
      </c>
      <c r="CM10" s="0" t="e">
        <f aca="false">Lishoy!69:69-";7#!Aa"</f>
        <v>#VALUE!</v>
      </c>
      <c r="CN10" s="0" t="e">
        <f aca="false">Lishoy!70:70-";7#!Ab"</f>
        <v>#VALUE!</v>
      </c>
      <c r="CO10" s="0" t="e">
        <f aca="false">Lishoy!71:71-";7#!Ac"</f>
        <v>#VALUE!</v>
      </c>
      <c r="CP10" s="0" t="e">
        <f aca="false">Lishoy!72:72-";7#!Ad"</f>
        <v>#VALUE!</v>
      </c>
      <c r="CQ10" s="0" t="e">
        <f aca="false">Lishoy!73:73-";7#!Ae"</f>
        <v>#VALUE!</v>
      </c>
      <c r="CR10" s="0" t="e">
        <f aca="false">Lishoy!74:74-";7#!Af"</f>
        <v>#VALUE!</v>
      </c>
      <c r="CS10" s="0" t="e">
        <f aca="false">Lishoy!75:75-";7#!Ag"</f>
        <v>#VALUE!</v>
      </c>
      <c r="CT10" s="0" t="e">
        <f aca="false">Lishoy!76:76-";7#!Ah"</f>
        <v>#VALUE!</v>
      </c>
      <c r="CU10" s="0" t="e">
        <f aca="false">Lishoy!77:77-";7#!Ai"</f>
        <v>#VALUE!</v>
      </c>
      <c r="CV10" s="0" t="e">
        <f aca="false">Lishoy!78:78-";7#!Aj"</f>
        <v>#VALUE!</v>
      </c>
      <c r="CW10" s="0" t="e">
        <f aca="false">Lishoy!79:79-";7#!Ak"</f>
        <v>#VALUE!</v>
      </c>
      <c r="CX10" s="0" t="e">
        <f aca="false">Lishoy!80:80-";7#!Al"</f>
        <v>#VALUE!</v>
      </c>
      <c r="CY10" s="0" t="e">
        <f aca="false">Lishoy!81:81-";7#!Am"</f>
        <v>#VALUE!</v>
      </c>
      <c r="CZ10" s="0" t="e">
        <f aca="false">Lishoy!82:82-";7#!An"</f>
        <v>#VALUE!</v>
      </c>
      <c r="DA10" s="0" t="e">
        <f aca="false">Lishoy!83:83-";7#!Ao"</f>
        <v>#VALUE!</v>
      </c>
      <c r="DB10" s="0" t="e">
        <f aca="false">Lishoy!84:84-";7#!Ap"</f>
        <v>#VALUE!</v>
      </c>
      <c r="DC10" s="0" t="e">
        <f aca="false">Lishoy!85:85-";7#!Aq"</f>
        <v>#VALUE!</v>
      </c>
      <c r="DD10" s="0" t="e">
        <f aca="false">Lishoy!86:86-";7#!Ar"</f>
        <v>#VALUE!</v>
      </c>
      <c r="DE10" s="0" t="e">
        <f aca="false">Lishoy!87:87-";7#!As"</f>
        <v>#VALUE!</v>
      </c>
      <c r="DF10" s="0" t="e">
        <f aca="false">Lishoy!88:88-";7#!At"</f>
        <v>#VALUE!</v>
      </c>
      <c r="DG10" s="0" t="e">
        <f aca="false">Lishoy!89:89-";7#!Au"</f>
        <v>#VALUE!</v>
      </c>
      <c r="DH10" s="0" t="e">
        <f aca="false">Lishoy!90:90-";7#!Av"</f>
        <v>#VALUE!</v>
      </c>
      <c r="DI10" s="0" t="e">
        <f aca="false">Lishoy!91:91-";7#!Aw"</f>
        <v>#VALUE!</v>
      </c>
      <c r="DJ10" s="0" t="e">
        <f aca="false">Lishoy!92:92-";7#!Ax"</f>
        <v>#VALUE!</v>
      </c>
      <c r="DK10" s="0" t="e">
        <f aca="false">Lishoy!93:93-";7#!Ay"</f>
        <v>#VALUE!</v>
      </c>
      <c r="DL10" s="0" t="e">
        <f aca="false">Lishoy!94:94-";7#!Az"</f>
        <v>#VALUE!</v>
      </c>
      <c r="DM10" s="0" t="e">
        <f aca="false">Lishoy!95:95-";7#!A{"</f>
        <v>#VALUE!</v>
      </c>
      <c r="DN10" s="0" t="e">
        <f aca="false">Lishoy!96:96-";7#!A|"</f>
        <v>#VALUE!</v>
      </c>
      <c r="DO10" s="0" t="e">
        <f aca="false">Lishoy!97:97-";7#!A}"</f>
        <v>#VALUE!</v>
      </c>
      <c r="DP10" s="0" t="e">
        <f aca="false">Lishoy!98:98-";7#!A~"</f>
        <v>#VALUE!</v>
      </c>
      <c r="DQ10" s="0" t="e">
        <f aca="false">Lishoy!99:99-";7#!B#"</f>
        <v>#VALUE!</v>
      </c>
      <c r="DR10" s="0" t="e">
        <f aca="false">Lishoy!100:100-";7#!B$"</f>
        <v>#VALUE!</v>
      </c>
      <c r="DS10" s="0" t="e">
        <f aca="false">Lishoy!101:101-";7#!B%"</f>
        <v>#VALUE!</v>
      </c>
      <c r="DT10" s="0" t="e">
        <f aca="false">Lishoy!102:102-";7#!B&amp;"</f>
        <v>#VALUE!</v>
      </c>
      <c r="DU10" s="0" t="e">
        <f aca="false">Lishoy!103:103-";7#!B'"</f>
        <v>#VALUE!</v>
      </c>
      <c r="DV10" s="0" t="e">
        <f aca="false">Lishoy!104:104-";7#!B("</f>
        <v>#VALUE!</v>
      </c>
      <c r="DW10" s="0" t="e">
        <f aca="false">Lishoy!105:105-";7#!B)"</f>
        <v>#VALUE!</v>
      </c>
      <c r="DX10" s="0" t="e">
        <f aca="false">Lishoy!106:106-";7#!B."</f>
        <v>#VALUE!</v>
      </c>
      <c r="DY10" s="0" t="e">
        <f aca="false">Lishoy!107:107-";7#!B/"</f>
        <v>#VALUE!</v>
      </c>
      <c r="DZ10" s="0" t="e">
        <f aca="false">Lishoy!108:108-";7#!B0"</f>
        <v>#VALUE!</v>
      </c>
      <c r="EA10" s="0" t="e">
        <f aca="false">Lishoy!109:109-";7#!B1"</f>
        <v>#VALUE!</v>
      </c>
      <c r="EB10" s="0" t="e">
        <f aca="false">Lishoy!110:110-";7#!B2"</f>
        <v>#VALUE!</v>
      </c>
      <c r="EC10" s="0" t="e">
        <f aca="false">Lishoy!111:111-";7#!B3"</f>
        <v>#VALUE!</v>
      </c>
      <c r="ED10" s="0" t="e">
        <f aca="false">Lishoy!112:112-";7#!B4"</f>
        <v>#VALUE!</v>
      </c>
      <c r="EE10" s="0" t="e">
        <f aca="false">Lishoy!113:113-";7#!B5"</f>
        <v>#VALUE!</v>
      </c>
      <c r="EF10" s="0" t="e">
        <f aca="false">Lishoy!114:114-";7#!B6"</f>
        <v>#VALUE!</v>
      </c>
      <c r="EG10" s="0" t="e">
        <f aca="false">Lishoy!115:115-";7#!B7"</f>
        <v>#VALUE!</v>
      </c>
      <c r="EH10" s="0" t="e">
        <f aca="false">Lishoy!116:116-";7#!B8"</f>
        <v>#VALUE!</v>
      </c>
      <c r="EI10" s="0" t="e">
        <f aca="false">Lishoy!117:117-";7#!B9"</f>
        <v>#VALUE!</v>
      </c>
      <c r="EJ10" s="0" t="e">
        <f aca="false">Lishoy!118:118-";7#!B:"</f>
        <v>#VALUE!</v>
      </c>
      <c r="EK10" s="0" t="e">
        <f aca="false">Lishoy!119:119-";7#!B;"</f>
        <v>#VALUE!</v>
      </c>
      <c r="EL10" s="0" t="e">
        <f aca="false">Lishoy!120:120-";7#!B&lt;"</f>
        <v>#VALUE!</v>
      </c>
      <c r="EM10" s="0" t="e">
        <f aca="false">Lishoy!121:121-";7#!B="</f>
        <v>#VALUE!</v>
      </c>
      <c r="EN10" s="0" t="e">
        <f aca="false">Lishoy!122:122-";7#!B&gt;"</f>
        <v>#VALUE!</v>
      </c>
      <c r="EO10" s="0" t="e">
        <f aca="false">Lishoy!123:123-";7#!B?"</f>
        <v>#VALUE!</v>
      </c>
      <c r="EP10" s="0" t="e">
        <f aca="false">Lishoy!124:124-";7#!B@"</f>
        <v>#VALUE!</v>
      </c>
      <c r="EQ10" s="0" t="e">
        <f aca="false">Lishoy!125:125-";7#!BA"</f>
        <v>#VALUE!</v>
      </c>
      <c r="ER10" s="0" t="e">
        <f aca="false">Lishoy!126:126-";7#!BB"</f>
        <v>#VALUE!</v>
      </c>
      <c r="ES10" s="0" t="e">
        <f aca="false">Lishoy!127:127-";7#!BC"</f>
        <v>#VALUE!</v>
      </c>
      <c r="ET10" s="0" t="e">
        <f aca="false">Lishoy!128:128-";7#!BD"</f>
        <v>#VALUE!</v>
      </c>
      <c r="EU10" s="0" t="e">
        <f aca="false">Lishoy!129:129-";7#!BE"</f>
        <v>#VALUE!</v>
      </c>
      <c r="EV10" s="0" t="e">
        <f aca="false">Lishoy!130:130-";7#!BF"</f>
        <v>#VALUE!</v>
      </c>
      <c r="EW10" s="0" t="e">
        <f aca="false">Lishoy!131:131-";7#!BG"</f>
        <v>#VALUE!</v>
      </c>
      <c r="EX10" s="0" t="e">
        <f aca="false">Lishoy!132:132-";7#!BH"</f>
        <v>#VALUE!</v>
      </c>
      <c r="EY10" s="0" t="e">
        <f aca="false">Lishoy!133:133-";7#!BI"</f>
        <v>#VALUE!</v>
      </c>
      <c r="EZ10" s="0" t="e">
        <f aca="false">Lishoy!134:134-";7#!BJ"</f>
        <v>#VALUE!</v>
      </c>
      <c r="FA10" s="0" t="e">
        <f aca="false">Lishoy!135:135-";7#!BK"</f>
        <v>#VALUE!</v>
      </c>
      <c r="FB10" s="0" t="e">
        <f aca="false">Lishoy!136:136-";7#!BL"</f>
        <v>#VALUE!</v>
      </c>
      <c r="FC10" s="0" t="e">
        <f aca="false">Lishoy!137:137-";7#!BM"</f>
        <v>#VALUE!</v>
      </c>
      <c r="FD10" s="0" t="e">
        <f aca="false">Lishoy!138:138-";7#!BN"</f>
        <v>#VALUE!</v>
      </c>
      <c r="FE10" s="0" t="e">
        <f aca="false">Lishoy!139:139-";7#!BO"</f>
        <v>#VALUE!</v>
      </c>
      <c r="FF10" s="0" t="e">
        <f aca="false">Lishoy!140:140-";7#!BP"</f>
        <v>#VALUE!</v>
      </c>
      <c r="FG10" s="0" t="e">
        <f aca="false">Lishoy!141:141-";7#!BQ"</f>
        <v>#VALUE!</v>
      </c>
      <c r="FH10" s="0" t="e">
        <f aca="false">Lishoy!142:142-";7#!BR"</f>
        <v>#VALUE!</v>
      </c>
      <c r="FI10" s="0" t="e">
        <f aca="false">Lishoy!143:143-";7#!BS"</f>
        <v>#VALUE!</v>
      </c>
      <c r="FJ10" s="0" t="e">
        <f aca="false">Lishoy!144:144-";7#!BT"</f>
        <v>#VALUE!</v>
      </c>
      <c r="FK10" s="0" t="e">
        <f aca="false">Lishoy!145:145-";7#!BU"</f>
        <v>#VALUE!</v>
      </c>
      <c r="FL10" s="0" t="e">
        <f aca="false">Lishoy!146:146-";7#!BV"</f>
        <v>#VALUE!</v>
      </c>
      <c r="FM10" s="0" t="e">
        <f aca="false">Lishoy!147:147-";7#!BW"</f>
        <v>#VALUE!</v>
      </c>
      <c r="FN10" s="0" t="e">
        <f aca="false">Lishoy!148:148-";7#!BX"</f>
        <v>#VALUE!</v>
      </c>
      <c r="FO10" s="0" t="e">
        <f aca="false">Lishoy!149:149-";7#!BY"</f>
        <v>#VALUE!</v>
      </c>
      <c r="FP10" s="0" t="e">
        <f aca="false">Lishoy!150:150-";7#!BZ"</f>
        <v>#VALUE!</v>
      </c>
      <c r="FQ10" s="0" t="e">
        <f aca="false">Lishoy!151:151-";7#!B["</f>
        <v>#VALUE!</v>
      </c>
      <c r="FR10" s="0" t="e">
        <f aca="false">Lishoy!152:152-";7#!B\"</f>
        <v>#VALUE!</v>
      </c>
      <c r="FS10" s="0" t="e">
        <f aca="false">Lishoy!153:153-";7#!B]"</f>
        <v>#VALUE!</v>
      </c>
      <c r="FT10" s="0" t="e">
        <f aca="false">Lishoy!154:154-";7#!B^"</f>
        <v>#VALUE!</v>
      </c>
      <c r="FU10" s="0" t="e">
        <f aca="false">Lishoy!155:155-";7#!B_"</f>
        <v>#VALUE!</v>
      </c>
      <c r="FV10" s="0" t="e">
        <f aca="false">Lishoy!156:156-";7#!B`"</f>
        <v>#VALUE!</v>
      </c>
      <c r="FW10" s="0" t="e">
        <f aca="false">Lishoy!157:157-";7#!Ba"</f>
        <v>#VALUE!</v>
      </c>
      <c r="FX10" s="0" t="e">
        <f aca="false">Lishoy!158:158-";7#!Bb"</f>
        <v>#VALUE!</v>
      </c>
      <c r="FY10" s="0" t="e">
        <f aca="false">Lishoy!159:159-";7#!Bc"</f>
        <v>#VALUE!</v>
      </c>
      <c r="FZ10" s="0" t="e">
        <f aca="false">Lishoy!160:160-";7#!Bd"</f>
        <v>#VALUE!</v>
      </c>
      <c r="GA10" s="0" t="e">
        <f aca="false">Lishoy!161:161-";7#!Be"</f>
        <v>#VALUE!</v>
      </c>
      <c r="GB10" s="0" t="e">
        <f aca="false">Lishoy!162:162-";7#!Bf"</f>
        <v>#VALUE!</v>
      </c>
      <c r="GC10" s="0" t="e">
        <f aca="false">Lishoy!163:163-";7#!Bg"</f>
        <v>#VALUE!</v>
      </c>
      <c r="GD10" s="0" t="e">
        <f aca="false">Lishoy!164:164-";7#!Bh"</f>
        <v>#VALUE!</v>
      </c>
      <c r="GE10" s="0" t="e">
        <f aca="false">Lishoy!165:165-";7#!Bi"</f>
        <v>#VALUE!</v>
      </c>
      <c r="GF10" s="0" t="e">
        <f aca="false">Lishoy!166:166-";7#!Bj"</f>
        <v>#VALUE!</v>
      </c>
      <c r="GG10" s="0" t="e">
        <f aca="false">Lishoy!167:167-";7#!Bk"</f>
        <v>#VALUE!</v>
      </c>
      <c r="GH10" s="0" t="e">
        <f aca="false">Lishoy!168:168-";7#!Bl"</f>
        <v>#VALUE!</v>
      </c>
      <c r="GI10" s="0" t="e">
        <f aca="false">Lishoy!169:169-";7#!Bm"</f>
        <v>#VALUE!</v>
      </c>
      <c r="GJ10" s="0" t="e">
        <f aca="false">Lishoy!170:170-";7#!Bn"</f>
        <v>#VALUE!</v>
      </c>
      <c r="GK10" s="0" t="e">
        <f aca="false">Lishoy!171:171-";7#!Bo"</f>
        <v>#VALUE!</v>
      </c>
      <c r="GL10" s="0" t="e">
        <f aca="false">Lishoy!172:172-";7#!Bp"</f>
        <v>#VALUE!</v>
      </c>
      <c r="GM10" s="0" t="e">
        <f aca="false">Lishoy!173:173-";7#!Bq"</f>
        <v>#VALUE!</v>
      </c>
      <c r="GN10" s="0" t="e">
        <f aca="false">Lishoy!174:174-";7#!Br"</f>
        <v>#VALUE!</v>
      </c>
      <c r="GO10" s="0" t="e">
        <f aca="false">Lishoy!175:175-";7#!Bs"</f>
        <v>#VALUE!</v>
      </c>
      <c r="GP10" s="0" t="e">
        <f aca="false">Lishoy!176:176-";7#!Bt"</f>
        <v>#VALUE!</v>
      </c>
      <c r="GQ10" s="0" t="e">
        <f aca="false">Lishoy!177:177-";7#!Bu"</f>
        <v>#VALUE!</v>
      </c>
      <c r="GR10" s="0" t="e">
        <f aca="false">Lishoy!178:178-";7#!Bv"</f>
        <v>#VALUE!</v>
      </c>
      <c r="GS10" s="0" t="e">
        <f aca="false">Lishoy!179:179-";7#!Bw"</f>
        <v>#VALUE!</v>
      </c>
      <c r="GT10" s="0" t="e">
        <f aca="false">Lishoy!180:180-";7#!Bx"</f>
        <v>#VALUE!</v>
      </c>
      <c r="GU10" s="0" t="e">
        <f aca="false">Lishoy!181:181-";7#!By"</f>
        <v>#VALUE!</v>
      </c>
      <c r="GV10" s="0" t="e">
        <f aca="false">Lishoy!182:182-";7#!Bz"</f>
        <v>#VALUE!</v>
      </c>
      <c r="GW10" s="0" t="e">
        <f aca="false">Lishoy!183:183-";7#!B{"</f>
        <v>#VALUE!</v>
      </c>
      <c r="GX10" s="0" t="e">
        <f aca="false">Lishoy!184:184-";7#!B|"</f>
        <v>#VALUE!</v>
      </c>
      <c r="GY10" s="0" t="e">
        <f aca="false">Lishoy!185:185-";7#!B}"</f>
        <v>#VALUE!</v>
      </c>
      <c r="GZ10" s="0" t="e">
        <f aca="false">Lishoy!186:186-";7#!B~"</f>
        <v>#VALUE!</v>
      </c>
      <c r="HA10" s="0" t="e">
        <f aca="false">Lishoy!187:187-";7#!C#"</f>
        <v>#VALUE!</v>
      </c>
      <c r="HB10" s="0" t="e">
        <f aca="false">Lishoy!188:188-";7#!C$"</f>
        <v>#VALUE!</v>
      </c>
      <c r="HC10" s="0" t="e">
        <f aca="false">Lishoy!189:189-";7#!C%"</f>
        <v>#VALUE!</v>
      </c>
      <c r="HD10" s="0" t="e">
        <f aca="false">Lishoy!190:190-";7#!C&amp;"</f>
        <v>#VALUE!</v>
      </c>
      <c r="HE10" s="0" t="e">
        <f aca="false">Lishoy!191:191-";7#!C'"</f>
        <v>#VALUE!</v>
      </c>
      <c r="HF10" s="0" t="e">
        <f aca="false">Lishoy!192:192-";7#!C("</f>
        <v>#VALUE!</v>
      </c>
      <c r="HG10" s="0" t="e">
        <f aca="false">Lishoy!193:193-";7#!C)"</f>
        <v>#VALUE!</v>
      </c>
      <c r="HH10" s="0" t="e">
        <f aca="false">Lishoy!194:194-";7#!C."</f>
        <v>#VALUE!</v>
      </c>
      <c r="HI10" s="0" t="e">
        <f aca="false">Lishoy!195:195-";7#!C/"</f>
        <v>#VALUE!</v>
      </c>
      <c r="HJ10" s="0" t="e">
        <f aca="false">Lishoy!196:196-";7#!C0"</f>
        <v>#VALUE!</v>
      </c>
      <c r="HK10" s="0" t="e">
        <f aca="false">Lishoy!197:197-";7#!C1"</f>
        <v>#VALUE!</v>
      </c>
      <c r="HL10" s="0" t="e">
        <f aca="false">Lishoy!198:198-";7#!C2"</f>
        <v>#VALUE!</v>
      </c>
      <c r="HM10" s="0" t="e">
        <f aca="false">Lishoy!199:199-";7#!C3"</f>
        <v>#VALUE!</v>
      </c>
      <c r="HN10" s="0" t="e">
        <f aca="false">Lishoy!200:200-";7#!C4"</f>
        <v>#VALUE!</v>
      </c>
      <c r="HO10" s="0" t="e">
        <f aca="false">Lishoy!201:201-";7#!C5"</f>
        <v>#VALUE!</v>
      </c>
      <c r="HP10" s="0" t="e">
        <f aca="false">Lishoy!202:202-";7#!C6"</f>
        <v>#VALUE!</v>
      </c>
      <c r="HQ10" s="0" t="e">
        <f aca="false">Lishoy!203:203-";7#!C7"</f>
        <v>#VALUE!</v>
      </c>
      <c r="HR10" s="0" t="e">
        <f aca="false">Lishoy!204:204-";7#!C8"</f>
        <v>#VALUE!</v>
      </c>
      <c r="HS10" s="0" t="e">
        <f aca="false">Lishoy!205:205-";7#!C9"</f>
        <v>#VALUE!</v>
      </c>
      <c r="HT10" s="0" t="e">
        <f aca="false">Lishoy!206:206-";7#!C:"</f>
        <v>#VALUE!</v>
      </c>
      <c r="HU10" s="0" t="e">
        <f aca="false">Lishoy!207:207-";7#!C;"</f>
        <v>#VALUE!</v>
      </c>
      <c r="HV10" s="0" t="e">
        <f aca="false">Lishoy!208:208-";7#!C&lt;"</f>
        <v>#VALUE!</v>
      </c>
      <c r="HW10" s="0" t="e">
        <f aca="false">Lishoy!209:209-";7#!C="</f>
        <v>#VALUE!</v>
      </c>
      <c r="HX10" s="0" t="e">
        <f aca="false">Lishoy!210:210-";7#!C&gt;"</f>
        <v>#VALUE!</v>
      </c>
      <c r="HY10" s="0" t="e">
        <f aca="false">Lishoy!211:211-";7#!C?"</f>
        <v>#VALUE!</v>
      </c>
      <c r="HZ10" s="0" t="e">
        <f aca="false">Lishoy!212:212-";7#!C@"</f>
        <v>#VALUE!</v>
      </c>
      <c r="IA10" s="0" t="e">
        <f aca="false">Lishoy!213:213-";7#!CA"</f>
        <v>#VALUE!</v>
      </c>
      <c r="IB10" s="0" t="e">
        <f aca="false">Lishoy!214:214-";7#!CB"</f>
        <v>#VALUE!</v>
      </c>
      <c r="IC10" s="0" t="e">
        <f aca="false">Lishoy!215:215-";7#!CC"</f>
        <v>#VALUE!</v>
      </c>
      <c r="ID10" s="0" t="e">
        <f aca="false">Lishoy!216:216-";7#!CD"</f>
        <v>#VALUE!</v>
      </c>
      <c r="IE10" s="0" t="e">
        <f aca="false">Lishoy!217:217-";7#!CE"</f>
        <v>#VALUE!</v>
      </c>
      <c r="IF10" s="0" t="e">
        <f aca="false">Lishoy!218:218-";7#!CF"</f>
        <v>#VALUE!</v>
      </c>
      <c r="IG10" s="0" t="e">
        <f aca="false">Lishoy!219:219-";7#!CG"</f>
        <v>#VALUE!</v>
      </c>
      <c r="IH10" s="0" t="e">
        <f aca="false">Lishoy!220:220-";7#!CH"</f>
        <v>#VALUE!</v>
      </c>
      <c r="II10" s="0" t="e">
        <f aca="false">Lishoy!221:221-";7#!CI"</f>
        <v>#VALUE!</v>
      </c>
      <c r="IJ10" s="0" t="e">
        <f aca="false">Lishoy!222:222-";7#!CJ"</f>
        <v>#VALUE!</v>
      </c>
      <c r="IK10" s="0" t="e">
        <f aca="false">Lishoy!223:223-";7#!CK"</f>
        <v>#VALUE!</v>
      </c>
      <c r="IL10" s="0" t="e">
        <f aca="false">Lishoy!224:224-";7#!CL"</f>
        <v>#VALUE!</v>
      </c>
      <c r="IM10" s="0" t="e">
        <f aca="false">Lishoy!225:225-";7#!CM"</f>
        <v>#VALUE!</v>
      </c>
      <c r="IN10" s="0" t="e">
        <f aca="false">Lishoy!226:226-";7#!CN"</f>
        <v>#VALUE!</v>
      </c>
      <c r="IO10" s="0" t="e">
        <f aca="false">Lishoy!227:227-";7#!CO"</f>
        <v>#VALUE!</v>
      </c>
      <c r="IP10" s="0" t="e">
        <f aca="false">Lishoy!228:228-";7#!CP"</f>
        <v>#VALUE!</v>
      </c>
      <c r="IQ10" s="0" t="e">
        <f aca="false">Lishoy!229:229-";7#!CQ"</f>
        <v>#VALUE!</v>
      </c>
      <c r="IR10" s="0" t="e">
        <f aca="false">Lishoy!230:230-";7#!CR"</f>
        <v>#VALUE!</v>
      </c>
      <c r="IS10" s="0" t="e">
        <f aca="false">Lishoy!231:231-";7#!CS"</f>
        <v>#VALUE!</v>
      </c>
      <c r="IT10" s="0" t="e">
        <f aca="false">Lishoy!232:232-";7#!CT"</f>
        <v>#VALUE!</v>
      </c>
      <c r="IU10" s="0" t="e">
        <f aca="false">Lishoy!A1+";7#!CU"</f>
        <v>#VALUE!</v>
      </c>
      <c r="IV10" s="0" t="e">
        <f aca="false">Lishoy!B1+";7#!CV"</f>
        <v>#VALUE!</v>
      </c>
    </row>
    <row r="11" customFormat="false" ht="15" hidden="false" customHeight="false" outlineLevel="0" collapsed="false">
      <c r="F11" s="0" t="e">
        <f aca="false">Lishoy!C1+";7#!CW"</f>
        <v>#VALUE!</v>
      </c>
      <c r="G11" s="0" t="e">
        <f aca="false">Lishoy!D1+";7#!CX"</f>
        <v>#VALUE!</v>
      </c>
      <c r="H11" s="0" t="e">
        <f aca="false">Lishoy!E1+";7#!CY"</f>
        <v>#VALUE!</v>
      </c>
      <c r="I11" s="0" t="e">
        <f aca="false">Lishoy!F1+";7#!CZ"</f>
        <v>#VALUE!</v>
      </c>
      <c r="J11" s="0" t="e">
        <f aca="false">Lishoy!G1+";7#!C["</f>
        <v>#VALUE!</v>
      </c>
      <c r="K11" s="0" t="e">
        <f aca="false">Lishoy!H1+";7#!C\"</f>
        <v>#VALUE!</v>
      </c>
      <c r="L11" s="0" t="e">
        <f aca="false">Lishoy!I1+";7#!C]"</f>
        <v>#VALUE!</v>
      </c>
      <c r="M11" s="0" t="e">
        <f aca="false">Lishoy!J1+";7#!C^"</f>
        <v>#VALUE!</v>
      </c>
      <c r="N11" s="0" t="e">
        <f aca="false">Lishoy!K1+";7#!C_"</f>
        <v>#VALUE!</v>
      </c>
      <c r="O11" s="0" t="e">
        <f aca="false">Lishoy!L1+";7#!C`"</f>
        <v>#VALUE!</v>
      </c>
      <c r="P11" s="0" t="e">
        <f aca="false">Lishoy!M1+";7#!Ca"</f>
        <v>#VALUE!</v>
      </c>
      <c r="Q11" s="0" t="e">
        <f aca="false">Lishoy!N1+";7#!Cb"</f>
        <v>#VALUE!</v>
      </c>
      <c r="R11" s="0" t="e">
        <f aca="false">Lishoy!O1+";7#!Cc"</f>
        <v>#VALUE!</v>
      </c>
      <c r="S11" s="0" t="e">
        <f aca="false">Lishoy!P1+";7#!Cd"</f>
        <v>#VALUE!</v>
      </c>
      <c r="T11" s="0" t="e">
        <f aca="false">Lishoy!A2+";7#!Ce"</f>
        <v>#VALUE!</v>
      </c>
      <c r="U11" s="0" t="e">
        <f aca="false">Lishoy!B2+";7#!Cf"</f>
        <v>#VALUE!</v>
      </c>
      <c r="V11" s="0" t="e">
        <f aca="false">Lishoy!C2+";7#!Cg"</f>
        <v>#VALUE!</v>
      </c>
      <c r="W11" s="0" t="e">
        <f aca="false">Lishoy!D2+";7#!Ch"</f>
        <v>#VALUE!</v>
      </c>
      <c r="X11" s="0" t="e">
        <f aca="false">Lishoy!E2+";7#!Ci"</f>
        <v>#VALUE!</v>
      </c>
      <c r="Y11" s="0" t="e">
        <f aca="false">Lishoy!F2+";7#!Cj"</f>
        <v>#VALUE!</v>
      </c>
      <c r="Z11" s="0" t="e">
        <f aca="false">Lishoy!G2+";7#!Ck"</f>
        <v>#VALUE!</v>
      </c>
      <c r="AA11" s="0" t="e">
        <f aca="false">Lishoy!H2+";7#!Cl"</f>
        <v>#VALUE!</v>
      </c>
      <c r="AB11" s="0" t="e">
        <f aca="false">Lishoy!I2+";7#!Cm"</f>
        <v>#VALUE!</v>
      </c>
      <c r="AC11" s="0" t="e">
        <f aca="false">Lishoy!J2+";7#!Cn"</f>
        <v>#VALUE!</v>
      </c>
      <c r="AD11" s="0" t="e">
        <f aca="false">Lishoy!K2+";7#!Co"</f>
        <v>#VALUE!</v>
      </c>
      <c r="AE11" s="0" t="e">
        <f aca="false">Lishoy!L2+";7#!Cp"</f>
        <v>#VALUE!</v>
      </c>
      <c r="AF11" s="0" t="e">
        <f aca="false">Lishoy!M2+";7#!Cq"</f>
        <v>#VALUE!</v>
      </c>
      <c r="AG11" s="0" t="e">
        <f aca="false">Lishoy!N2+";7#!Cr"</f>
        <v>#VALUE!</v>
      </c>
      <c r="AH11" s="0" t="e">
        <f aca="false">Lishoy!O2+";7#!Cs"</f>
        <v>#VALUE!</v>
      </c>
      <c r="AI11" s="0" t="e">
        <f aca="false">Lishoy!P2+";7#!Ct"</f>
        <v>#VALUE!</v>
      </c>
      <c r="AJ11" s="0" t="e">
        <f aca="false">Lishoy!Q2+";7#!Cu"</f>
        <v>#VALUE!</v>
      </c>
      <c r="AK11" s="0" t="e">
        <f aca="false">Lishoy!A3+";7#!Cv"</f>
        <v>#VALUE!</v>
      </c>
      <c r="AL11" s="0" t="e">
        <f aca="false">Lishoy!B3+";7#!Cw"</f>
        <v>#VALUE!</v>
      </c>
      <c r="AM11" s="0" t="e">
        <f aca="false">Lishoy!C3+";7#!Cx"</f>
        <v>#VALUE!</v>
      </c>
      <c r="AN11" s="0" t="e">
        <f aca="false">Lishoy!D3+";7#!Cy"</f>
        <v>#VALUE!</v>
      </c>
      <c r="AO11" s="0" t="e">
        <f aca="false">Lishoy!E3+";7#!Cz"</f>
        <v>#VALUE!</v>
      </c>
      <c r="AP11" s="0" t="e">
        <f aca="false">Lishoy!F3+";7#!C{"</f>
        <v>#VALUE!</v>
      </c>
      <c r="AQ11" s="0" t="e">
        <f aca="false">Lishoy!G3+";7#!C|"</f>
        <v>#VALUE!</v>
      </c>
      <c r="AR11" s="0" t="e">
        <f aca="false">Lishoy!H3+";7#!C}"</f>
        <v>#VALUE!</v>
      </c>
      <c r="AS11" s="0" t="e">
        <f aca="false">Lishoy!I3+";7#!C~"</f>
        <v>#VALUE!</v>
      </c>
      <c r="AT11" s="0" t="e">
        <f aca="false">Lishoy!J3+";7#!D#"</f>
        <v>#VALUE!</v>
      </c>
      <c r="AU11" s="0" t="e">
        <f aca="false">Lishoy!K3+";7#!D$"</f>
        <v>#VALUE!</v>
      </c>
      <c r="AV11" s="0" t="e">
        <f aca="false">Lishoy!L3+";7#!D%"</f>
        <v>#VALUE!</v>
      </c>
      <c r="AW11" s="0" t="e">
        <f aca="false">Lishoy!M3+";7#!D&amp;"</f>
        <v>#VALUE!</v>
      </c>
      <c r="AX11" s="0" t="e">
        <f aca="false">Lishoy!N3+";7#!D'"</f>
        <v>#VALUE!</v>
      </c>
      <c r="AY11" s="0" t="e">
        <f aca="false">Lishoy!O3+";7#!D("</f>
        <v>#VALUE!</v>
      </c>
      <c r="AZ11" s="0" t="e">
        <f aca="false">Lishoy!P3+";7#!D)"</f>
        <v>#VALUE!</v>
      </c>
      <c r="BA11" s="0" t="e">
        <f aca="false">Lishoy!Q3+";7#!D."</f>
        <v>#VALUE!</v>
      </c>
      <c r="BB11" s="0" t="e">
        <f aca="false">Lishoy!A4+";7#!D/"</f>
        <v>#VALUE!</v>
      </c>
      <c r="BC11" s="0" t="e">
        <f aca="false">Lishoy!B4+";7#!D0"</f>
        <v>#VALUE!</v>
      </c>
      <c r="BD11" s="0" t="e">
        <f aca="false">Lishoy!C4+";7#!D1"</f>
        <v>#VALUE!</v>
      </c>
      <c r="BE11" s="0" t="e">
        <f aca="false">Lishoy!D4+";7#!D2"</f>
        <v>#VALUE!</v>
      </c>
      <c r="BF11" s="0" t="e">
        <f aca="false">Lishoy!E4+";7#!D3"</f>
        <v>#VALUE!</v>
      </c>
      <c r="BG11" s="0" t="e">
        <f aca="false">Lishoy!F4+";7#!D4"</f>
        <v>#VALUE!</v>
      </c>
      <c r="BH11" s="0" t="e">
        <f aca="false">Lishoy!G4+";7#!D5"</f>
        <v>#VALUE!</v>
      </c>
      <c r="BI11" s="0" t="e">
        <f aca="false">Lishoy!H4+";7#!D6"</f>
        <v>#VALUE!</v>
      </c>
      <c r="BJ11" s="0" t="e">
        <f aca="false">Lishoy!I4+";7#!D7"</f>
        <v>#VALUE!</v>
      </c>
      <c r="BK11" s="0" t="e">
        <f aca="false">Lishoy!J4+";7#!D8"</f>
        <v>#VALUE!</v>
      </c>
      <c r="BL11" s="0" t="e">
        <f aca="false">Lishoy!K4+";7#!D9"</f>
        <v>#VALUE!</v>
      </c>
      <c r="BM11" s="0" t="e">
        <f aca="false">Lishoy!L4+";7#!D:"</f>
        <v>#VALUE!</v>
      </c>
      <c r="BN11" s="0" t="e">
        <f aca="false">Lishoy!M4+";7#!D;"</f>
        <v>#VALUE!</v>
      </c>
      <c r="BO11" s="0" t="e">
        <f aca="false">Lishoy!N4+";7#!D&lt;"</f>
        <v>#VALUE!</v>
      </c>
      <c r="BP11" s="0" t="e">
        <f aca="false">Lishoy!O4+";7#!D="</f>
        <v>#VALUE!</v>
      </c>
      <c r="BQ11" s="0" t="e">
        <f aca="false">Lishoy!P4+";7#!D&gt;"</f>
        <v>#VALUE!</v>
      </c>
      <c r="BR11" s="0" t="e">
        <f aca="false">Lishoy!Q4+";7#!D?"</f>
        <v>#VALUE!</v>
      </c>
      <c r="BS11" s="0" t="e">
        <f aca="false">Lishoy!A5+";7#!D@"</f>
        <v>#VALUE!</v>
      </c>
      <c r="BT11" s="0" t="e">
        <f aca="false">Lishoy!B5+";7#!DA"</f>
        <v>#VALUE!</v>
      </c>
      <c r="BU11" s="0" t="e">
        <f aca="false">Lishoy!C5+";7#!DB"</f>
        <v>#VALUE!</v>
      </c>
      <c r="BV11" s="0" t="e">
        <f aca="false">Lishoy!D5+";7#!DC"</f>
        <v>#VALUE!</v>
      </c>
      <c r="BW11" s="0" t="e">
        <f aca="false">Lishoy!E5+";7#!DD"</f>
        <v>#VALUE!</v>
      </c>
      <c r="BX11" s="0" t="e">
        <f aca="false">Lishoy!F5+";7#!DE"</f>
        <v>#VALUE!</v>
      </c>
      <c r="BY11" s="0" t="e">
        <f aca="false">Lishoy!G5+";7#!DF"</f>
        <v>#VALUE!</v>
      </c>
      <c r="BZ11" s="0" t="e">
        <f aca="false">Lishoy!H5+";7#!DG"</f>
        <v>#VALUE!</v>
      </c>
      <c r="CA11" s="0" t="e">
        <f aca="false">Lishoy!I5+";7#!DH"</f>
        <v>#VALUE!</v>
      </c>
      <c r="CB11" s="0" t="e">
        <f aca="false">Lishoy!J5+";7#!DI"</f>
        <v>#VALUE!</v>
      </c>
      <c r="CC11" s="0" t="e">
        <f aca="false">Lishoy!K5+";7#!DJ"</f>
        <v>#VALUE!</v>
      </c>
      <c r="CD11" s="0" t="e">
        <f aca="false">Lishoy!L5+";7#!DK"</f>
        <v>#VALUE!</v>
      </c>
      <c r="CE11" s="0" t="e">
        <f aca="false">Lishoy!M5+";7#!DL"</f>
        <v>#VALUE!</v>
      </c>
      <c r="CF11" s="0" t="e">
        <f aca="false">Lishoy!N5+";7#!DM"</f>
        <v>#VALUE!</v>
      </c>
      <c r="CG11" s="0" t="e">
        <f aca="false">Lishoy!O5+";7#!DN"</f>
        <v>#VALUE!</v>
      </c>
      <c r="CH11" s="0" t="e">
        <f aca="false">Lishoy!P5+";7#!DO"</f>
        <v>#VALUE!</v>
      </c>
      <c r="CI11" s="0" t="e">
        <f aca="false">Lishoy!A6+";7#!DP"</f>
        <v>#VALUE!</v>
      </c>
      <c r="CJ11" s="0" t="e">
        <f aca="false">Lishoy!B6+";7#!DQ"</f>
        <v>#VALUE!</v>
      </c>
      <c r="CK11" s="0" t="e">
        <f aca="false">Lishoy!C6+";7#!DR"</f>
        <v>#VALUE!</v>
      </c>
      <c r="CL11" s="0" t="e">
        <f aca="false">Lishoy!D6+";7#!DS"</f>
        <v>#VALUE!</v>
      </c>
      <c r="CM11" s="0" t="e">
        <f aca="false">Lishoy!E6+";7#!DT"</f>
        <v>#VALUE!</v>
      </c>
      <c r="CN11" s="0" t="e">
        <f aca="false">Lishoy!F6+";7#!DU"</f>
        <v>#VALUE!</v>
      </c>
      <c r="CO11" s="0" t="e">
        <f aca="false">Lishoy!G6+";7#!DV"</f>
        <v>#VALUE!</v>
      </c>
      <c r="CP11" s="0" t="e">
        <f aca="false">Lishoy!H6+";7#!DW"</f>
        <v>#VALUE!</v>
      </c>
      <c r="CQ11" s="0" t="e">
        <f aca="false">Lishoy!I6+";7#!DX"</f>
        <v>#VALUE!</v>
      </c>
      <c r="CR11" s="0" t="e">
        <f aca="false">Lishoy!J6+";7#!DY"</f>
        <v>#VALUE!</v>
      </c>
      <c r="CS11" s="0" t="e">
        <f aca="false">Lishoy!K6+";7#!DZ"</f>
        <v>#VALUE!</v>
      </c>
      <c r="CT11" s="0" t="e">
        <f aca="false">Lishoy!L6+";7#!D["</f>
        <v>#VALUE!</v>
      </c>
      <c r="CU11" s="0" t="e">
        <f aca="false">Lishoy!M6+";7#!D\"</f>
        <v>#VALUE!</v>
      </c>
      <c r="CV11" s="0" t="e">
        <f aca="false">Lishoy!N6+";7#!D]"</f>
        <v>#VALUE!</v>
      </c>
      <c r="CW11" s="0" t="e">
        <f aca="false">Lishoy!O6+";7#!D^"</f>
        <v>#VALUE!</v>
      </c>
      <c r="CX11" s="0" t="e">
        <f aca="false">Lishoy!P6+";7#!D_"</f>
        <v>#VALUE!</v>
      </c>
      <c r="CY11" s="0" t="e">
        <f aca="false">Lishoy!A7+";7#!D`"</f>
        <v>#VALUE!</v>
      </c>
      <c r="CZ11" s="0" t="e">
        <f aca="false">Lishoy!B7+";7#!Da"</f>
        <v>#VALUE!</v>
      </c>
      <c r="DA11" s="0" t="e">
        <f aca="false">Lishoy!C7+";7#!Db"</f>
        <v>#VALUE!</v>
      </c>
      <c r="DB11" s="0" t="e">
        <f aca="false">Lishoy!D7+";7#!Dc"</f>
        <v>#VALUE!</v>
      </c>
      <c r="DC11" s="0" t="e">
        <f aca="false">Lishoy!E7+";7#!Dd"</f>
        <v>#VALUE!</v>
      </c>
      <c r="DD11" s="0" t="e">
        <f aca="false">Lishoy!F7+";7#!De"</f>
        <v>#VALUE!</v>
      </c>
      <c r="DE11" s="0" t="e">
        <f aca="false">Lishoy!G7+";7#!Df"</f>
        <v>#VALUE!</v>
      </c>
      <c r="DF11" s="0" t="e">
        <f aca="false">Lishoy!H7+";7#!Dg"</f>
        <v>#VALUE!</v>
      </c>
      <c r="DG11" s="0" t="e">
        <f aca="false">Lishoy!I7+";7#!Dh"</f>
        <v>#VALUE!</v>
      </c>
      <c r="DH11" s="0" t="e">
        <f aca="false">Lishoy!J7+";7#!Di"</f>
        <v>#VALUE!</v>
      </c>
      <c r="DI11" s="0" t="e">
        <f aca="false">Lishoy!K7+";7#!Dj"</f>
        <v>#VALUE!</v>
      </c>
      <c r="DJ11" s="0" t="e">
        <f aca="false">Lishoy!L7+";7#!Dk"</f>
        <v>#VALUE!</v>
      </c>
      <c r="DK11" s="0" t="e">
        <f aca="false">Lishoy!M7+";7#!Dl"</f>
        <v>#VALUE!</v>
      </c>
      <c r="DL11" s="0" t="e">
        <f aca="false">Lishoy!N7+";7#!Dm"</f>
        <v>#VALUE!</v>
      </c>
      <c r="DM11" s="0" t="e">
        <f aca="false">Lishoy!O7+";7#!Dn"</f>
        <v>#VALUE!</v>
      </c>
      <c r="DN11" s="0" t="e">
        <f aca="false">Lishoy!P7+";7#!Do"</f>
        <v>#VALUE!</v>
      </c>
      <c r="DO11" s="0" t="e">
        <f aca="false">Lishoy!A8+";7#!Dp"</f>
        <v>#VALUE!</v>
      </c>
      <c r="DP11" s="0" t="e">
        <f aca="false">Lishoy!B8+";7#!Dq"</f>
        <v>#VALUE!</v>
      </c>
      <c r="DQ11" s="0" t="e">
        <f aca="false">Lishoy!C8+";7#!Dr"</f>
        <v>#VALUE!</v>
      </c>
      <c r="DR11" s="0" t="e">
        <f aca="false">Lishoy!D8+";7#!Ds"</f>
        <v>#VALUE!</v>
      </c>
      <c r="DS11" s="0" t="e">
        <f aca="false">Lishoy!E8+";7#!Dt"</f>
        <v>#VALUE!</v>
      </c>
      <c r="DT11" s="0" t="e">
        <f aca="false">Lishoy!F8+";7#!Du"</f>
        <v>#VALUE!</v>
      </c>
      <c r="DU11" s="0" t="e">
        <f aca="false">Lishoy!G8+";7#!Dv"</f>
        <v>#VALUE!</v>
      </c>
      <c r="DV11" s="0" t="e">
        <f aca="false">Lishoy!H8+";7#!Dw"</f>
        <v>#VALUE!</v>
      </c>
      <c r="DW11" s="0" t="e">
        <f aca="false">Lishoy!I8+";7#!Dx"</f>
        <v>#VALUE!</v>
      </c>
      <c r="DX11" s="0" t="e">
        <f aca="false">Lishoy!J8+";7#!Dy"</f>
        <v>#VALUE!</v>
      </c>
      <c r="DY11" s="0" t="e">
        <f aca="false">Lishoy!K8+";7#!Dz"</f>
        <v>#VALUE!</v>
      </c>
      <c r="DZ11" s="0" t="e">
        <f aca="false">Lishoy!L8+";7#!D{"</f>
        <v>#VALUE!</v>
      </c>
      <c r="EA11" s="0" t="e">
        <f aca="false">Lishoy!M8+";7#!D|"</f>
        <v>#VALUE!</v>
      </c>
      <c r="EB11" s="0" t="e">
        <f aca="false">Lishoy!N8+";7#!D}"</f>
        <v>#VALUE!</v>
      </c>
      <c r="EC11" s="0" t="e">
        <f aca="false">Lishoy!O8+";7#!D~"</f>
        <v>#VALUE!</v>
      </c>
      <c r="ED11" s="0" t="e">
        <f aca="false">Lishoy!P8+";7#!E#"</f>
        <v>#VALUE!</v>
      </c>
      <c r="EE11" s="0" t="e">
        <f aca="false">Lishoy!A9+";7#!E$"</f>
        <v>#VALUE!</v>
      </c>
      <c r="EF11" s="0" t="e">
        <f aca="false">Lishoy!B9+";7#!E%"</f>
        <v>#VALUE!</v>
      </c>
      <c r="EG11" s="0" t="e">
        <f aca="false">Lishoy!C9+";7#!E&amp;"</f>
        <v>#VALUE!</v>
      </c>
      <c r="EH11" s="0" t="e">
        <f aca="false">Lishoy!D9+";7#!E'"</f>
        <v>#VALUE!</v>
      </c>
      <c r="EI11" s="0" t="e">
        <f aca="false">Lishoy!E9+";7#!E("</f>
        <v>#VALUE!</v>
      </c>
      <c r="EJ11" s="0" t="e">
        <f aca="false">Lishoy!F9+";7#!E)"</f>
        <v>#VALUE!</v>
      </c>
      <c r="EK11" s="0" t="e">
        <f aca="false">Lishoy!G9+";7#!E."</f>
        <v>#VALUE!</v>
      </c>
      <c r="EL11" s="0" t="e">
        <f aca="false">Lishoy!H9+";7#!E/"</f>
        <v>#VALUE!</v>
      </c>
      <c r="EM11" s="35" t="e">
        <f aca="false">Lishoy!I9+";7#!E0"</f>
        <v>#VALUE!</v>
      </c>
      <c r="EN11" s="0" t="e">
        <f aca="false">Lishoy!J9+";7#!E1"</f>
        <v>#VALUE!</v>
      </c>
      <c r="EO11" s="0" t="e">
        <f aca="false">Lishoy!K9+";7#!E2"</f>
        <v>#VALUE!</v>
      </c>
      <c r="EP11" s="0" t="e">
        <f aca="false">Lishoy!L9+";7#!E3"</f>
        <v>#VALUE!</v>
      </c>
      <c r="EQ11" s="0" t="e">
        <f aca="false">Lishoy!M9+";7#!E4"</f>
        <v>#VALUE!</v>
      </c>
      <c r="ER11" s="0" t="e">
        <f aca="false">Lishoy!N9+";7#!E5"</f>
        <v>#VALUE!</v>
      </c>
      <c r="ES11" s="0" t="e">
        <f aca="false">Lishoy!O9+";7#!E6"</f>
        <v>#VALUE!</v>
      </c>
      <c r="ET11" s="0" t="e">
        <f aca="false">Lishoy!P9+";7#!E7"</f>
        <v>#VALUE!</v>
      </c>
      <c r="EU11" s="0" t="e">
        <f aca="false">Lishoy!A10+";7#!E8"</f>
        <v>#VALUE!</v>
      </c>
      <c r="EV11" s="0" t="e">
        <f aca="false">Lishoy!B10+";7#!E9"</f>
        <v>#VALUE!</v>
      </c>
      <c r="EW11" s="0" t="e">
        <f aca="false">Lishoy!C10+";7#!E:"</f>
        <v>#VALUE!</v>
      </c>
      <c r="EX11" s="0" t="e">
        <f aca="false">Lishoy!D10+";7#!E;"</f>
        <v>#VALUE!</v>
      </c>
      <c r="EY11" s="0" t="e">
        <f aca="false">Lishoy!E10+";7#!E&lt;"</f>
        <v>#VALUE!</v>
      </c>
      <c r="EZ11" s="0" t="e">
        <f aca="false">Lishoy!F10+";7#!E="</f>
        <v>#VALUE!</v>
      </c>
      <c r="FA11" s="0" t="e">
        <f aca="false">Lishoy!G10+";7#!E&gt;"</f>
        <v>#VALUE!</v>
      </c>
      <c r="FB11" s="0" t="e">
        <f aca="false">Lishoy!H10+";7#!E?"</f>
        <v>#VALUE!</v>
      </c>
      <c r="FC11" s="35" t="e">
        <f aca="false">Lishoy!I10+";7#!E@"</f>
        <v>#VALUE!</v>
      </c>
      <c r="FD11" s="0" t="e">
        <f aca="false">Lishoy!J10+";7#!EA"</f>
        <v>#VALUE!</v>
      </c>
      <c r="FE11" s="0" t="e">
        <f aca="false">Lishoy!K10+";7#!EB"</f>
        <v>#VALUE!</v>
      </c>
      <c r="FF11" s="0" t="e">
        <f aca="false">Lishoy!L10+";7#!EC"</f>
        <v>#VALUE!</v>
      </c>
      <c r="FG11" s="0" t="e">
        <f aca="false">Lishoy!M10+";7#!ED"</f>
        <v>#VALUE!</v>
      </c>
      <c r="FH11" s="0" t="e">
        <f aca="false">Lishoy!N10+";7#!EE"</f>
        <v>#VALUE!</v>
      </c>
      <c r="FI11" s="0" t="e">
        <f aca="false">Lishoy!O10+";7#!EF"</f>
        <v>#VALUE!</v>
      </c>
      <c r="FJ11" s="0" t="e">
        <f aca="false">Lishoy!P10+";7#!EG"</f>
        <v>#VALUE!</v>
      </c>
      <c r="FK11" s="0" t="e">
        <f aca="false">Lishoy!A11+";7#!EH"</f>
        <v>#VALUE!</v>
      </c>
      <c r="FL11" s="0" t="e">
        <f aca="false">Lishoy!B11+";7#!EI"</f>
        <v>#VALUE!</v>
      </c>
      <c r="FM11" s="0" t="e">
        <f aca="false">Lishoy!C11+";7#!EJ"</f>
        <v>#VALUE!</v>
      </c>
      <c r="FN11" s="0" t="e">
        <f aca="false">Lishoy!D11+";7#!EK"</f>
        <v>#VALUE!</v>
      </c>
      <c r="FO11" s="0" t="e">
        <f aca="false">Lishoy!E11+";7#!EL"</f>
        <v>#VALUE!</v>
      </c>
      <c r="FP11" s="0" t="e">
        <f aca="false">Lishoy!F11+";7#!EM"</f>
        <v>#VALUE!</v>
      </c>
      <c r="FQ11" s="0" t="e">
        <f aca="false">Lishoy!G11+";7#!EN"</f>
        <v>#VALUE!</v>
      </c>
      <c r="FR11" s="0" t="e">
        <f aca="false">Lishoy!H11+";7#!EO"</f>
        <v>#VALUE!</v>
      </c>
      <c r="FS11" s="0" t="e">
        <f aca="false">Lishoy!I11+";7#!EP"</f>
        <v>#VALUE!</v>
      </c>
      <c r="FT11" s="0" t="e">
        <f aca="false">Lishoy!J11+";7#!EQ"</f>
        <v>#VALUE!</v>
      </c>
      <c r="FU11" s="0" t="e">
        <f aca="false">Lishoy!K11+";7#!ER"</f>
        <v>#VALUE!</v>
      </c>
      <c r="FV11" s="0" t="e">
        <f aca="false">Lishoy!L11+";7#!ES"</f>
        <v>#VALUE!</v>
      </c>
      <c r="FW11" s="0" t="e">
        <f aca="false">Lishoy!M11+";7#!ET"</f>
        <v>#VALUE!</v>
      </c>
      <c r="FX11" s="0" t="e">
        <f aca="false">Lishoy!N11+";7#!EU"</f>
        <v>#VALUE!</v>
      </c>
      <c r="FY11" s="0" t="e">
        <f aca="false">Lishoy!O11+";7#!EV"</f>
        <v>#VALUE!</v>
      </c>
      <c r="FZ11" s="0" t="e">
        <f aca="false">Lishoy!P11+";7#!EW"</f>
        <v>#VALUE!</v>
      </c>
      <c r="GA11" s="0" t="e">
        <f aca="false">Lishoy!A12+";7#!EX"</f>
        <v>#VALUE!</v>
      </c>
      <c r="GB11" s="0" t="e">
        <f aca="false">Lishoy!B12+";7#!EY"</f>
        <v>#VALUE!</v>
      </c>
      <c r="GC11" s="0" t="e">
        <f aca="false">Lishoy!C12+";7#!EZ"</f>
        <v>#VALUE!</v>
      </c>
      <c r="GD11" s="0" t="e">
        <f aca="false">Lishoy!D12+";7#!E["</f>
        <v>#VALUE!</v>
      </c>
      <c r="GE11" s="0" t="e">
        <f aca="false">Lishoy!E12+";7#!E\"</f>
        <v>#VALUE!</v>
      </c>
      <c r="GF11" s="0" t="e">
        <f aca="false">Lishoy!F12+";7#!E]"</f>
        <v>#VALUE!</v>
      </c>
      <c r="GG11" s="0" t="e">
        <f aca="false">Lishoy!G12+";7#!E^"</f>
        <v>#VALUE!</v>
      </c>
      <c r="GH11" s="0" t="e">
        <f aca="false">Lishoy!H12+";7#!E_"</f>
        <v>#VALUE!</v>
      </c>
      <c r="GI11" s="0" t="e">
        <f aca="false">Lishoy!I12+";7#!E`"</f>
        <v>#VALUE!</v>
      </c>
      <c r="GJ11" s="0" t="e">
        <f aca="false">Lishoy!J12+";7#!Ea"</f>
        <v>#VALUE!</v>
      </c>
      <c r="GK11" s="0" t="e">
        <f aca="false">Lishoy!K12+";7#!Eb"</f>
        <v>#VALUE!</v>
      </c>
      <c r="GL11" s="0" t="e">
        <f aca="false">Lishoy!L12+";7#!Ec"</f>
        <v>#VALUE!</v>
      </c>
      <c r="GM11" s="0" t="e">
        <f aca="false">Lishoy!M12+";7#!Ed"</f>
        <v>#VALUE!</v>
      </c>
      <c r="GN11" s="0" t="e">
        <f aca="false">Lishoy!N12+";7#!Ee"</f>
        <v>#VALUE!</v>
      </c>
      <c r="GO11" s="0" t="e">
        <f aca="false">Lishoy!O12+";7#!Ef"</f>
        <v>#VALUE!</v>
      </c>
      <c r="GP11" s="0" t="e">
        <f aca="false">Lishoy!P12+";7#!Eg"</f>
        <v>#VALUE!</v>
      </c>
      <c r="GQ11" s="0" t="e">
        <f aca="false">Lishoy!A13+";7#!Eh"</f>
        <v>#VALUE!</v>
      </c>
      <c r="GR11" s="0" t="e">
        <f aca="false">Lishoy!B13+";7#!Ei"</f>
        <v>#VALUE!</v>
      </c>
      <c r="GS11" s="0" t="e">
        <f aca="false">Lishoy!C13+";7#!Ej"</f>
        <v>#VALUE!</v>
      </c>
      <c r="GT11" s="0" t="e">
        <f aca="false">Lishoy!D13+";7#!Ek"</f>
        <v>#VALUE!</v>
      </c>
      <c r="GU11" s="0" t="e">
        <f aca="false">Lishoy!E13+";7#!El"</f>
        <v>#VALUE!</v>
      </c>
      <c r="GV11" s="0" t="e">
        <f aca="false">Lishoy!F13+";7#!Em"</f>
        <v>#VALUE!</v>
      </c>
      <c r="GW11" s="0" t="e">
        <f aca="false">Lishoy!G13+";7#!En"</f>
        <v>#VALUE!</v>
      </c>
      <c r="GX11" s="0" t="e">
        <f aca="false">Lishoy!H13+";7#!Eo"</f>
        <v>#VALUE!</v>
      </c>
      <c r="GY11" s="0" t="e">
        <f aca="false">Lishoy!I13+";7#!Ep"</f>
        <v>#VALUE!</v>
      </c>
      <c r="GZ11" s="0" t="e">
        <f aca="false">Lishoy!J13+";7#!Eq"</f>
        <v>#VALUE!</v>
      </c>
      <c r="HA11" s="0" t="e">
        <f aca="false">Lishoy!K13+";7#!Er"</f>
        <v>#VALUE!</v>
      </c>
      <c r="HB11" s="0" t="e">
        <f aca="false">Lishoy!L13+";7#!Es"</f>
        <v>#VALUE!</v>
      </c>
      <c r="HC11" s="0" t="e">
        <f aca="false">Lishoy!M13+";7#!Et"</f>
        <v>#VALUE!</v>
      </c>
      <c r="HD11" s="0" t="e">
        <f aca="false">Lishoy!N13+";7#!Eu"</f>
        <v>#VALUE!</v>
      </c>
      <c r="HE11" s="0" t="e">
        <f aca="false">Lishoy!O13+";7#!Ev"</f>
        <v>#VALUE!</v>
      </c>
      <c r="HF11" s="0" t="e">
        <f aca="false">Lishoy!P13+";7#!Ew"</f>
        <v>#VALUE!</v>
      </c>
      <c r="HG11" s="0" t="e">
        <f aca="false">Lishoy!A14+";7#!Ex"</f>
        <v>#VALUE!</v>
      </c>
      <c r="HH11" s="0" t="e">
        <f aca="false">Lishoy!B14+";7#!Ey"</f>
        <v>#VALUE!</v>
      </c>
      <c r="HI11" s="0" t="e">
        <f aca="false">Lishoy!C14+";7#!Ez"</f>
        <v>#VALUE!</v>
      </c>
      <c r="HJ11" s="0" t="e">
        <f aca="false">Lishoy!D14+";7#!E{"</f>
        <v>#VALUE!</v>
      </c>
      <c r="HK11" s="0" t="e">
        <f aca="false">Lishoy!E14+";7#!E|"</f>
        <v>#VALUE!</v>
      </c>
      <c r="HL11" s="0" t="e">
        <f aca="false">Lishoy!F14+";7#!E}"</f>
        <v>#VALUE!</v>
      </c>
      <c r="HM11" s="0" t="e">
        <f aca="false">Lishoy!G14+";7#!E~"</f>
        <v>#VALUE!</v>
      </c>
      <c r="HN11" s="0" t="e">
        <f aca="false">Lishoy!H14+";7#!F#"</f>
        <v>#VALUE!</v>
      </c>
      <c r="HO11" s="0" t="e">
        <f aca="false">Lishoy!I14+";7#!F$"</f>
        <v>#VALUE!</v>
      </c>
      <c r="HP11" s="0" t="e">
        <f aca="false">Lishoy!J14+";7#!F%"</f>
        <v>#VALUE!</v>
      </c>
      <c r="HQ11" s="0" t="e">
        <f aca="false">Lishoy!K14+";7#!F&amp;"</f>
        <v>#VALUE!</v>
      </c>
      <c r="HR11" s="0" t="e">
        <f aca="false">Lishoy!L14+";7#!F'"</f>
        <v>#VALUE!</v>
      </c>
      <c r="HS11" s="0" t="e">
        <f aca="false">Lishoy!M14+";7#!F("</f>
        <v>#VALUE!</v>
      </c>
      <c r="HT11" s="0" t="e">
        <f aca="false">Lishoy!N14+";7#!F)"</f>
        <v>#VALUE!</v>
      </c>
      <c r="HU11" s="0" t="e">
        <f aca="false">Lishoy!O14+";7#!F."</f>
        <v>#VALUE!</v>
      </c>
      <c r="HV11" s="0" t="e">
        <f aca="false">Lishoy!P14+";7#!F/"</f>
        <v>#VALUE!</v>
      </c>
      <c r="HW11" s="0" t="e">
        <f aca="false">Lishoy!A15+";7#!F0"</f>
        <v>#VALUE!</v>
      </c>
      <c r="HX11" s="0" t="e">
        <f aca="false">Lishoy!B15+";7#!F1"</f>
        <v>#VALUE!</v>
      </c>
      <c r="HY11" s="0" t="e">
        <f aca="false">Lishoy!C15+";7#!F2"</f>
        <v>#VALUE!</v>
      </c>
      <c r="HZ11" s="0" t="e">
        <f aca="false">Lishoy!D15+";7#!F3"</f>
        <v>#VALUE!</v>
      </c>
      <c r="IA11" s="0" t="e">
        <f aca="false">Lishoy!E15+";7#!F4"</f>
        <v>#VALUE!</v>
      </c>
      <c r="IB11" s="0" t="e">
        <f aca="false">Lishoy!F15+";7#!F5"</f>
        <v>#VALUE!</v>
      </c>
      <c r="IC11" s="0" t="e">
        <f aca="false">Lishoy!G15+";7#!F6"</f>
        <v>#VALUE!</v>
      </c>
      <c r="ID11" s="0" t="e">
        <f aca="false">Lishoy!H15+";7#!F7"</f>
        <v>#VALUE!</v>
      </c>
      <c r="IE11" s="0" t="e">
        <f aca="false">Lishoy!I15+";7#!F8"</f>
        <v>#VALUE!</v>
      </c>
      <c r="IF11" s="0" t="e">
        <f aca="false">Lishoy!J15+";7#!F9"</f>
        <v>#VALUE!</v>
      </c>
      <c r="IG11" s="0" t="e">
        <f aca="false">Lishoy!K15+";7#!F:"</f>
        <v>#VALUE!</v>
      </c>
      <c r="IH11" s="0" t="e">
        <f aca="false">Lishoy!L15+";7#!F;"</f>
        <v>#VALUE!</v>
      </c>
      <c r="II11" s="0" t="e">
        <f aca="false">Lishoy!M15+";7#!F&lt;"</f>
        <v>#VALUE!</v>
      </c>
      <c r="IJ11" s="0" t="e">
        <f aca="false">Lishoy!N15+";7#!F="</f>
        <v>#VALUE!</v>
      </c>
      <c r="IK11" s="0" t="e">
        <f aca="false">Lishoy!O15+";7#!F&gt;"</f>
        <v>#VALUE!</v>
      </c>
      <c r="IL11" s="0" t="e">
        <f aca="false">Lishoy!P15+";7#!F?"</f>
        <v>#VALUE!</v>
      </c>
      <c r="IM11" s="0" t="e">
        <f aca="false">Lishoy!A16+";7#!F@"</f>
        <v>#VALUE!</v>
      </c>
      <c r="IN11" s="0" t="e">
        <f aca="false">Lishoy!B16+";7#!FA"</f>
        <v>#VALUE!</v>
      </c>
      <c r="IO11" s="0" t="e">
        <f aca="false">Lishoy!C16+";7#!FB"</f>
        <v>#VALUE!</v>
      </c>
      <c r="IP11" s="0" t="e">
        <f aca="false">Lishoy!D16+";7#!FC"</f>
        <v>#VALUE!</v>
      </c>
      <c r="IQ11" s="0" t="e">
        <f aca="false">Lishoy!E16+";7#!FD"</f>
        <v>#VALUE!</v>
      </c>
      <c r="IR11" s="0" t="e">
        <f aca="false">Lishoy!F16+";7#!FE"</f>
        <v>#VALUE!</v>
      </c>
      <c r="IS11" s="0" t="e">
        <f aca="false">Lishoy!G16+";7#!FF"</f>
        <v>#VALUE!</v>
      </c>
      <c r="IT11" s="0" t="e">
        <f aca="false">Lishoy!H16+";7#!FG"</f>
        <v>#VALUE!</v>
      </c>
      <c r="IU11" s="0" t="e">
        <f aca="false">Lishoy!I16+";7#!FH"</f>
        <v>#VALUE!</v>
      </c>
      <c r="IV11" s="0" t="e">
        <f aca="false">Lishoy!J16+";7#!FI"</f>
        <v>#VALUE!</v>
      </c>
    </row>
    <row r="12" customFormat="false" ht="15" hidden="false" customHeight="false" outlineLevel="0" collapsed="false">
      <c r="F12" s="0" t="e">
        <f aca="false">Lishoy!K16+";7#!FJ"</f>
        <v>#VALUE!</v>
      </c>
      <c r="G12" s="0" t="e">
        <f aca="false">Lishoy!L16+";7#!FK"</f>
        <v>#VALUE!</v>
      </c>
      <c r="H12" s="0" t="e">
        <f aca="false">Lishoy!M16+";7#!FL"</f>
        <v>#VALUE!</v>
      </c>
      <c r="I12" s="0" t="e">
        <f aca="false">Lishoy!N16+";7#!FM"</f>
        <v>#VALUE!</v>
      </c>
      <c r="J12" s="0" t="e">
        <f aca="false">Lishoy!O16+";7#!FN"</f>
        <v>#VALUE!</v>
      </c>
      <c r="K12" s="0" t="e">
        <f aca="false">Lishoy!P16+";7#!FO"</f>
        <v>#VALUE!</v>
      </c>
      <c r="L12" s="0" t="e">
        <f aca="false">Lishoy!A17+";7#!FP"</f>
        <v>#VALUE!</v>
      </c>
      <c r="M12" s="0" t="e">
        <f aca="false">Lishoy!B17+";7#!FQ"</f>
        <v>#VALUE!</v>
      </c>
      <c r="N12" s="0" t="e">
        <f aca="false">Lishoy!C17+";7#!FR"</f>
        <v>#VALUE!</v>
      </c>
      <c r="O12" s="0" t="e">
        <f aca="false">Lishoy!D17+";7#!FS"</f>
        <v>#VALUE!</v>
      </c>
      <c r="P12" s="0" t="e">
        <f aca="false">Lishoy!E17+";7#!FT"</f>
        <v>#VALUE!</v>
      </c>
      <c r="Q12" s="0" t="e">
        <f aca="false">Lishoy!F17+";7#!FU"</f>
        <v>#VALUE!</v>
      </c>
      <c r="R12" s="0" t="e">
        <f aca="false">Lishoy!G17+";7#!FV"</f>
        <v>#VALUE!</v>
      </c>
      <c r="S12" s="0" t="e">
        <f aca="false">Lishoy!H17+";7#!FW"</f>
        <v>#VALUE!</v>
      </c>
      <c r="T12" s="0" t="e">
        <f aca="false">Lishoy!I17+";7#!FX"</f>
        <v>#VALUE!</v>
      </c>
      <c r="U12" s="0" t="e">
        <f aca="false">Lishoy!J17+";7#!FY"</f>
        <v>#VALUE!</v>
      </c>
      <c r="V12" s="0" t="e">
        <f aca="false">Lishoy!K17+";7#!FZ"</f>
        <v>#VALUE!</v>
      </c>
      <c r="W12" s="0" t="e">
        <f aca="false">Lishoy!L17+";7#!F["</f>
        <v>#VALUE!</v>
      </c>
      <c r="X12" s="0" t="e">
        <f aca="false">Lishoy!M17+";7#!F\"</f>
        <v>#VALUE!</v>
      </c>
      <c r="Y12" s="0" t="e">
        <f aca="false">Lishoy!N17+";7#!F]"</f>
        <v>#VALUE!</v>
      </c>
      <c r="Z12" s="0" t="e">
        <f aca="false">Lishoy!O17+";7#!F^"</f>
        <v>#VALUE!</v>
      </c>
      <c r="AA12" s="0" t="e">
        <f aca="false">Lishoy!P17+";7#!F_"</f>
        <v>#VALUE!</v>
      </c>
      <c r="AB12" s="0" t="e">
        <f aca="false">Lishoy!A18+";7#!F`"</f>
        <v>#VALUE!</v>
      </c>
      <c r="AC12" s="0" t="e">
        <f aca="false">Lishoy!B18+";7#!Fa"</f>
        <v>#VALUE!</v>
      </c>
      <c r="AD12" s="0" t="e">
        <f aca="false">Lishoy!C18+";7#!Fb"</f>
        <v>#VALUE!</v>
      </c>
      <c r="AE12" s="0" t="e">
        <f aca="false">Lishoy!D18+";7#!Fc"</f>
        <v>#VALUE!</v>
      </c>
      <c r="AF12" s="0" t="e">
        <f aca="false">Lishoy!E18+";7#!Fd"</f>
        <v>#VALUE!</v>
      </c>
      <c r="AG12" s="0" t="e">
        <f aca="false">Lishoy!F18+";7#!Fe"</f>
        <v>#VALUE!</v>
      </c>
      <c r="AH12" s="0" t="e">
        <f aca="false">Lishoy!G18+";7#!Ff"</f>
        <v>#VALUE!</v>
      </c>
      <c r="AI12" s="0" t="e">
        <f aca="false">Lishoy!H18+";7#!Fg"</f>
        <v>#VALUE!</v>
      </c>
      <c r="AJ12" s="0" t="e">
        <f aca="false">Lishoy!I18+";7#!Fh"</f>
        <v>#VALUE!</v>
      </c>
      <c r="AK12" s="0" t="e">
        <f aca="false">Lishoy!J18+";7#!Fi"</f>
        <v>#VALUE!</v>
      </c>
      <c r="AL12" s="0" t="e">
        <f aca="false">Lishoy!K18+";7#!Fj"</f>
        <v>#VALUE!</v>
      </c>
      <c r="AM12" s="0" t="e">
        <f aca="false">Lishoy!L18+";7#!Fk"</f>
        <v>#VALUE!</v>
      </c>
      <c r="AN12" s="0" t="e">
        <f aca="false">Lishoy!M18+";7#!Fl"</f>
        <v>#VALUE!</v>
      </c>
      <c r="AO12" s="0" t="e">
        <f aca="false">Lishoy!N18+";7#!Fm"</f>
        <v>#VALUE!</v>
      </c>
      <c r="AP12" s="0" t="e">
        <f aca="false">Lishoy!O18+";7#!Fn"</f>
        <v>#VALUE!</v>
      </c>
      <c r="AQ12" s="0" t="e">
        <f aca="false">Lishoy!P18+";7#!Fo"</f>
        <v>#VALUE!</v>
      </c>
      <c r="AR12" s="0" t="e">
        <f aca="false">Lishoy!A19+";7#!Fp"</f>
        <v>#VALUE!</v>
      </c>
      <c r="AS12" s="0" t="e">
        <f aca="false">Lishoy!B19+";7#!Fq"</f>
        <v>#VALUE!</v>
      </c>
      <c r="AT12" s="0" t="e">
        <f aca="false">Lishoy!C19+";7#!Fr"</f>
        <v>#VALUE!</v>
      </c>
      <c r="AU12" s="0" t="e">
        <f aca="false">Lishoy!D19+";7#!Fs"</f>
        <v>#VALUE!</v>
      </c>
      <c r="AV12" s="0" t="e">
        <f aca="false">Lishoy!E19+";7#!Ft"</f>
        <v>#VALUE!</v>
      </c>
      <c r="AW12" s="0" t="e">
        <f aca="false">Lishoy!F19+";7#!Fu"</f>
        <v>#VALUE!</v>
      </c>
      <c r="AX12" s="0" t="e">
        <f aca="false">Lishoy!G19+";7#!Fv"</f>
        <v>#VALUE!</v>
      </c>
      <c r="AY12" s="0" t="e">
        <f aca="false">Lishoy!H19+";7#!Fw"</f>
        <v>#VALUE!</v>
      </c>
      <c r="AZ12" s="0" t="e">
        <f aca="false">Lishoy!I19+";7#!Fx"</f>
        <v>#VALUE!</v>
      </c>
      <c r="BA12" s="0" t="e">
        <f aca="false">Lishoy!J19+";7#!Fy"</f>
        <v>#VALUE!</v>
      </c>
      <c r="BB12" s="0" t="e">
        <f aca="false">Lishoy!K19+";7#!Fz"</f>
        <v>#VALUE!</v>
      </c>
      <c r="BC12" s="0" t="e">
        <f aca="false">Lishoy!L19+";7#!F{"</f>
        <v>#VALUE!</v>
      </c>
      <c r="BD12" s="0" t="e">
        <f aca="false">Lishoy!M19+";7#!F|"</f>
        <v>#VALUE!</v>
      </c>
      <c r="BE12" s="0" t="e">
        <f aca="false">Lishoy!N19+";7#!F}"</f>
        <v>#VALUE!</v>
      </c>
      <c r="BF12" s="0" t="e">
        <f aca="false">Lishoy!O19+";7#!F~"</f>
        <v>#VALUE!</v>
      </c>
      <c r="BG12" s="0" t="e">
        <f aca="false">Lishoy!P19+";7#!G#"</f>
        <v>#VALUE!</v>
      </c>
      <c r="BH12" s="0" t="e">
        <f aca="false">Lishoy!A20+";7#!G$"</f>
        <v>#VALUE!</v>
      </c>
      <c r="BI12" s="0" t="e">
        <f aca="false">Lishoy!B20+";7#!G%"</f>
        <v>#VALUE!</v>
      </c>
      <c r="BJ12" s="0" t="e">
        <f aca="false">Lishoy!C20+";7#!G&amp;"</f>
        <v>#N/A</v>
      </c>
      <c r="BK12" s="0" t="e">
        <f aca="false">Lishoy!D20+";7#!G'"</f>
        <v>#VALUE!</v>
      </c>
      <c r="BL12" s="0" t="e">
        <f aca="false">Lishoy!E20+";7#!G("</f>
        <v>#VALUE!</v>
      </c>
      <c r="BM12" s="0" t="e">
        <f aca="false">Lishoy!F20+";7#!G)"</f>
        <v>#VALUE!</v>
      </c>
      <c r="BN12" s="0" t="e">
        <f aca="false">Lishoy!G20+";7#!G."</f>
        <v>#VALUE!</v>
      </c>
      <c r="BO12" s="0" t="e">
        <f aca="false">Lishoy!H20+";7#!G/"</f>
        <v>#VALUE!</v>
      </c>
      <c r="BP12" s="0" t="e">
        <f aca="false">Lishoy!I20+";7#!G0"</f>
        <v>#VALUE!</v>
      </c>
      <c r="BQ12" s="0" t="e">
        <f aca="false">Lishoy!J20+";7#!G1"</f>
        <v>#VALUE!</v>
      </c>
      <c r="BR12" s="0" t="e">
        <f aca="false">Lishoy!K20+";7#!G2"</f>
        <v>#VALUE!</v>
      </c>
      <c r="BS12" s="0" t="e">
        <f aca="false">Lishoy!L20+";7#!G3"</f>
        <v>#VALUE!</v>
      </c>
      <c r="BT12" s="0" t="e">
        <f aca="false">Lishoy!M20+";7#!G4"</f>
        <v>#VALUE!</v>
      </c>
      <c r="BU12" s="0" t="e">
        <f aca="false">Lishoy!N20+";7#!G5"</f>
        <v>#VALUE!</v>
      </c>
      <c r="BV12" s="0" t="e">
        <f aca="false">Lishoy!O20+";7#!G6"</f>
        <v>#VALUE!</v>
      </c>
      <c r="BW12" s="0" t="e">
        <f aca="false">Lishoy!P20+";7#!G7"</f>
        <v>#VALUE!</v>
      </c>
      <c r="BX12" s="0" t="e">
        <f aca="false">Lishoy!A21+";7#!G8"</f>
        <v>#VALUE!</v>
      </c>
      <c r="BY12" s="0" t="e">
        <f aca="false">Lishoy!B21+";7#!G9"</f>
        <v>#VALUE!</v>
      </c>
      <c r="BZ12" s="0" t="e">
        <f aca="false">Lishoy!C21+";7#!G:"</f>
        <v>#N/A</v>
      </c>
      <c r="CA12" s="0" t="e">
        <f aca="false">Lishoy!D21+";7#!G;"</f>
        <v>#VALUE!</v>
      </c>
      <c r="CB12" s="0" t="e">
        <f aca="false">Lishoy!E21+";7#!G&lt;"</f>
        <v>#VALUE!</v>
      </c>
      <c r="CC12" s="0" t="e">
        <f aca="false">Lishoy!F21+";7#!G="</f>
        <v>#VALUE!</v>
      </c>
      <c r="CD12" s="0" t="e">
        <f aca="false">Lishoy!G21+";7#!G&gt;"</f>
        <v>#VALUE!</v>
      </c>
      <c r="CE12" s="0" t="e">
        <f aca="false">Lishoy!H21+";7#!G?"</f>
        <v>#VALUE!</v>
      </c>
      <c r="CF12" s="0" t="e">
        <f aca="false">Lishoy!I21+";7#!G@"</f>
        <v>#VALUE!</v>
      </c>
      <c r="CG12" s="0" t="e">
        <f aca="false">Lishoy!J21+";7#!GA"</f>
        <v>#VALUE!</v>
      </c>
      <c r="CH12" s="0" t="e">
        <f aca="false">Lishoy!K21+";7#!GB"</f>
        <v>#VALUE!</v>
      </c>
      <c r="CI12" s="0" t="e">
        <f aca="false">Lishoy!L21+";7#!GC"</f>
        <v>#VALUE!</v>
      </c>
      <c r="CJ12" s="0" t="e">
        <f aca="false">Lishoy!M21+";7#!GD"</f>
        <v>#VALUE!</v>
      </c>
      <c r="CK12" s="0" t="e">
        <f aca="false">Lishoy!N21+";7#!GE"</f>
        <v>#VALUE!</v>
      </c>
      <c r="CL12" s="0" t="e">
        <f aca="false">Lishoy!O21+";7#!GF"</f>
        <v>#VALUE!</v>
      </c>
      <c r="CM12" s="0" t="e">
        <f aca="false">Lishoy!P21+";7#!GG"</f>
        <v>#VALUE!</v>
      </c>
      <c r="CN12" s="0" t="e">
        <f aca="false">Lishoy!A22+";7#!GH"</f>
        <v>#VALUE!</v>
      </c>
      <c r="CO12" s="0" t="e">
        <f aca="false">Lishoy!B22+";7#!GI"</f>
        <v>#VALUE!</v>
      </c>
      <c r="CP12" s="0" t="e">
        <f aca="false">Lishoy!C22+";7#!GJ"</f>
        <v>#N/A</v>
      </c>
      <c r="CQ12" s="0" t="e">
        <f aca="false">Lishoy!D22+";7#!GK"</f>
        <v>#VALUE!</v>
      </c>
      <c r="CR12" s="0" t="e">
        <f aca="false">Lishoy!E22+";7#!GL"</f>
        <v>#VALUE!</v>
      </c>
      <c r="CS12" s="0" t="e">
        <f aca="false">Lishoy!F22+";7#!GM"</f>
        <v>#VALUE!</v>
      </c>
      <c r="CT12" s="0" t="e">
        <f aca="false">Lishoy!G22+";7#!GN"</f>
        <v>#VALUE!</v>
      </c>
      <c r="CU12" s="0" t="e">
        <f aca="false">Lishoy!H22+";7#!GO"</f>
        <v>#VALUE!</v>
      </c>
      <c r="CV12" s="0" t="e">
        <f aca="false">Lishoy!I22+";7#!GP"</f>
        <v>#VALUE!</v>
      </c>
      <c r="CW12" s="0" t="e">
        <f aca="false">Lishoy!J22+";7#!GQ"</f>
        <v>#VALUE!</v>
      </c>
      <c r="CX12" s="0" t="e">
        <f aca="false">Lishoy!K22+";7#!GR"</f>
        <v>#VALUE!</v>
      </c>
      <c r="CY12" s="0" t="e">
        <f aca="false">Lishoy!L22+";7#!GS"</f>
        <v>#VALUE!</v>
      </c>
      <c r="CZ12" s="0" t="e">
        <f aca="false">Lishoy!M22+";7#!GT"</f>
        <v>#VALUE!</v>
      </c>
      <c r="DA12" s="0" t="e">
        <f aca="false">Lishoy!N22+";7#!GU"</f>
        <v>#VALUE!</v>
      </c>
      <c r="DB12" s="0" t="e">
        <f aca="false">Lishoy!O22+";7#!GV"</f>
        <v>#VALUE!</v>
      </c>
      <c r="DC12" s="0" t="e">
        <f aca="false">Lishoy!P22+";7#!GW"</f>
        <v>#VALUE!</v>
      </c>
      <c r="DD12" s="0" t="e">
        <f aca="false">Lishoy!A23+";7#!GX"</f>
        <v>#VALUE!</v>
      </c>
      <c r="DE12" s="0" t="e">
        <f aca="false">Lishoy!B23+";7#!GY"</f>
        <v>#VALUE!</v>
      </c>
      <c r="DF12" s="0" t="e">
        <f aca="false">Lishoy!C23+";7#!GZ"</f>
        <v>#VALUE!</v>
      </c>
      <c r="DG12" s="35" t="e">
        <f aca="false">Lishoy!D23+";7#!G["</f>
        <v>#VALUE!</v>
      </c>
      <c r="DH12" s="35" t="e">
        <f aca="false">Lishoy!E23+";7#!G\"</f>
        <v>#VALUE!</v>
      </c>
      <c r="DI12" s="35" t="e">
        <f aca="false">Lishoy!F23+";7#!G]"</f>
        <v>#VALUE!</v>
      </c>
      <c r="DJ12" s="35" t="e">
        <f aca="false">Lishoy!G23+";7#!G^"</f>
        <v>#VALUE!</v>
      </c>
      <c r="DK12" s="35" t="e">
        <f aca="false">Lishoy!H23+";7#!G_"</f>
        <v>#VALUE!</v>
      </c>
      <c r="DL12" s="35" t="e">
        <f aca="false">Lishoy!I23+";7#!G`"</f>
        <v>#VALUE!</v>
      </c>
      <c r="DM12" s="35" t="e">
        <f aca="false">Lishoy!J23+";7#!Ga"</f>
        <v>#VALUE!</v>
      </c>
      <c r="DN12" s="35" t="e">
        <f aca="false">Lishoy!K23+";7#!Gb"</f>
        <v>#VALUE!</v>
      </c>
      <c r="DO12" s="35" t="e">
        <f aca="false">Lishoy!L23+";7#!Gc"</f>
        <v>#VALUE!</v>
      </c>
      <c r="DP12" s="35" t="e">
        <f aca="false">Lishoy!M23+";7#!Gd"</f>
        <v>#VALUE!</v>
      </c>
      <c r="DQ12" s="35" t="e">
        <f aca="false">Lishoy!N23+";7#!Ge"</f>
        <v>#VALUE!</v>
      </c>
      <c r="DR12" s="35" t="e">
        <f aca="false">Lishoy!O23+";7#!Gf"</f>
        <v>#VALUE!</v>
      </c>
      <c r="DS12" s="35" t="e">
        <f aca="false">Lishoy!P23+";7#!Gg"</f>
        <v>#VALUE!</v>
      </c>
      <c r="DT12" s="0" t="e">
        <f aca="false">Lishoy!A24+";7#!Gh"</f>
        <v>#VALUE!</v>
      </c>
      <c r="DU12" s="0" t="e">
        <f aca="false">Lishoy!B24+";7#!Gi"</f>
        <v>#VALUE!</v>
      </c>
      <c r="DV12" s="0" t="e">
        <f aca="false">Lishoy!C24+";7#!Gj"</f>
        <v>#VALUE!</v>
      </c>
      <c r="DW12" s="35" t="e">
        <f aca="false">Lishoy!D24+";7#!Gk"</f>
        <v>#VALUE!</v>
      </c>
      <c r="DX12" s="35" t="e">
        <f aca="false">Lishoy!E24+";7#!Gl"</f>
        <v>#VALUE!</v>
      </c>
      <c r="DY12" s="35" t="e">
        <f aca="false">Lishoy!F24+";7#!Gm"</f>
        <v>#VALUE!</v>
      </c>
      <c r="DZ12" s="35" t="e">
        <f aca="false">Lishoy!G24+";7#!Gn"</f>
        <v>#VALUE!</v>
      </c>
      <c r="EA12" s="35" t="e">
        <f aca="false">Lishoy!H24+";7#!Go"</f>
        <v>#VALUE!</v>
      </c>
      <c r="EB12" s="35" t="e">
        <f aca="false">Lishoy!I24+";7#!Gp"</f>
        <v>#VALUE!</v>
      </c>
      <c r="EC12" s="35" t="e">
        <f aca="false">Lishoy!J24+";7#!Gq"</f>
        <v>#VALUE!</v>
      </c>
      <c r="ED12" s="35" t="e">
        <f aca="false">Lishoy!K24+";7#!Gr"</f>
        <v>#VALUE!</v>
      </c>
      <c r="EE12" s="35" t="e">
        <f aca="false">Lishoy!L24+";7#!Gs"</f>
        <v>#VALUE!</v>
      </c>
      <c r="EF12" s="35" t="e">
        <f aca="false">Lishoy!M24+";7#!Gt"</f>
        <v>#VALUE!</v>
      </c>
      <c r="EG12" s="35" t="e">
        <f aca="false">Lishoy!N24+";7#!Gu"</f>
        <v>#VALUE!</v>
      </c>
      <c r="EH12" s="35" t="e">
        <f aca="false">Lishoy!O24+";7#!Gv"</f>
        <v>#VALUE!</v>
      </c>
      <c r="EI12" s="35" t="e">
        <f aca="false">Lishoy!P24+";7#!Gw"</f>
        <v>#VALUE!</v>
      </c>
      <c r="EJ12" s="0" t="e">
        <f aca="false">Lishoy!A25+";7#!Gx"</f>
        <v>#VALUE!</v>
      </c>
      <c r="EK12" s="0" t="e">
        <f aca="false">Lishoy!B25+";7#!Gy"</f>
        <v>#VALUE!</v>
      </c>
      <c r="EL12" s="0" t="e">
        <f aca="false">Lishoy!C25+";7#!Gz"</f>
        <v>#VALUE!</v>
      </c>
      <c r="EM12" s="35" t="e">
        <f aca="false">Lishoy!D25+";7#!G{"</f>
        <v>#VALUE!</v>
      </c>
      <c r="EN12" s="35" t="e">
        <f aca="false">Lishoy!E25+";7#!G|"</f>
        <v>#VALUE!</v>
      </c>
      <c r="EO12" s="35" t="e">
        <f aca="false">Lishoy!F25+";7#!G}"</f>
        <v>#VALUE!</v>
      </c>
      <c r="EP12" s="35" t="e">
        <f aca="false">Lishoy!G25+";7#!G~"</f>
        <v>#VALUE!</v>
      </c>
      <c r="EQ12" s="35" t="e">
        <f aca="false">Lishoy!H25+";7#!H#"</f>
        <v>#VALUE!</v>
      </c>
      <c r="ER12" s="35" t="e">
        <f aca="false">Lishoy!I25+";7#!H$"</f>
        <v>#VALUE!</v>
      </c>
      <c r="ES12" s="35" t="e">
        <f aca="false">Lishoy!J25+";7#!H%"</f>
        <v>#VALUE!</v>
      </c>
      <c r="ET12" s="35" t="e">
        <f aca="false">Lishoy!K25+";7#!H&amp;"</f>
        <v>#VALUE!</v>
      </c>
      <c r="EU12" s="35" t="e">
        <f aca="false">Lishoy!L25+";7#!H'"</f>
        <v>#VALUE!</v>
      </c>
      <c r="EV12" s="35" t="e">
        <f aca="false">Lishoy!M25+";7#!H("</f>
        <v>#VALUE!</v>
      </c>
      <c r="EW12" s="35" t="e">
        <f aca="false">Lishoy!N25+";7#!H)"</f>
        <v>#VALUE!</v>
      </c>
      <c r="EX12" s="35" t="e">
        <f aca="false">Lishoy!O25+";7#!H."</f>
        <v>#VALUE!</v>
      </c>
      <c r="EY12" s="35" t="e">
        <f aca="false">Lishoy!P25+";7#!H/"</f>
        <v>#VALUE!</v>
      </c>
      <c r="EZ12" s="0" t="e">
        <f aca="false">Lishoy!A26+";7#!H0"</f>
        <v>#VALUE!</v>
      </c>
      <c r="FA12" s="0" t="e">
        <f aca="false">Lishoy!B26+";7#!H1"</f>
        <v>#VALUE!</v>
      </c>
      <c r="FB12" s="0" t="e">
        <f aca="false">Lishoy!C26+";7#!H2"</f>
        <v>#VALUE!</v>
      </c>
      <c r="FC12" s="36" t="e">
        <f aca="false">Lishoy!D26+";7#!H3"</f>
        <v>#VALUE!</v>
      </c>
      <c r="FD12" s="36" t="e">
        <f aca="false">Lishoy!E26+";7#!H4"</f>
        <v>#VALUE!</v>
      </c>
      <c r="FE12" s="36" t="e">
        <f aca="false">Lishoy!F26+";7#!H5"</f>
        <v>#VALUE!</v>
      </c>
      <c r="FF12" s="36" t="e">
        <f aca="false">Lishoy!G26+";7#!H6"</f>
        <v>#VALUE!</v>
      </c>
      <c r="FG12" s="36" t="e">
        <f aca="false">Lishoy!H26+";7#!H7"</f>
        <v>#VALUE!</v>
      </c>
      <c r="FH12" s="36" t="e">
        <f aca="false">Lishoy!I26+";7#!H8"</f>
        <v>#VALUE!</v>
      </c>
      <c r="FI12" s="36" t="e">
        <f aca="false">Lishoy!J26+";7#!H9"</f>
        <v>#DIV/0!</v>
      </c>
      <c r="FJ12" s="36" t="e">
        <f aca="false">Lishoy!K26+";7#!H:"</f>
        <v>#DIV/0!</v>
      </c>
      <c r="FK12" s="36" t="e">
        <f aca="false">Lishoy!L26+";7#!H;"</f>
        <v>#DIV/0!</v>
      </c>
      <c r="FL12" s="36" t="e">
        <f aca="false">Lishoy!M26+";7#!H&lt;"</f>
        <v>#DIV/0!</v>
      </c>
      <c r="FM12" s="36" t="e">
        <f aca="false">Lishoy!N26+";7#!H="</f>
        <v>#DIV/0!</v>
      </c>
      <c r="FN12" s="36" t="e">
        <f aca="false">Lishoy!O26+";7#!H&gt;"</f>
        <v>#DIV/0!</v>
      </c>
      <c r="FO12" s="36" t="e">
        <f aca="false">Lishoy!P26+";7#!H?"</f>
        <v>#VALUE!</v>
      </c>
      <c r="FP12" s="0" t="e">
        <f aca="false">Claudio!A:A*";7#!H@"</f>
        <v>#VALUE!</v>
      </c>
      <c r="FQ12" s="0" t="e">
        <f aca="false">Claudio!B:B*";7#!HA"</f>
        <v>#VALUE!</v>
      </c>
      <c r="FR12" s="0" t="e">
        <f aca="false">Claudio!C:C*";7#!HB"</f>
        <v>#VALUE!</v>
      </c>
      <c r="FS12" s="0" t="e">
        <f aca="false">Claudio!D:D*";7#!HC"</f>
        <v>#VALUE!</v>
      </c>
      <c r="FT12" s="0" t="e">
        <f aca="false">Claudio!E:E*";7#!HD"</f>
        <v>#VALUE!</v>
      </c>
      <c r="FU12" s="0" t="e">
        <f aca="false">Claudio!F:F*";7#!HE"</f>
        <v>#VALUE!</v>
      </c>
      <c r="FV12" s="0" t="e">
        <f aca="false">Claudio!G:G*";7#!HF"</f>
        <v>#VALUE!</v>
      </c>
      <c r="FW12" s="0" t="e">
        <f aca="false">Claudio!H:H*";7#!HG"</f>
        <v>#VALUE!</v>
      </c>
      <c r="FX12" s="0" t="e">
        <f aca="false">Claudio!I:I*";7#!HH"</f>
        <v>#VALUE!</v>
      </c>
      <c r="FY12" s="0" t="e">
        <f aca="false">Claudio!J:J*";7#!HI"</f>
        <v>#VALUE!</v>
      </c>
      <c r="FZ12" s="0" t="e">
        <f aca="false">Claudio!K:K*";7#!HJ"</f>
        <v>#VALUE!</v>
      </c>
      <c r="GA12" s="0" t="e">
        <f aca="false">Claudio!L:L*";7#!HK"</f>
        <v>#VALUE!</v>
      </c>
      <c r="GB12" s="0" t="e">
        <f aca="false">Claudio!M:M*";7#!HL"</f>
        <v>#VALUE!</v>
      </c>
      <c r="GC12" s="0" t="e">
        <f aca="false">Claudio!N:N*";7#!HM"</f>
        <v>#VALUE!</v>
      </c>
      <c r="GD12" s="0" t="e">
        <f aca="false">Claudio!O:O*";7#!HN"</f>
        <v>#VALUE!</v>
      </c>
      <c r="GE12" s="0" t="e">
        <f aca="false">Claudio!P:P*";7#!HO"</f>
        <v>#VALUE!</v>
      </c>
      <c r="GF12" s="0" t="e">
        <f aca="false">Claudio!Q:Q*";7#!HP"</f>
        <v>#VALUE!</v>
      </c>
      <c r="GG12" s="0" t="e">
        <f aca="false">Claudio!R:R*";7#!HQ"</f>
        <v>#VALUE!</v>
      </c>
      <c r="GH12" s="0" t="e">
        <f aca="false">Claudio!S:S*";7#!HR"</f>
        <v>#VALUE!</v>
      </c>
      <c r="GI12" s="0" t="e">
        <f aca="false">Claudio!T:T*";7#!HS"</f>
        <v>#VALUE!</v>
      </c>
      <c r="GJ12" s="0" t="e">
        <f aca="false">Claudio!U:U*";7#!HT"</f>
        <v>#VALUE!</v>
      </c>
      <c r="GK12" s="0" t="e">
        <f aca="false">Claudio!V:V*";7#!HU"</f>
        <v>#VALUE!</v>
      </c>
      <c r="GL12" s="0" t="e">
        <f aca="false">Claudio!W:W*";7#!HV"</f>
        <v>#VALUE!</v>
      </c>
      <c r="GM12" s="0" t="e">
        <f aca="false">Claudio!X:X*";7#!HW"</f>
        <v>#VALUE!</v>
      </c>
      <c r="GN12" s="0" t="e">
        <f aca="false">Claudio!Y:Y*";7#!HX"</f>
        <v>#VALUE!</v>
      </c>
      <c r="GO12" s="0" t="e">
        <f aca="false">Claudio!Z:Z*";7#!HY"</f>
        <v>#VALUE!</v>
      </c>
      <c r="GP12" s="0" t="e">
        <f aca="false">Claudio!AA:AA*";7#!HZ"</f>
        <v>#VALUE!</v>
      </c>
      <c r="GQ12" s="0" t="e">
        <f aca="false">Claudio!AB:AB*";7#!H["</f>
        <v>#VALUE!</v>
      </c>
      <c r="GR12" s="0" t="e">
        <f aca="false">Claudio!AC:AC*";7#!H\"</f>
        <v>#VALUE!</v>
      </c>
      <c r="GS12" s="0" t="e">
        <f aca="false">Claudio!AD:AD*";7#!H]"</f>
        <v>#VALUE!</v>
      </c>
      <c r="GT12" s="0" t="e">
        <f aca="false">Claudio!AE:AE*";7#!H^"</f>
        <v>#VALUE!</v>
      </c>
      <c r="GU12" s="0" t="e">
        <f aca="false">Claudio!AF:AF*";7#!H_"</f>
        <v>#VALUE!</v>
      </c>
      <c r="GV12" s="0" t="e">
        <f aca="false">Claudio!AG:AG*";7#!H`"</f>
        <v>#VALUE!</v>
      </c>
      <c r="GW12" s="0" t="e">
        <f aca="false">Claudio!AH:AH*";7#!Ha"</f>
        <v>#VALUE!</v>
      </c>
      <c r="GX12" s="0" t="e">
        <f aca="false">Claudio!AI:AI*";7#!Hb"</f>
        <v>#VALUE!</v>
      </c>
      <c r="GY12" s="0" t="e">
        <f aca="false">Claudio!AJ:AJ*";7#!Hc"</f>
        <v>#VALUE!</v>
      </c>
      <c r="GZ12" s="0" t="e">
        <f aca="false">Claudio!AK:AK*";7#!Hd"</f>
        <v>#VALUE!</v>
      </c>
      <c r="HA12" s="0" t="e">
        <f aca="false">Claudio!AL:AL*";7#!He"</f>
        <v>#VALUE!</v>
      </c>
      <c r="HB12" s="0" t="e">
        <f aca="false">Claudio!AM:AM*";7#!Hf"</f>
        <v>#VALUE!</v>
      </c>
      <c r="HC12" s="0" t="e">
        <f aca="false">Claudio!AN:AN*";7#!Hg"</f>
        <v>#VALUE!</v>
      </c>
      <c r="HD12" s="0" t="e">
        <f aca="false">Claudio!AO:AO*";7#!Hh"</f>
        <v>#VALUE!</v>
      </c>
      <c r="HE12" s="0" t="e">
        <f aca="false">Claudio!AP:AP*";7#!Hi"</f>
        <v>#VALUE!</v>
      </c>
      <c r="HF12" s="0" t="e">
        <f aca="false">Claudio!AQ:AQ*";7#!Hj"</f>
        <v>#VALUE!</v>
      </c>
      <c r="HG12" s="0" t="e">
        <f aca="false">Claudio!AR:AR*";7#!Hk"</f>
        <v>#VALUE!</v>
      </c>
      <c r="HH12" s="0" t="e">
        <f aca="false">Claudio!AS:AS*";7#!Hl"</f>
        <v>#VALUE!</v>
      </c>
      <c r="HI12" s="0" t="e">
        <f aca="false">Claudio!AT:AT*";7#!Hm"</f>
        <v>#VALUE!</v>
      </c>
      <c r="HJ12" s="0" t="e">
        <f aca="false">Claudio!AU:AU*";7#!Hn"</f>
        <v>#VALUE!</v>
      </c>
      <c r="HK12" s="0" t="e">
        <f aca="false">Claudio!AV:AV*";7#!Ho"</f>
        <v>#VALUE!</v>
      </c>
      <c r="HL12" s="0" t="e">
        <f aca="false">Claudio!AW:AW*";7#!Hp"</f>
        <v>#VALUE!</v>
      </c>
      <c r="HM12" s="0" t="e">
        <f aca="false">Claudio!AX:AX*";7#!Hq"</f>
        <v>#VALUE!</v>
      </c>
      <c r="HN12" s="0" t="e">
        <f aca="false">Claudio!AY:AY*";7#!Hr"</f>
        <v>#VALUE!</v>
      </c>
      <c r="HO12" s="0" t="e">
        <f aca="false">Claudio!AZ:AZ*";7#!Hs"</f>
        <v>#VALUE!</v>
      </c>
      <c r="HP12" s="0" t="e">
        <f aca="false">Claudio!BA:BA*";7#!Ht"</f>
        <v>#VALUE!</v>
      </c>
      <c r="HQ12" s="0" t="e">
        <f aca="false">Claudio!BB:BB*";7#!Hu"</f>
        <v>#VALUE!</v>
      </c>
      <c r="HR12" s="0" t="e">
        <f aca="false">Claudio!BC:BC*";7#!Hv"</f>
        <v>#VALUE!</v>
      </c>
      <c r="HS12" s="0" t="e">
        <f aca="false">Claudio!BD:BD*";7#!Hw"</f>
        <v>#VALUE!</v>
      </c>
      <c r="HT12" s="0" t="e">
        <f aca="false">Claudio!BE:BE*";7#!Hx"</f>
        <v>#VALUE!</v>
      </c>
      <c r="HU12" s="0" t="e">
        <f aca="false">Claudio!BF:BF*";7#!Hy"</f>
        <v>#VALUE!</v>
      </c>
      <c r="HV12" s="0" t="e">
        <f aca="false">Claudio!BG:BG*";7#!Hz"</f>
        <v>#VALUE!</v>
      </c>
      <c r="HW12" s="0" t="e">
        <f aca="false">Claudio!BH:BH*";7#!H{"</f>
        <v>#VALUE!</v>
      </c>
      <c r="HX12" s="0" t="e">
        <f aca="false">Claudio!BI:BI*";7#!H|"</f>
        <v>#VALUE!</v>
      </c>
      <c r="HY12" s="0" t="e">
        <f aca="false">Claudio!BJ:BJ*";7#!H}"</f>
        <v>#VALUE!</v>
      </c>
      <c r="HZ12" s="0" t="e">
        <f aca="false">Claudio!BK:BK*";7#!H~"</f>
        <v>#VALUE!</v>
      </c>
      <c r="IA12" s="0" t="e">
        <f aca="false">Claudio!BL:BL*";7#!I#"</f>
        <v>#VALUE!</v>
      </c>
      <c r="IB12" s="0" t="e">
        <f aca="false">Claudio!BM:BM*";7#!I$"</f>
        <v>#VALUE!</v>
      </c>
      <c r="IC12" s="0" t="e">
        <f aca="false">Claudio!BN:BN*";7#!I%"</f>
        <v>#VALUE!</v>
      </c>
      <c r="ID12" s="0" t="e">
        <f aca="false">Claudio!BO:BO*";7#!I&amp;"</f>
        <v>#VALUE!</v>
      </c>
      <c r="IE12" s="0" t="e">
        <f aca="false">Claudio!BP:BP*";7#!I'"</f>
        <v>#VALUE!</v>
      </c>
      <c r="IF12" s="0" t="e">
        <f aca="false">Claudio!BQ:BQ*";7#!I("</f>
        <v>#VALUE!</v>
      </c>
      <c r="IG12" s="0" t="e">
        <f aca="false">Claudio!BR:BR*";7#!I)"</f>
        <v>#VALUE!</v>
      </c>
      <c r="IH12" s="0" t="e">
        <f aca="false">Claudio!BS:BS*";7#!I."</f>
        <v>#VALUE!</v>
      </c>
      <c r="II12" s="0" t="e">
        <f aca="false">Claudio!BT:BT*";7#!I/"</f>
        <v>#VALUE!</v>
      </c>
      <c r="IJ12" s="0" t="e">
        <f aca="false">Claudio!BU:BU*";7#!I0"</f>
        <v>#VALUE!</v>
      </c>
      <c r="IK12" s="0" t="e">
        <f aca="false">Claudio!BV:BV*";7#!I1"</f>
        <v>#VALUE!</v>
      </c>
      <c r="IL12" s="0" t="e">
        <f aca="false">Claudio!BW:BW*";7#!I2"</f>
        <v>#VALUE!</v>
      </c>
      <c r="IM12" s="0" t="e">
        <f aca="false">Claudio!BX:BX*";7#!I3"</f>
        <v>#VALUE!</v>
      </c>
      <c r="IN12" s="0" t="e">
        <f aca="false">Claudio!BY:BY*";7#!I4"</f>
        <v>#VALUE!</v>
      </c>
      <c r="IO12" s="0" t="e">
        <f aca="false">Claudio!BZ:BZ*";7#!I5"</f>
        <v>#VALUE!</v>
      </c>
      <c r="IP12" s="0" t="e">
        <f aca="false">Claudio!CA:CA*";7#!I6"</f>
        <v>#VALUE!</v>
      </c>
      <c r="IQ12" s="0" t="e">
        <f aca="false">Claudio!CB:CB*";7#!I7"</f>
        <v>#VALUE!</v>
      </c>
      <c r="IR12" s="0" t="e">
        <f aca="false">Claudio!CC:CC*";7#!I8"</f>
        <v>#VALUE!</v>
      </c>
      <c r="IS12" s="0" t="e">
        <f aca="false">Claudio!1:1-";7#!I9"</f>
        <v>#VALUE!</v>
      </c>
      <c r="IT12" s="0" t="e">
        <f aca="false">Claudio!2:2-";7#!I:"</f>
        <v>#VALUE!</v>
      </c>
      <c r="IU12" s="0" t="e">
        <f aca="false">Claudio!3:3-";7#!I;"</f>
        <v>#VALUE!</v>
      </c>
      <c r="IV12" s="0" t="e">
        <f aca="false">Claudio!4:4-";7#!I&lt;"</f>
        <v>#VALUE!</v>
      </c>
    </row>
    <row r="13" customFormat="false" ht="15" hidden="false" customHeight="false" outlineLevel="0" collapsed="false">
      <c r="F13" s="0" t="e">
        <f aca="false">Claudio!5:5-";7#!I="</f>
        <v>#VALUE!</v>
      </c>
      <c r="G13" s="0" t="e">
        <f aca="false">Claudio!6:6-";7#!I&gt;"</f>
        <v>#VALUE!</v>
      </c>
      <c r="H13" s="0" t="e">
        <f aca="false">Claudio!7:7-";7#!I?"</f>
        <v>#VALUE!</v>
      </c>
      <c r="I13" s="0" t="e">
        <f aca="false">Claudio!8:8-";7#!I@"</f>
        <v>#VALUE!</v>
      </c>
      <c r="J13" s="0" t="e">
        <f aca="false">Claudio!9:9-";7#!IA"</f>
        <v>#VALUE!</v>
      </c>
      <c r="K13" s="0" t="e">
        <f aca="false">Claudio!10:10-";7#!IB"</f>
        <v>#VALUE!</v>
      </c>
      <c r="L13" s="0" t="e">
        <f aca="false">Claudio!11:11-";7#!IC"</f>
        <v>#VALUE!</v>
      </c>
      <c r="M13" s="0" t="e">
        <f aca="false">Claudio!12:12-";7#!ID"</f>
        <v>#VALUE!</v>
      </c>
      <c r="N13" s="0" t="e">
        <f aca="false">Claudio!13:13-";7#!IE"</f>
        <v>#VALUE!</v>
      </c>
      <c r="O13" s="0" t="e">
        <f aca="false">Claudio!14:14-";7#!IF"</f>
        <v>#VALUE!</v>
      </c>
      <c r="P13" s="0" t="e">
        <f aca="false">Claudio!15:15-";7#!IG"</f>
        <v>#VALUE!</v>
      </c>
      <c r="Q13" s="0" t="e">
        <f aca="false">Claudio!16:16-";7#!IH"</f>
        <v>#VALUE!</v>
      </c>
      <c r="R13" s="0" t="e">
        <f aca="false">Claudio!17:17-";7#!II"</f>
        <v>#VALUE!</v>
      </c>
      <c r="S13" s="0" t="e">
        <f aca="false">Claudio!18:18-";7#!IJ"</f>
        <v>#VALUE!</v>
      </c>
      <c r="T13" s="0" t="e">
        <f aca="false">Claudio!19:19-";7#!IK"</f>
        <v>#VALUE!</v>
      </c>
      <c r="U13" s="0" t="e">
        <f aca="false">Claudio!20:20-";7#!IL"</f>
        <v>#VALUE!</v>
      </c>
      <c r="V13" s="0" t="e">
        <f aca="false">Claudio!21:21-";7#!IM"</f>
        <v>#VALUE!</v>
      </c>
      <c r="W13" s="0" t="e">
        <f aca="false">Claudio!22:22-";7#!IN"</f>
        <v>#VALUE!</v>
      </c>
      <c r="X13" s="0" t="e">
        <f aca="false">Claudio!23:23-";7#!IO"</f>
        <v>#VALUE!</v>
      </c>
      <c r="Y13" s="0" t="e">
        <f aca="false">Claudio!24:24-";7#!IP"</f>
        <v>#VALUE!</v>
      </c>
      <c r="Z13" s="0" t="e">
        <f aca="false">Claudio!25:25-";7#!IQ"</f>
        <v>#VALUE!</v>
      </c>
      <c r="AA13" s="0" t="e">
        <f aca="false">Claudio!26:26-";7#!IR"</f>
        <v>#VALUE!</v>
      </c>
      <c r="AB13" s="0" t="e">
        <f aca="false">Claudio!27:27-";7#!IS"</f>
        <v>#VALUE!</v>
      </c>
      <c r="AC13" s="0" t="e">
        <f aca="false">Claudio!28:28-";7#!IT"</f>
        <v>#VALUE!</v>
      </c>
      <c r="AD13" s="0" t="e">
        <f aca="false">Claudio!29:29-";7#!IU"</f>
        <v>#VALUE!</v>
      </c>
      <c r="AE13" s="0" t="e">
        <f aca="false">Claudio!30:30-";7#!IV"</f>
        <v>#VALUE!</v>
      </c>
      <c r="AF13" s="0" t="e">
        <f aca="false">Claudio!31:31-";7#!IW"</f>
        <v>#VALUE!</v>
      </c>
      <c r="AG13" s="0" t="e">
        <f aca="false">Claudio!32:32-";7#!IX"</f>
        <v>#VALUE!</v>
      </c>
      <c r="AH13" s="0" t="e">
        <f aca="false">Claudio!33:33-";7#!IY"</f>
        <v>#VALUE!</v>
      </c>
      <c r="AI13" s="0" t="e">
        <f aca="false">Claudio!34:34-";7#!IZ"</f>
        <v>#VALUE!</v>
      </c>
      <c r="AJ13" s="0" t="e">
        <f aca="false">Claudio!35:35-";7#!I["</f>
        <v>#VALUE!</v>
      </c>
      <c r="AK13" s="0" t="e">
        <f aca="false">Claudio!36:36-";7#!I\"</f>
        <v>#VALUE!</v>
      </c>
      <c r="AL13" s="0" t="e">
        <f aca="false">Claudio!37:37-";7#!I]"</f>
        <v>#VALUE!</v>
      </c>
      <c r="AM13" s="0" t="e">
        <f aca="false">Claudio!38:38-";7#!I^"</f>
        <v>#VALUE!</v>
      </c>
      <c r="AN13" s="0" t="e">
        <f aca="false">Claudio!39:39-";7#!I_"</f>
        <v>#VALUE!</v>
      </c>
      <c r="AO13" s="0" t="e">
        <f aca="false">Claudio!40:40-";7#!I`"</f>
        <v>#VALUE!</v>
      </c>
      <c r="AP13" s="0" t="e">
        <f aca="false">Claudio!41:41-";7#!Ia"</f>
        <v>#VALUE!</v>
      </c>
      <c r="AQ13" s="0" t="e">
        <f aca="false">Claudio!42:42-";7#!Ib"</f>
        <v>#VALUE!</v>
      </c>
      <c r="AR13" s="0" t="e">
        <f aca="false">Claudio!43:43-";7#!Ic"</f>
        <v>#VALUE!</v>
      </c>
      <c r="AS13" s="0" t="e">
        <f aca="false">Claudio!44:44-";7#!Id"</f>
        <v>#VALUE!</v>
      </c>
      <c r="AT13" s="0" t="e">
        <f aca="false">Claudio!45:45-";7#!Ie"</f>
        <v>#VALUE!</v>
      </c>
      <c r="AU13" s="0" t="e">
        <f aca="false">Claudio!46:46-";7#!If"</f>
        <v>#VALUE!</v>
      </c>
      <c r="AV13" s="0" t="e">
        <f aca="false">Claudio!47:47-";7#!Ig"</f>
        <v>#VALUE!</v>
      </c>
      <c r="AW13" s="0" t="e">
        <f aca="false">Claudio!48:48-";7#!Ih"</f>
        <v>#VALUE!</v>
      </c>
      <c r="AX13" s="0" t="e">
        <f aca="false">Claudio!49:49-";7#!Ii"</f>
        <v>#VALUE!</v>
      </c>
      <c r="AY13" s="0" t="e">
        <f aca="false">Claudio!50:50-";7#!Ij"</f>
        <v>#VALUE!</v>
      </c>
      <c r="AZ13" s="0" t="e">
        <f aca="false">Claudio!51:51-";7#!Ik"</f>
        <v>#VALUE!</v>
      </c>
      <c r="BA13" s="0" t="e">
        <f aca="false">Claudio!52:52-";7#!Il"</f>
        <v>#VALUE!</v>
      </c>
      <c r="BB13" s="0" t="e">
        <f aca="false">Claudio!53:53-";7#!Im"</f>
        <v>#VALUE!</v>
      </c>
      <c r="BC13" s="0" t="e">
        <f aca="false">Claudio!54:54-";7#!In"</f>
        <v>#VALUE!</v>
      </c>
      <c r="BD13" s="0" t="e">
        <f aca="false">Claudio!55:55-";7#!Io"</f>
        <v>#VALUE!</v>
      </c>
      <c r="BE13" s="0" t="e">
        <f aca="false">Claudio!56:56-";7#!Ip"</f>
        <v>#VALUE!</v>
      </c>
      <c r="BF13" s="0" t="e">
        <f aca="false">Claudio!57:57-";7#!Iq"</f>
        <v>#VALUE!</v>
      </c>
      <c r="BG13" s="0" t="e">
        <f aca="false">Claudio!58:58-";7#!Ir"</f>
        <v>#VALUE!</v>
      </c>
      <c r="BH13" s="0" t="e">
        <f aca="false">Claudio!59:59-";7#!Is"</f>
        <v>#VALUE!</v>
      </c>
      <c r="BI13" s="0" t="e">
        <f aca="false">Claudio!60:60-";7#!It"</f>
        <v>#VALUE!</v>
      </c>
      <c r="BJ13" s="0" t="e">
        <f aca="false">Claudio!61:61-";7#!Iu"</f>
        <v>#VALUE!</v>
      </c>
      <c r="BK13" s="0" t="e">
        <f aca="false">Claudio!62:62-";7#!Iv"</f>
        <v>#VALUE!</v>
      </c>
      <c r="BL13" s="0" t="e">
        <f aca="false">Claudio!63:63-";7#!Iw"</f>
        <v>#VALUE!</v>
      </c>
      <c r="BM13" s="0" t="e">
        <f aca="false">Claudio!64:64-";7#!Ix"</f>
        <v>#VALUE!</v>
      </c>
      <c r="BN13" s="0" t="e">
        <f aca="false">Claudio!65:65-";7#!Iy"</f>
        <v>#VALUE!</v>
      </c>
      <c r="BO13" s="0" t="e">
        <f aca="false">Claudio!66:66-";7#!Iz"</f>
        <v>#VALUE!</v>
      </c>
      <c r="BP13" s="0" t="e">
        <f aca="false">Claudio!67:67-";7#!I{"</f>
        <v>#VALUE!</v>
      </c>
      <c r="BQ13" s="0" t="e">
        <f aca="false">Claudio!68:68-";7#!I|"</f>
        <v>#VALUE!</v>
      </c>
      <c r="BR13" s="0" t="e">
        <f aca="false">Claudio!69:69-";7#!I}"</f>
        <v>#VALUE!</v>
      </c>
      <c r="BS13" s="0" t="e">
        <f aca="false">Claudio!70:70-";7#!I~"</f>
        <v>#VALUE!</v>
      </c>
      <c r="BT13" s="0" t="e">
        <f aca="false">Claudio!71:71-";7#!J#"</f>
        <v>#VALUE!</v>
      </c>
      <c r="BU13" s="0" t="e">
        <f aca="false">Claudio!72:72-";7#!J$"</f>
        <v>#VALUE!</v>
      </c>
      <c r="BV13" s="0" t="e">
        <f aca="false">Claudio!73:73-";7#!J%"</f>
        <v>#VALUE!</v>
      </c>
      <c r="BW13" s="0" t="e">
        <f aca="false">Claudio!74:74-";7#!J&amp;"</f>
        <v>#VALUE!</v>
      </c>
      <c r="BX13" s="0" t="e">
        <f aca="false">Claudio!75:75-";7#!J'"</f>
        <v>#VALUE!</v>
      </c>
      <c r="BY13" s="0" t="e">
        <f aca="false">Claudio!76:76-";7#!J("</f>
        <v>#VALUE!</v>
      </c>
      <c r="BZ13" s="0" t="e">
        <f aca="false">Claudio!77:77-";7#!J)"</f>
        <v>#VALUE!</v>
      </c>
      <c r="CA13" s="0" t="e">
        <f aca="false">Claudio!78:78-";7#!J."</f>
        <v>#VALUE!</v>
      </c>
      <c r="CB13" s="0" t="e">
        <f aca="false">Claudio!79:79-";7#!J/"</f>
        <v>#VALUE!</v>
      </c>
      <c r="CC13" s="0" t="e">
        <f aca="false">Claudio!80:80-";7#!J0"</f>
        <v>#VALUE!</v>
      </c>
      <c r="CD13" s="0" t="e">
        <f aca="false">Claudio!81:81-";7#!J1"</f>
        <v>#VALUE!</v>
      </c>
      <c r="CE13" s="0" t="e">
        <f aca="false">Claudio!82:82-";7#!J2"</f>
        <v>#VALUE!</v>
      </c>
      <c r="CF13" s="0" t="e">
        <f aca="false">Claudio!83:83-";7#!J3"</f>
        <v>#VALUE!</v>
      </c>
      <c r="CG13" s="0" t="e">
        <f aca="false">Claudio!84:84-";7#!J4"</f>
        <v>#VALUE!</v>
      </c>
      <c r="CH13" s="0" t="e">
        <f aca="false">Claudio!85:85-";7#!J5"</f>
        <v>#VALUE!</v>
      </c>
      <c r="CI13" s="0" t="e">
        <f aca="false">Claudio!86:86-";7#!J6"</f>
        <v>#VALUE!</v>
      </c>
      <c r="CJ13" s="0" t="e">
        <f aca="false">Claudio!87:87-";7#!J7"</f>
        <v>#VALUE!</v>
      </c>
      <c r="CK13" s="0" t="e">
        <f aca="false">Claudio!88:88-";7#!J8"</f>
        <v>#VALUE!</v>
      </c>
      <c r="CL13" s="0" t="e">
        <f aca="false">Claudio!89:89-";7#!J9"</f>
        <v>#VALUE!</v>
      </c>
      <c r="CM13" s="0" t="e">
        <f aca="false">Claudio!90:90-";7#!J:"</f>
        <v>#VALUE!</v>
      </c>
      <c r="CN13" s="0" t="e">
        <f aca="false">Claudio!91:91-";7#!J;"</f>
        <v>#VALUE!</v>
      </c>
      <c r="CO13" s="0" t="e">
        <f aca="false">Claudio!92:92-";7#!J&lt;"</f>
        <v>#VALUE!</v>
      </c>
      <c r="CP13" s="0" t="e">
        <f aca="false">Claudio!93:93-";7#!J="</f>
        <v>#VALUE!</v>
      </c>
      <c r="CQ13" s="0" t="e">
        <f aca="false">Claudio!94:94-";7#!J&gt;"</f>
        <v>#VALUE!</v>
      </c>
      <c r="CR13" s="0" t="e">
        <f aca="false">Claudio!95:95-";7#!J?"</f>
        <v>#VALUE!</v>
      </c>
      <c r="CS13" s="0" t="e">
        <f aca="false">Claudio!96:96-";7#!J@"</f>
        <v>#VALUE!</v>
      </c>
      <c r="CT13" s="0" t="e">
        <f aca="false">Claudio!97:97-";7#!JA"</f>
        <v>#VALUE!</v>
      </c>
      <c r="CU13" s="0" t="e">
        <f aca="false">Claudio!98:98-";7#!JB"</f>
        <v>#VALUE!</v>
      </c>
      <c r="CV13" s="0" t="e">
        <f aca="false">Claudio!99:99-";7#!JC"</f>
        <v>#VALUE!</v>
      </c>
      <c r="CW13" s="0" t="e">
        <f aca="false">Claudio!100:100-";7#!JD"</f>
        <v>#VALUE!</v>
      </c>
      <c r="CX13" s="0" t="e">
        <f aca="false">Claudio!101:101-";7#!JE"</f>
        <v>#VALUE!</v>
      </c>
      <c r="CY13" s="0" t="e">
        <f aca="false">Claudio!102:102-";7#!JF"</f>
        <v>#VALUE!</v>
      </c>
      <c r="CZ13" s="0" t="e">
        <f aca="false">Claudio!103:103-";7#!JG"</f>
        <v>#VALUE!</v>
      </c>
      <c r="DA13" s="0" t="e">
        <f aca="false">Claudio!104:104-";7#!JH"</f>
        <v>#VALUE!</v>
      </c>
      <c r="DB13" s="0" t="e">
        <f aca="false">Claudio!105:105-";7#!JI"</f>
        <v>#VALUE!</v>
      </c>
      <c r="DC13" s="0" t="e">
        <f aca="false">Claudio!106:106-";7#!JJ"</f>
        <v>#VALUE!</v>
      </c>
      <c r="DD13" s="0" t="e">
        <f aca="false">Claudio!107:107-";7#!JK"</f>
        <v>#VALUE!</v>
      </c>
      <c r="DE13" s="0" t="e">
        <f aca="false">Claudio!108:108-";7#!JL"</f>
        <v>#VALUE!</v>
      </c>
      <c r="DF13" s="0" t="e">
        <f aca="false">Claudio!109:109-";7#!JM"</f>
        <v>#VALUE!</v>
      </c>
      <c r="DG13" s="0" t="e">
        <f aca="false">Claudio!110:110-";7#!JN"</f>
        <v>#VALUE!</v>
      </c>
      <c r="DH13" s="0" t="e">
        <f aca="false">Claudio!111:111-";7#!JO"</f>
        <v>#VALUE!</v>
      </c>
      <c r="DI13" s="0" t="e">
        <f aca="false">Claudio!112:112-";7#!JP"</f>
        <v>#VALUE!</v>
      </c>
      <c r="DJ13" s="0" t="e">
        <f aca="false">Claudio!113:113-";7#!JQ"</f>
        <v>#VALUE!</v>
      </c>
      <c r="DK13" s="0" t="e">
        <f aca="false">Claudio!114:114-";7#!JR"</f>
        <v>#VALUE!</v>
      </c>
      <c r="DL13" s="0" t="e">
        <f aca="false">Claudio!115:115-";7#!JS"</f>
        <v>#VALUE!</v>
      </c>
      <c r="DM13" s="0" t="e">
        <f aca="false">Claudio!116:116-";7#!JT"</f>
        <v>#VALUE!</v>
      </c>
      <c r="DN13" s="0" t="e">
        <f aca="false">Claudio!117:117-";7#!JU"</f>
        <v>#VALUE!</v>
      </c>
      <c r="DO13" s="0" t="e">
        <f aca="false">Claudio!118:118-";7#!JV"</f>
        <v>#VALUE!</v>
      </c>
      <c r="DP13" s="0" t="e">
        <f aca="false">Claudio!119:119-";7#!JW"</f>
        <v>#VALUE!</v>
      </c>
      <c r="DQ13" s="0" t="e">
        <f aca="false">Claudio!120:120-";7#!JX"</f>
        <v>#VALUE!</v>
      </c>
      <c r="DR13" s="0" t="e">
        <f aca="false">Claudio!121:121-";7#!JY"</f>
        <v>#VALUE!</v>
      </c>
      <c r="DS13" s="0" t="e">
        <f aca="false">Claudio!122:122-";7#!JZ"</f>
        <v>#VALUE!</v>
      </c>
      <c r="DT13" s="0" t="e">
        <f aca="false">Claudio!123:123-";7#!J["</f>
        <v>#VALUE!</v>
      </c>
      <c r="DU13" s="0" t="e">
        <f aca="false">Claudio!124:124-";7#!J\"</f>
        <v>#VALUE!</v>
      </c>
      <c r="DV13" s="0" t="e">
        <f aca="false">Claudio!125:125-";7#!J]"</f>
        <v>#VALUE!</v>
      </c>
      <c r="DW13" s="0" t="e">
        <f aca="false">Claudio!126:126-";7#!J^"</f>
        <v>#VALUE!</v>
      </c>
      <c r="DX13" s="0" t="e">
        <f aca="false">Claudio!127:127-";7#!J_"</f>
        <v>#VALUE!</v>
      </c>
      <c r="DY13" s="0" t="e">
        <f aca="false">Claudio!128:128-";7#!J`"</f>
        <v>#VALUE!</v>
      </c>
      <c r="DZ13" s="0" t="e">
        <f aca="false">Claudio!129:129-";7#!Ja"</f>
        <v>#VALUE!</v>
      </c>
      <c r="EA13" s="0" t="e">
        <f aca="false">Claudio!130:130-";7#!Jb"</f>
        <v>#VALUE!</v>
      </c>
      <c r="EB13" s="0" t="e">
        <f aca="false">Claudio!131:131-";7#!Jc"</f>
        <v>#VALUE!</v>
      </c>
      <c r="EC13" s="0" t="e">
        <f aca="false">Claudio!132:132-";7#!Jd"</f>
        <v>#VALUE!</v>
      </c>
      <c r="ED13" s="0" t="e">
        <f aca="false">Claudio!133:133-";7#!Je"</f>
        <v>#VALUE!</v>
      </c>
      <c r="EE13" s="0" t="e">
        <f aca="false">Claudio!134:134-";7#!Jf"</f>
        <v>#VALUE!</v>
      </c>
      <c r="EF13" s="0" t="e">
        <f aca="false">Claudio!135:135-";7#!Jg"</f>
        <v>#VALUE!</v>
      </c>
      <c r="EG13" s="0" t="e">
        <f aca="false">Claudio!136:136-";7#!Jh"</f>
        <v>#VALUE!</v>
      </c>
      <c r="EH13" s="0" t="e">
        <f aca="false">Claudio!137:137-";7#!Ji"</f>
        <v>#VALUE!</v>
      </c>
      <c r="EI13" s="0" t="e">
        <f aca="false">Claudio!138:138-";7#!Jj"</f>
        <v>#VALUE!</v>
      </c>
      <c r="EJ13" s="0" t="e">
        <f aca="false">Claudio!139:139-";7#!Jk"</f>
        <v>#VALUE!</v>
      </c>
      <c r="EK13" s="0" t="e">
        <f aca="false">Claudio!140:140-";7#!Jl"</f>
        <v>#VALUE!</v>
      </c>
      <c r="EL13" s="0" t="e">
        <f aca="false">Claudio!141:141-";7#!Jm"</f>
        <v>#VALUE!</v>
      </c>
      <c r="EM13" s="0" t="e">
        <f aca="false">Claudio!142:142-";7#!Jn"</f>
        <v>#VALUE!</v>
      </c>
      <c r="EN13" s="0" t="e">
        <f aca="false">Claudio!143:143-";7#!Jo"</f>
        <v>#VALUE!</v>
      </c>
      <c r="EO13" s="0" t="e">
        <f aca="false">Claudio!144:144-";7#!Jp"</f>
        <v>#VALUE!</v>
      </c>
      <c r="EP13" s="0" t="e">
        <f aca="false">Claudio!145:145-";7#!Jq"</f>
        <v>#VALUE!</v>
      </c>
      <c r="EQ13" s="0" t="e">
        <f aca="false">Claudio!146:146-";7#!Jr"</f>
        <v>#VALUE!</v>
      </c>
      <c r="ER13" s="0" t="e">
        <f aca="false">Claudio!147:147-";7#!Js"</f>
        <v>#VALUE!</v>
      </c>
      <c r="ES13" s="0" t="e">
        <f aca="false">Claudio!148:148-";7#!Jt"</f>
        <v>#VALUE!</v>
      </c>
      <c r="ET13" s="0" t="e">
        <f aca="false">Claudio!149:149-";7#!Ju"</f>
        <v>#VALUE!</v>
      </c>
      <c r="EU13" s="0" t="e">
        <f aca="false">Claudio!150:150-";7#!Jv"</f>
        <v>#VALUE!</v>
      </c>
      <c r="EV13" s="0" t="e">
        <f aca="false">Claudio!151:151-";7#!Jw"</f>
        <v>#VALUE!</v>
      </c>
      <c r="EW13" s="0" t="e">
        <f aca="false">Claudio!152:152-";7#!Jx"</f>
        <v>#VALUE!</v>
      </c>
      <c r="EX13" s="0" t="e">
        <f aca="false">Claudio!153:153-";7#!Jy"</f>
        <v>#VALUE!</v>
      </c>
      <c r="EY13" s="0" t="e">
        <f aca="false">Claudio!154:154-";7#!Jz"</f>
        <v>#VALUE!</v>
      </c>
      <c r="EZ13" s="0" t="e">
        <f aca="false">Claudio!155:155-";7#!J{"</f>
        <v>#VALUE!</v>
      </c>
      <c r="FA13" s="0" t="e">
        <f aca="false">Claudio!156:156-";7#!J|"</f>
        <v>#VALUE!</v>
      </c>
      <c r="FB13" s="0" t="e">
        <f aca="false">Claudio!157:157-";7#!J}"</f>
        <v>#VALUE!</v>
      </c>
      <c r="FC13" s="0" t="e">
        <f aca="false">Claudio!158:158-";7#!J~"</f>
        <v>#VALUE!</v>
      </c>
      <c r="FD13" s="0" t="e">
        <f aca="false">Claudio!159:159-";7#!K#"</f>
        <v>#VALUE!</v>
      </c>
      <c r="FE13" s="0" t="e">
        <f aca="false">Claudio!160:160-";7#!K$"</f>
        <v>#VALUE!</v>
      </c>
      <c r="FF13" s="0" t="e">
        <f aca="false">Claudio!161:161-";7#!K%"</f>
        <v>#VALUE!</v>
      </c>
      <c r="FG13" s="0" t="e">
        <f aca="false">Claudio!162:162-";7#!K&amp;"</f>
        <v>#VALUE!</v>
      </c>
      <c r="FH13" s="0" t="e">
        <f aca="false">Claudio!163:163-";7#!K'"</f>
        <v>#VALUE!</v>
      </c>
      <c r="FI13" s="0" t="e">
        <f aca="false">Claudio!164:164-";7#!K("</f>
        <v>#VALUE!</v>
      </c>
      <c r="FJ13" s="0" t="e">
        <f aca="false">Claudio!165:165-";7#!K)"</f>
        <v>#VALUE!</v>
      </c>
      <c r="FK13" s="0" t="e">
        <f aca="false">Claudio!166:166-";7#!K."</f>
        <v>#VALUE!</v>
      </c>
      <c r="FL13" s="0" t="e">
        <f aca="false">Claudio!167:167-";7#!K/"</f>
        <v>#VALUE!</v>
      </c>
      <c r="FM13" s="0" t="e">
        <f aca="false">Claudio!168:168-";7#!K0"</f>
        <v>#VALUE!</v>
      </c>
      <c r="FN13" s="0" t="e">
        <f aca="false">Claudio!169:169-";7#!K1"</f>
        <v>#VALUE!</v>
      </c>
      <c r="FO13" s="0" t="e">
        <f aca="false">Claudio!170:170-";7#!K2"</f>
        <v>#VALUE!</v>
      </c>
      <c r="FP13" s="0" t="e">
        <f aca="false">Claudio!171:171-";7#!K3"</f>
        <v>#VALUE!</v>
      </c>
      <c r="FQ13" s="0" t="e">
        <f aca="false">Claudio!172:172-";7#!K4"</f>
        <v>#VALUE!</v>
      </c>
      <c r="FR13" s="0" t="e">
        <f aca="false">Claudio!173:173-";7#!K5"</f>
        <v>#VALUE!</v>
      </c>
      <c r="FS13" s="0" t="e">
        <f aca="false">Claudio!174:174-";7#!K6"</f>
        <v>#VALUE!</v>
      </c>
      <c r="FT13" s="0" t="e">
        <f aca="false">Claudio!175:175-";7#!K7"</f>
        <v>#VALUE!</v>
      </c>
      <c r="FU13" s="0" t="e">
        <f aca="false">Claudio!176:176-";7#!K8"</f>
        <v>#VALUE!</v>
      </c>
      <c r="FV13" s="0" t="e">
        <f aca="false">Claudio!177:177-";7#!K9"</f>
        <v>#VALUE!</v>
      </c>
      <c r="FW13" s="0" t="e">
        <f aca="false">Claudio!178:178-";7#!K:"</f>
        <v>#VALUE!</v>
      </c>
      <c r="FX13" s="0" t="e">
        <f aca="false">Claudio!179:179-";7#!K;"</f>
        <v>#VALUE!</v>
      </c>
      <c r="FY13" s="0" t="e">
        <f aca="false">Claudio!180:180-";7#!K&lt;"</f>
        <v>#VALUE!</v>
      </c>
      <c r="FZ13" s="0" t="e">
        <f aca="false">Claudio!181:181-";7#!K="</f>
        <v>#VALUE!</v>
      </c>
      <c r="GA13" s="0" t="e">
        <f aca="false">Claudio!182:182-";7#!K&gt;"</f>
        <v>#VALUE!</v>
      </c>
      <c r="GB13" s="0" t="e">
        <f aca="false">Claudio!183:183-";7#!K?"</f>
        <v>#VALUE!</v>
      </c>
      <c r="GC13" s="0" t="e">
        <f aca="false">Claudio!184:184-";7#!K@"</f>
        <v>#VALUE!</v>
      </c>
      <c r="GD13" s="0" t="e">
        <f aca="false">Claudio!185:185-";7#!KA"</f>
        <v>#VALUE!</v>
      </c>
      <c r="GE13" s="0" t="e">
        <f aca="false">Claudio!186:186-";7#!KB"</f>
        <v>#VALUE!</v>
      </c>
      <c r="GF13" s="0" t="e">
        <f aca="false">Claudio!187:187-";7#!KC"</f>
        <v>#VALUE!</v>
      </c>
      <c r="GG13" s="0" t="e">
        <f aca="false">Claudio!188:188-";7#!KD"</f>
        <v>#VALUE!</v>
      </c>
      <c r="GH13" s="0" t="e">
        <f aca="false">Claudio!189:189-";7#!KE"</f>
        <v>#VALUE!</v>
      </c>
      <c r="GI13" s="0" t="e">
        <f aca="false">Claudio!190:190-";7#!KF"</f>
        <v>#VALUE!</v>
      </c>
      <c r="GJ13" s="0" t="e">
        <f aca="false">Claudio!191:191-";7#!KG"</f>
        <v>#VALUE!</v>
      </c>
      <c r="GK13" s="0" t="e">
        <f aca="false">Claudio!192:192-";7#!KH"</f>
        <v>#VALUE!</v>
      </c>
      <c r="GL13" s="0" t="e">
        <f aca="false">Claudio!193:193-";7#!KI"</f>
        <v>#VALUE!</v>
      </c>
      <c r="GM13" s="0" t="e">
        <f aca="false">Claudio!194:194-";7#!KJ"</f>
        <v>#VALUE!</v>
      </c>
      <c r="GN13" s="0" t="e">
        <f aca="false">Claudio!195:195-";7#!KK"</f>
        <v>#VALUE!</v>
      </c>
      <c r="GO13" s="0" t="e">
        <f aca="false">Claudio!196:196-";7#!KL"</f>
        <v>#VALUE!</v>
      </c>
      <c r="GP13" s="0" t="e">
        <f aca="false">Claudio!197:197-";7#!KM"</f>
        <v>#VALUE!</v>
      </c>
      <c r="GQ13" s="0" t="e">
        <f aca="false">Claudio!198:198-";7#!KN"</f>
        <v>#VALUE!</v>
      </c>
      <c r="GR13" s="0" t="e">
        <f aca="false">Claudio!199:199-";7#!KO"</f>
        <v>#VALUE!</v>
      </c>
      <c r="GS13" s="0" t="e">
        <f aca="false">Claudio!200:200-";7#!KP"</f>
        <v>#VALUE!</v>
      </c>
      <c r="GT13" s="0" t="e">
        <f aca="false">Claudio!201:201-";7#!KQ"</f>
        <v>#VALUE!</v>
      </c>
      <c r="GU13" s="0" t="e">
        <f aca="false">Claudio!202:202-";7#!KR"</f>
        <v>#VALUE!</v>
      </c>
      <c r="GV13" s="0" t="e">
        <f aca="false">Claudio!203:203-";7#!KS"</f>
        <v>#VALUE!</v>
      </c>
      <c r="GW13" s="0" t="e">
        <f aca="false">Claudio!204:204-";7#!KT"</f>
        <v>#VALUE!</v>
      </c>
      <c r="GX13" s="0" t="e">
        <f aca="false">Claudio!205:205-";7#!KU"</f>
        <v>#VALUE!</v>
      </c>
      <c r="GY13" s="0" t="e">
        <f aca="false">Claudio!206:206-";7#!KV"</f>
        <v>#VALUE!</v>
      </c>
      <c r="GZ13" s="0" t="e">
        <f aca="false">Claudio!207:207-";7#!KW"</f>
        <v>#VALUE!</v>
      </c>
      <c r="HA13" s="0" t="e">
        <f aca="false">Claudio!208:208-";7#!KX"</f>
        <v>#VALUE!</v>
      </c>
      <c r="HB13" s="0" t="e">
        <f aca="false">Claudio!209:209-";7#!KY"</f>
        <v>#VALUE!</v>
      </c>
      <c r="HC13" s="0" t="e">
        <f aca="false">Claudio!210:210-";7#!KZ"</f>
        <v>#VALUE!</v>
      </c>
      <c r="HD13" s="0" t="e">
        <f aca="false">Claudio!211:211-";7#!K["</f>
        <v>#VALUE!</v>
      </c>
      <c r="HE13" s="0" t="e">
        <f aca="false">Claudio!212:212-";7#!K\"</f>
        <v>#VALUE!</v>
      </c>
      <c r="HF13" s="0" t="e">
        <f aca="false">Claudio!213:213-";7#!K]"</f>
        <v>#VALUE!</v>
      </c>
      <c r="HG13" s="0" t="e">
        <f aca="false">Claudio!214:214-";7#!K^"</f>
        <v>#VALUE!</v>
      </c>
      <c r="HH13" s="0" t="e">
        <f aca="false">Claudio!215:215-";7#!K_"</f>
        <v>#VALUE!</v>
      </c>
      <c r="HI13" s="0" t="e">
        <f aca="false">Claudio!216:216-";7#!K`"</f>
        <v>#VALUE!</v>
      </c>
      <c r="HJ13" s="0" t="e">
        <f aca="false">Claudio!217:217-";7#!Ka"</f>
        <v>#VALUE!</v>
      </c>
      <c r="HK13" s="0" t="e">
        <f aca="false">Claudio!218:218-";7#!Kb"</f>
        <v>#VALUE!</v>
      </c>
      <c r="HL13" s="0" t="e">
        <f aca="false">Claudio!219:219-";7#!Kc"</f>
        <v>#VALUE!</v>
      </c>
      <c r="HM13" s="0" t="e">
        <f aca="false">Claudio!220:220-";7#!Kd"</f>
        <v>#VALUE!</v>
      </c>
      <c r="HN13" s="0" t="e">
        <f aca="false">Claudio!221:221-";7#!Ke"</f>
        <v>#VALUE!</v>
      </c>
      <c r="HO13" s="0" t="e">
        <f aca="false">Claudio!222:222-";7#!Kf"</f>
        <v>#VALUE!</v>
      </c>
      <c r="HP13" s="0" t="e">
        <f aca="false">Claudio!223:223-";7#!Kg"</f>
        <v>#VALUE!</v>
      </c>
      <c r="HQ13" s="0" t="e">
        <f aca="false">Claudio!224:224-";7#!Kh"</f>
        <v>#VALUE!</v>
      </c>
      <c r="HR13" s="0" t="e">
        <f aca="false">Claudio!225:225-";7#!Ki"</f>
        <v>#VALUE!</v>
      </c>
      <c r="HS13" s="0" t="e">
        <f aca="false">Claudio!226:226-";7#!Kj"</f>
        <v>#VALUE!</v>
      </c>
      <c r="HT13" s="0" t="e">
        <f aca="false">Claudio!227:227-";7#!Kk"</f>
        <v>#VALUE!</v>
      </c>
      <c r="HU13" s="0" t="e">
        <f aca="false">Claudio!228:228-";7#!Kl"</f>
        <v>#VALUE!</v>
      </c>
      <c r="HV13" s="0" t="e">
        <f aca="false">Claudio!229:229-";7#!Km"</f>
        <v>#VALUE!</v>
      </c>
      <c r="HW13" s="0" t="e">
        <f aca="false">Claudio!230:230-";7#!Kn"</f>
        <v>#VALUE!</v>
      </c>
      <c r="HX13" s="0" t="e">
        <f aca="false">Claudio!231:231-";7#!Ko"</f>
        <v>#VALUE!</v>
      </c>
      <c r="HY13" s="0" t="e">
        <f aca="false">Claudio!232:232-";7#!Kp"</f>
        <v>#VALUE!</v>
      </c>
      <c r="HZ13" s="0" t="e">
        <f aca="false">Claudio!A1+";7#!Kq"</f>
        <v>#VALUE!</v>
      </c>
      <c r="IA13" s="0" t="e">
        <f aca="false">Claudio!B1+";7#!Kr"</f>
        <v>#VALUE!</v>
      </c>
      <c r="IB13" s="0" t="e">
        <f aca="false">Claudio!C1+";7#!Ks"</f>
        <v>#VALUE!</v>
      </c>
      <c r="IC13" s="0" t="e">
        <f aca="false">Claudio!D1+";7#!Kt"</f>
        <v>#VALUE!</v>
      </c>
      <c r="ID13" s="0" t="e">
        <f aca="false">Claudio!E1+";7#!Ku"</f>
        <v>#VALUE!</v>
      </c>
      <c r="IE13" s="0" t="e">
        <f aca="false">Claudio!F1+";7#!Kv"</f>
        <v>#VALUE!</v>
      </c>
      <c r="IF13" s="0" t="e">
        <f aca="false">Claudio!G1+";7#!Kw"</f>
        <v>#VALUE!</v>
      </c>
      <c r="IG13" s="0" t="e">
        <f aca="false">Claudio!H1+";7#!Kx"</f>
        <v>#VALUE!</v>
      </c>
      <c r="IH13" s="0" t="e">
        <f aca="false">Claudio!I1+";7#!Ky"</f>
        <v>#VALUE!</v>
      </c>
      <c r="II13" s="0" t="e">
        <f aca="false">Claudio!J1+";7#!Kz"</f>
        <v>#VALUE!</v>
      </c>
      <c r="IJ13" s="0" t="e">
        <f aca="false">Claudio!K1+";7#!K{"</f>
        <v>#VALUE!</v>
      </c>
      <c r="IK13" s="0" t="e">
        <f aca="false">Claudio!L1+";7#!K|"</f>
        <v>#VALUE!</v>
      </c>
      <c r="IL13" s="0" t="e">
        <f aca="false">Claudio!M1+";7#!K}"</f>
        <v>#VALUE!</v>
      </c>
      <c r="IM13" s="0" t="e">
        <f aca="false">Claudio!N1+";7#!K~"</f>
        <v>#VALUE!</v>
      </c>
      <c r="IN13" s="0" t="e">
        <f aca="false">Claudio!O1+";7#!L#"</f>
        <v>#VALUE!</v>
      </c>
      <c r="IO13" s="0" t="e">
        <f aca="false">Claudio!P1+";7#!L$"</f>
        <v>#VALUE!</v>
      </c>
      <c r="IP13" s="0" t="e">
        <f aca="false">Claudio!A2+";7#!L%"</f>
        <v>#VALUE!</v>
      </c>
      <c r="IQ13" s="0" t="e">
        <f aca="false">Claudio!B2+";7#!L&amp;"</f>
        <v>#VALUE!</v>
      </c>
      <c r="IR13" s="0" t="e">
        <f aca="false">Claudio!C2+";7#!L'"</f>
        <v>#VALUE!</v>
      </c>
      <c r="IS13" s="0" t="e">
        <f aca="false">Claudio!D2+";7#!L("</f>
        <v>#VALUE!</v>
      </c>
      <c r="IT13" s="0" t="e">
        <f aca="false">Claudio!E2+";7#!L)"</f>
        <v>#VALUE!</v>
      </c>
      <c r="IU13" s="0" t="e">
        <f aca="false">Claudio!F2+";7#!L."</f>
        <v>#VALUE!</v>
      </c>
      <c r="IV13" s="0" t="e">
        <f aca="false">Claudio!G2+";7#!L/"</f>
        <v>#VALUE!</v>
      </c>
    </row>
    <row r="14" customFormat="false" ht="15" hidden="false" customHeight="false" outlineLevel="0" collapsed="false">
      <c r="F14" s="0" t="e">
        <f aca="false">Claudio!H2+";7#!L0"</f>
        <v>#VALUE!</v>
      </c>
      <c r="G14" s="0" t="e">
        <f aca="false">Claudio!I2+";7#!L1"</f>
        <v>#VALUE!</v>
      </c>
      <c r="H14" s="0" t="e">
        <f aca="false">Claudio!J2+";7#!L2"</f>
        <v>#VALUE!</v>
      </c>
      <c r="I14" s="0" t="e">
        <f aca="false">Claudio!K2+";7#!L3"</f>
        <v>#VALUE!</v>
      </c>
      <c r="J14" s="0" t="e">
        <f aca="false">Claudio!L2+";7#!L4"</f>
        <v>#VALUE!</v>
      </c>
      <c r="K14" s="0" t="e">
        <f aca="false">Claudio!M2+";7#!L5"</f>
        <v>#VALUE!</v>
      </c>
      <c r="L14" s="0" t="e">
        <f aca="false">Claudio!N2+";7#!L6"</f>
        <v>#VALUE!</v>
      </c>
      <c r="M14" s="0" t="e">
        <f aca="false">Claudio!O2+";7#!L7"</f>
        <v>#VALUE!</v>
      </c>
      <c r="N14" s="0" t="e">
        <f aca="false">Claudio!P2+";7#!L8"</f>
        <v>#VALUE!</v>
      </c>
      <c r="O14" s="0" t="e">
        <f aca="false">Claudio!Q2+";7#!L9"</f>
        <v>#VALUE!</v>
      </c>
      <c r="P14" s="0" t="e">
        <f aca="false">Claudio!A3+";7#!L:"</f>
        <v>#VALUE!</v>
      </c>
      <c r="Q14" s="0" t="e">
        <f aca="false">Claudio!B3+";7#!L;"</f>
        <v>#VALUE!</v>
      </c>
      <c r="R14" s="0" t="e">
        <f aca="false">Claudio!C3+";7#!L&lt;"</f>
        <v>#VALUE!</v>
      </c>
      <c r="S14" s="0" t="e">
        <f aca="false">Claudio!D3+";7#!L="</f>
        <v>#VALUE!</v>
      </c>
      <c r="T14" s="0" t="e">
        <f aca="false">Claudio!E3+";7#!L&gt;"</f>
        <v>#VALUE!</v>
      </c>
      <c r="U14" s="0" t="e">
        <f aca="false">Claudio!F3+";7#!L?"</f>
        <v>#VALUE!</v>
      </c>
      <c r="V14" s="0" t="e">
        <f aca="false">Claudio!G3+";7#!L@"</f>
        <v>#VALUE!</v>
      </c>
      <c r="W14" s="0" t="e">
        <f aca="false">Claudio!H3+";7#!LA"</f>
        <v>#VALUE!</v>
      </c>
      <c r="X14" s="0" t="e">
        <f aca="false">Claudio!I3+";7#!LB"</f>
        <v>#VALUE!</v>
      </c>
      <c r="Y14" s="0" t="e">
        <f aca="false">Claudio!J3+";7#!LC"</f>
        <v>#VALUE!</v>
      </c>
      <c r="Z14" s="0" t="e">
        <f aca="false">Claudio!K3+";7#!LD"</f>
        <v>#VALUE!</v>
      </c>
      <c r="AA14" s="0" t="e">
        <f aca="false">Claudio!L3+";7#!LE"</f>
        <v>#VALUE!</v>
      </c>
      <c r="AB14" s="0" t="e">
        <f aca="false">Claudio!M3+";7#!LF"</f>
        <v>#VALUE!</v>
      </c>
      <c r="AC14" s="0" t="e">
        <f aca="false">Claudio!N3+";7#!LG"</f>
        <v>#VALUE!</v>
      </c>
      <c r="AD14" s="0" t="e">
        <f aca="false">Claudio!O3+";7#!LH"</f>
        <v>#VALUE!</v>
      </c>
      <c r="AE14" s="0" t="e">
        <f aca="false">Claudio!P3+";7#!LI"</f>
        <v>#VALUE!</v>
      </c>
      <c r="AF14" s="0" t="e">
        <f aca="false">Claudio!Q3+";7#!LJ"</f>
        <v>#VALUE!</v>
      </c>
      <c r="AG14" s="0" t="e">
        <f aca="false">Claudio!A4+";7#!LK"</f>
        <v>#VALUE!</v>
      </c>
      <c r="AH14" s="0" t="e">
        <f aca="false">Claudio!B4+";7#!LL"</f>
        <v>#VALUE!</v>
      </c>
      <c r="AI14" s="0" t="e">
        <f aca="false">Claudio!C4+";7#!LM"</f>
        <v>#VALUE!</v>
      </c>
      <c r="AJ14" s="0" t="e">
        <f aca="false">Claudio!D4+";7#!LN"</f>
        <v>#VALUE!</v>
      </c>
      <c r="AK14" s="0" t="e">
        <f aca="false">Claudio!E4+";7#!LO"</f>
        <v>#VALUE!</v>
      </c>
      <c r="AL14" s="0" t="e">
        <f aca="false">Claudio!F4+";7#!LP"</f>
        <v>#VALUE!</v>
      </c>
      <c r="AM14" s="0" t="e">
        <f aca="false">Claudio!G4+";7#!LQ"</f>
        <v>#VALUE!</v>
      </c>
      <c r="AN14" s="0" t="e">
        <f aca="false">Claudio!H4+";7#!LR"</f>
        <v>#VALUE!</v>
      </c>
      <c r="AO14" s="0" t="e">
        <f aca="false">Claudio!I4+";7#!LS"</f>
        <v>#VALUE!</v>
      </c>
      <c r="AP14" s="0" t="e">
        <f aca="false">Claudio!J4+";7#!LT"</f>
        <v>#VALUE!</v>
      </c>
      <c r="AQ14" s="0" t="e">
        <f aca="false">Claudio!K4+";7#!LU"</f>
        <v>#VALUE!</v>
      </c>
      <c r="AR14" s="0" t="e">
        <f aca="false">Claudio!L4+";7#!LV"</f>
        <v>#VALUE!</v>
      </c>
      <c r="AS14" s="0" t="e">
        <f aca="false">Claudio!M4+";7#!LW"</f>
        <v>#VALUE!</v>
      </c>
      <c r="AT14" s="0" t="e">
        <f aca="false">Claudio!N4+";7#!LX"</f>
        <v>#VALUE!</v>
      </c>
      <c r="AU14" s="0" t="e">
        <f aca="false">Claudio!O4+";7#!LY"</f>
        <v>#VALUE!</v>
      </c>
      <c r="AV14" s="0" t="e">
        <f aca="false">Claudio!P4+";7#!LZ"</f>
        <v>#VALUE!</v>
      </c>
      <c r="AW14" s="0" t="e">
        <f aca="false">Claudio!Q4+";7#!L["</f>
        <v>#VALUE!</v>
      </c>
      <c r="AX14" s="0" t="e">
        <f aca="false">Claudio!A5+";7#!L\"</f>
        <v>#VALUE!</v>
      </c>
      <c r="AY14" s="0" t="e">
        <f aca="false">Claudio!B5+";7#!L]"</f>
        <v>#VALUE!</v>
      </c>
      <c r="AZ14" s="0" t="e">
        <f aca="false">Claudio!C5+";7#!L^"</f>
        <v>#VALUE!</v>
      </c>
      <c r="BA14" s="0" t="e">
        <f aca="false">Claudio!D5+";7#!L_"</f>
        <v>#VALUE!</v>
      </c>
      <c r="BB14" s="0" t="e">
        <f aca="false">Claudio!E5+";7#!L`"</f>
        <v>#VALUE!</v>
      </c>
      <c r="BC14" s="0" t="e">
        <f aca="false">Claudio!F5+";7#!La"</f>
        <v>#VALUE!</v>
      </c>
      <c r="BD14" s="0" t="e">
        <f aca="false">Claudio!G5+";7#!Lb"</f>
        <v>#VALUE!</v>
      </c>
      <c r="BE14" s="0" t="e">
        <f aca="false">Claudio!H5+";7#!Lc"</f>
        <v>#VALUE!</v>
      </c>
      <c r="BF14" s="0" t="e">
        <f aca="false">Claudio!I5+";7#!Ld"</f>
        <v>#VALUE!</v>
      </c>
      <c r="BG14" s="0" t="e">
        <f aca="false">Claudio!J5+";7#!Le"</f>
        <v>#VALUE!</v>
      </c>
      <c r="BH14" s="0" t="e">
        <f aca="false">Claudio!K5+";7#!Lf"</f>
        <v>#VALUE!</v>
      </c>
      <c r="BI14" s="0" t="e">
        <f aca="false">Claudio!L5+";7#!Lg"</f>
        <v>#VALUE!</v>
      </c>
      <c r="BJ14" s="0" t="e">
        <f aca="false">Claudio!M5+";7#!Lh"</f>
        <v>#VALUE!</v>
      </c>
      <c r="BK14" s="0" t="e">
        <f aca="false">Claudio!N5+";7#!Li"</f>
        <v>#VALUE!</v>
      </c>
      <c r="BL14" s="0" t="e">
        <f aca="false">Claudio!O5+";7#!Lj"</f>
        <v>#VALUE!</v>
      </c>
      <c r="BM14" s="0" t="e">
        <f aca="false">Claudio!P5+";7#!Lk"</f>
        <v>#VALUE!</v>
      </c>
      <c r="BN14" s="0" t="e">
        <f aca="false">Claudio!A6+";7#!Ll"</f>
        <v>#VALUE!</v>
      </c>
      <c r="BO14" s="0" t="e">
        <f aca="false">Claudio!B6+";7#!Lm"</f>
        <v>#VALUE!</v>
      </c>
      <c r="BP14" s="0" t="e">
        <f aca="false">Claudio!C6+";7#!Ln"</f>
        <v>#VALUE!</v>
      </c>
      <c r="BQ14" s="0" t="e">
        <f aca="false">Claudio!D6+";7#!Lo"</f>
        <v>#VALUE!</v>
      </c>
      <c r="BR14" s="0" t="e">
        <f aca="false">Claudio!E6+";7#!Lp"</f>
        <v>#VALUE!</v>
      </c>
      <c r="BS14" s="0" t="e">
        <f aca="false">Claudio!F6+";7#!Lq"</f>
        <v>#VALUE!</v>
      </c>
      <c r="BT14" s="0" t="e">
        <f aca="false">Claudio!G6+";7#!Lr"</f>
        <v>#VALUE!</v>
      </c>
      <c r="BU14" s="0" t="e">
        <f aca="false">Claudio!H6+";7#!Ls"</f>
        <v>#VALUE!</v>
      </c>
      <c r="BV14" s="0" t="e">
        <f aca="false">Claudio!I6+";7#!Lt"</f>
        <v>#VALUE!</v>
      </c>
      <c r="BW14" s="0" t="e">
        <f aca="false">Claudio!J6+";7#!Lu"</f>
        <v>#VALUE!</v>
      </c>
      <c r="BX14" s="0" t="e">
        <f aca="false">Claudio!K6+";7#!Lv"</f>
        <v>#VALUE!</v>
      </c>
      <c r="BY14" s="0" t="e">
        <f aca="false">Claudio!L6+";7#!Lw"</f>
        <v>#VALUE!</v>
      </c>
      <c r="BZ14" s="0" t="e">
        <f aca="false">Claudio!M6+";7#!Lx"</f>
        <v>#VALUE!</v>
      </c>
      <c r="CA14" s="0" t="e">
        <f aca="false">Claudio!N6+";7#!Ly"</f>
        <v>#VALUE!</v>
      </c>
      <c r="CB14" s="0" t="e">
        <f aca="false">Claudio!O6+";7#!Lz"</f>
        <v>#VALUE!</v>
      </c>
      <c r="CC14" s="0" t="e">
        <f aca="false">Claudio!P6+";7#!L{"</f>
        <v>#VALUE!</v>
      </c>
      <c r="CD14" s="0" t="e">
        <f aca="false">Claudio!A7+";7#!L|"</f>
        <v>#VALUE!</v>
      </c>
      <c r="CE14" s="0" t="e">
        <f aca="false">Claudio!B7+";7#!L}"</f>
        <v>#VALUE!</v>
      </c>
      <c r="CF14" s="0" t="e">
        <f aca="false">Claudio!C7+";7#!L~"</f>
        <v>#VALUE!</v>
      </c>
      <c r="CG14" s="0" t="e">
        <f aca="false">Claudio!D7+";7#!M#"</f>
        <v>#VALUE!</v>
      </c>
      <c r="CH14" s="0" t="e">
        <f aca="false">Claudio!E7+";7#!M$"</f>
        <v>#VALUE!</v>
      </c>
      <c r="CI14" s="0" t="e">
        <f aca="false">Claudio!F7+";7#!M%"</f>
        <v>#VALUE!</v>
      </c>
      <c r="CJ14" s="0" t="e">
        <f aca="false">Claudio!G7+";7#!M&amp;"</f>
        <v>#VALUE!</v>
      </c>
      <c r="CK14" s="0" t="e">
        <f aca="false">Claudio!H7+";7#!M'"</f>
        <v>#VALUE!</v>
      </c>
      <c r="CL14" s="0" t="e">
        <f aca="false">Claudio!I7+";7#!M("</f>
        <v>#VALUE!</v>
      </c>
      <c r="CM14" s="0" t="e">
        <f aca="false">Claudio!J7+";7#!M)"</f>
        <v>#VALUE!</v>
      </c>
      <c r="CN14" s="0" t="e">
        <f aca="false">Claudio!K7+";7#!M."</f>
        <v>#VALUE!</v>
      </c>
      <c r="CO14" s="0" t="e">
        <f aca="false">Claudio!L7+";7#!M/"</f>
        <v>#VALUE!</v>
      </c>
      <c r="CP14" s="0" t="e">
        <f aca="false">Claudio!M7+";7#!M0"</f>
        <v>#VALUE!</v>
      </c>
      <c r="CQ14" s="0" t="e">
        <f aca="false">Claudio!N7+";7#!M1"</f>
        <v>#VALUE!</v>
      </c>
      <c r="CR14" s="0" t="e">
        <f aca="false">Claudio!O7+";7#!M2"</f>
        <v>#VALUE!</v>
      </c>
      <c r="CS14" s="0" t="e">
        <f aca="false">Claudio!P7+";7#!M3"</f>
        <v>#VALUE!</v>
      </c>
      <c r="CT14" s="0" t="e">
        <f aca="false">Claudio!A8+";7#!M4"</f>
        <v>#VALUE!</v>
      </c>
      <c r="CU14" s="0" t="e">
        <f aca="false">Claudio!B8+";7#!M5"</f>
        <v>#VALUE!</v>
      </c>
      <c r="CV14" s="0" t="e">
        <f aca="false">Claudio!C8+";7#!M6"</f>
        <v>#VALUE!</v>
      </c>
      <c r="CW14" s="0" t="e">
        <f aca="false">Claudio!D8+";7#!M7"</f>
        <v>#VALUE!</v>
      </c>
      <c r="CX14" s="0" t="e">
        <f aca="false">Claudio!E8+";7#!M8"</f>
        <v>#VALUE!</v>
      </c>
      <c r="CY14" s="0" t="e">
        <f aca="false">Claudio!F8+";7#!M9"</f>
        <v>#VALUE!</v>
      </c>
      <c r="CZ14" s="0" t="e">
        <f aca="false">Claudio!G8+";7#!M:"</f>
        <v>#VALUE!</v>
      </c>
      <c r="DA14" s="0" t="e">
        <f aca="false">Claudio!H8+";7#!M;"</f>
        <v>#VALUE!</v>
      </c>
      <c r="DB14" s="0" t="e">
        <f aca="false">Claudio!I8+";7#!M&lt;"</f>
        <v>#VALUE!</v>
      </c>
      <c r="DC14" s="0" t="e">
        <f aca="false">Claudio!J8+";7#!M="</f>
        <v>#VALUE!</v>
      </c>
      <c r="DD14" s="0" t="e">
        <f aca="false">Claudio!K8+";7#!M&gt;"</f>
        <v>#VALUE!</v>
      </c>
      <c r="DE14" s="0" t="e">
        <f aca="false">Claudio!L8+";7#!M?"</f>
        <v>#VALUE!</v>
      </c>
      <c r="DF14" s="0" t="e">
        <f aca="false">Claudio!M8+";7#!M@"</f>
        <v>#VALUE!</v>
      </c>
      <c r="DG14" s="0" t="e">
        <f aca="false">Claudio!N8+";7#!MA"</f>
        <v>#VALUE!</v>
      </c>
      <c r="DH14" s="0" t="e">
        <f aca="false">Claudio!O8+";7#!MB"</f>
        <v>#VALUE!</v>
      </c>
      <c r="DI14" s="0" t="e">
        <f aca="false">Claudio!P8+";7#!MC"</f>
        <v>#VALUE!</v>
      </c>
      <c r="DJ14" s="0" t="e">
        <f aca="false">Claudio!A9+";7#!MD"</f>
        <v>#VALUE!</v>
      </c>
      <c r="DK14" s="0" t="e">
        <f aca="false">Claudio!B9+";7#!ME"</f>
        <v>#VALUE!</v>
      </c>
      <c r="DL14" s="0" t="e">
        <f aca="false">Claudio!C9+";7#!MF"</f>
        <v>#VALUE!</v>
      </c>
      <c r="DM14" s="0" t="e">
        <f aca="false">Claudio!D9+";7#!MG"</f>
        <v>#VALUE!</v>
      </c>
      <c r="DN14" s="0" t="e">
        <f aca="false">Claudio!E9+";7#!MH"</f>
        <v>#VALUE!</v>
      </c>
      <c r="DO14" s="0" t="e">
        <f aca="false">Claudio!F9+";7#!MI"</f>
        <v>#VALUE!</v>
      </c>
      <c r="DP14" s="0" t="e">
        <f aca="false">Claudio!G9+";7#!MJ"</f>
        <v>#VALUE!</v>
      </c>
      <c r="DQ14" s="0" t="e">
        <f aca="false">Claudio!H9+";7#!MK"</f>
        <v>#VALUE!</v>
      </c>
      <c r="DR14" s="35" t="e">
        <f aca="false">Claudio!I9+";7#!ML"</f>
        <v>#VALUE!</v>
      </c>
      <c r="DS14" s="0" t="e">
        <f aca="false">Claudio!J9+";7#!MM"</f>
        <v>#VALUE!</v>
      </c>
      <c r="DT14" s="0" t="e">
        <f aca="false">Claudio!K9+";7#!MN"</f>
        <v>#VALUE!</v>
      </c>
      <c r="DU14" s="0" t="e">
        <f aca="false">Claudio!L9+";7#!MO"</f>
        <v>#VALUE!</v>
      </c>
      <c r="DV14" s="0" t="e">
        <f aca="false">Claudio!M9+";7#!MP"</f>
        <v>#VALUE!</v>
      </c>
      <c r="DW14" s="0" t="e">
        <f aca="false">Claudio!N9+";7#!MQ"</f>
        <v>#VALUE!</v>
      </c>
      <c r="DX14" s="0" t="e">
        <f aca="false">Claudio!O9+";7#!MR"</f>
        <v>#VALUE!</v>
      </c>
      <c r="DY14" s="0" t="e">
        <f aca="false">Claudio!P9+";7#!MS"</f>
        <v>#VALUE!</v>
      </c>
      <c r="DZ14" s="0" t="e">
        <f aca="false">Claudio!A10+";7#!MT"</f>
        <v>#VALUE!</v>
      </c>
      <c r="EA14" s="0" t="e">
        <f aca="false">Claudio!B10+";7#!MU"</f>
        <v>#VALUE!</v>
      </c>
      <c r="EB14" s="0" t="e">
        <f aca="false">Claudio!C10+";7#!MV"</f>
        <v>#VALUE!</v>
      </c>
      <c r="EC14" s="0" t="e">
        <f aca="false">Claudio!D10+";7#!MW"</f>
        <v>#VALUE!</v>
      </c>
      <c r="ED14" s="0" t="e">
        <f aca="false">Claudio!E10+";7#!MX"</f>
        <v>#VALUE!</v>
      </c>
      <c r="EE14" s="0" t="e">
        <f aca="false">Claudio!F10+";7#!MY"</f>
        <v>#VALUE!</v>
      </c>
      <c r="EF14" s="0" t="e">
        <f aca="false">Claudio!G10+";7#!MZ"</f>
        <v>#VALUE!</v>
      </c>
      <c r="EG14" s="0" t="e">
        <f aca="false">Claudio!H10+";7#!M["</f>
        <v>#VALUE!</v>
      </c>
      <c r="EH14" s="35" t="e">
        <f aca="false">Claudio!I10+";7#!M\"</f>
        <v>#VALUE!</v>
      </c>
      <c r="EI14" s="0" t="e">
        <f aca="false">Claudio!J10+";7#!M]"</f>
        <v>#VALUE!</v>
      </c>
      <c r="EJ14" s="0" t="e">
        <f aca="false">Claudio!K10+";7#!M^"</f>
        <v>#VALUE!</v>
      </c>
      <c r="EK14" s="0" t="e">
        <f aca="false">Claudio!L10+";7#!M_"</f>
        <v>#VALUE!</v>
      </c>
      <c r="EL14" s="0" t="e">
        <f aca="false">Claudio!M10+";7#!M`"</f>
        <v>#VALUE!</v>
      </c>
      <c r="EM14" s="0" t="e">
        <f aca="false">Claudio!N10+";7#!Ma"</f>
        <v>#VALUE!</v>
      </c>
      <c r="EN14" s="0" t="e">
        <f aca="false">Claudio!O10+";7#!Mb"</f>
        <v>#VALUE!</v>
      </c>
      <c r="EO14" s="0" t="e">
        <f aca="false">Claudio!P10+";7#!Mc"</f>
        <v>#VALUE!</v>
      </c>
      <c r="EP14" s="0" t="e">
        <f aca="false">Claudio!A11+";7#!Md"</f>
        <v>#VALUE!</v>
      </c>
      <c r="EQ14" s="0" t="e">
        <f aca="false">Claudio!B11+";7#!Me"</f>
        <v>#VALUE!</v>
      </c>
      <c r="ER14" s="0" t="e">
        <f aca="false">Claudio!C11+";7#!Mf"</f>
        <v>#VALUE!</v>
      </c>
      <c r="ES14" s="0" t="e">
        <f aca="false">Claudio!D11+";7#!Mg"</f>
        <v>#VALUE!</v>
      </c>
      <c r="ET14" s="0" t="e">
        <f aca="false">Claudio!E11+";7#!Mh"</f>
        <v>#VALUE!</v>
      </c>
      <c r="EU14" s="0" t="e">
        <f aca="false">Claudio!F11+";7#!Mi"</f>
        <v>#VALUE!</v>
      </c>
      <c r="EV14" s="0" t="e">
        <f aca="false">Claudio!G11+";7#!Mj"</f>
        <v>#VALUE!</v>
      </c>
      <c r="EW14" s="0" t="e">
        <f aca="false">Claudio!H11+";7#!Mk"</f>
        <v>#VALUE!</v>
      </c>
      <c r="EX14" s="0" t="e">
        <f aca="false">Claudio!I11+";7#!Ml"</f>
        <v>#VALUE!</v>
      </c>
      <c r="EY14" s="0" t="e">
        <f aca="false">Claudio!J11+";7#!Mm"</f>
        <v>#VALUE!</v>
      </c>
      <c r="EZ14" s="0" t="e">
        <f aca="false">Claudio!K11+";7#!Mn"</f>
        <v>#VALUE!</v>
      </c>
      <c r="FA14" s="0" t="e">
        <f aca="false">Claudio!L11+";7#!Mo"</f>
        <v>#VALUE!</v>
      </c>
      <c r="FB14" s="0" t="e">
        <f aca="false">Claudio!M11+";7#!Mp"</f>
        <v>#VALUE!</v>
      </c>
      <c r="FC14" s="0" t="e">
        <f aca="false">Claudio!N11+";7#!Mq"</f>
        <v>#VALUE!</v>
      </c>
      <c r="FD14" s="0" t="e">
        <f aca="false">Claudio!O11+";7#!Mr"</f>
        <v>#VALUE!</v>
      </c>
      <c r="FE14" s="0" t="e">
        <f aca="false">Claudio!P11+";7#!Ms"</f>
        <v>#VALUE!</v>
      </c>
      <c r="FF14" s="0" t="e">
        <f aca="false">Claudio!A12+";7#!Mt"</f>
        <v>#VALUE!</v>
      </c>
      <c r="FG14" s="0" t="e">
        <f aca="false">Claudio!B12+";7#!Mu"</f>
        <v>#VALUE!</v>
      </c>
      <c r="FH14" s="0" t="e">
        <f aca="false">Claudio!C12+";7#!Mv"</f>
        <v>#VALUE!</v>
      </c>
      <c r="FI14" s="0" t="e">
        <f aca="false">Claudio!D12+";7#!Mw"</f>
        <v>#VALUE!</v>
      </c>
      <c r="FJ14" s="0" t="e">
        <f aca="false">Claudio!E12+";7#!Mx"</f>
        <v>#VALUE!</v>
      </c>
      <c r="FK14" s="0" t="e">
        <f aca="false">Claudio!F12+";7#!My"</f>
        <v>#VALUE!</v>
      </c>
      <c r="FL14" s="0" t="e">
        <f aca="false">Claudio!G12+";7#!Mz"</f>
        <v>#VALUE!</v>
      </c>
      <c r="FM14" s="0" t="e">
        <f aca="false">Claudio!H12+";7#!M{"</f>
        <v>#VALUE!</v>
      </c>
      <c r="FN14" s="0" t="e">
        <f aca="false">Claudio!I12+";7#!M|"</f>
        <v>#VALUE!</v>
      </c>
      <c r="FO14" s="0" t="e">
        <f aca="false">Claudio!J12+";7#!M}"</f>
        <v>#VALUE!</v>
      </c>
      <c r="FP14" s="0" t="e">
        <f aca="false">Claudio!K12+";7#!M~"</f>
        <v>#VALUE!</v>
      </c>
      <c r="FQ14" s="0" t="e">
        <f aca="false">Claudio!L12+";7#!N#"</f>
        <v>#VALUE!</v>
      </c>
      <c r="FR14" s="0" t="e">
        <f aca="false">Claudio!M12+";7#!N$"</f>
        <v>#VALUE!</v>
      </c>
      <c r="FS14" s="0" t="e">
        <f aca="false">Claudio!N12+";7#!N%"</f>
        <v>#VALUE!</v>
      </c>
      <c r="FT14" s="0" t="e">
        <f aca="false">Claudio!O12+";7#!N&amp;"</f>
        <v>#VALUE!</v>
      </c>
      <c r="FU14" s="0" t="e">
        <f aca="false">Claudio!P12+";7#!N'"</f>
        <v>#VALUE!</v>
      </c>
      <c r="FV14" s="0" t="e">
        <f aca="false">Claudio!A13+";7#!N("</f>
        <v>#VALUE!</v>
      </c>
      <c r="FW14" s="0" t="e">
        <f aca="false">Claudio!B13+";7#!N)"</f>
        <v>#VALUE!</v>
      </c>
      <c r="FX14" s="0" t="e">
        <f aca="false">Claudio!C13+";7#!N."</f>
        <v>#VALUE!</v>
      </c>
      <c r="FY14" s="0" t="e">
        <f aca="false">Claudio!D13+";7#!N/"</f>
        <v>#VALUE!</v>
      </c>
      <c r="FZ14" s="0" t="e">
        <f aca="false">Claudio!E13+";7#!N0"</f>
        <v>#VALUE!</v>
      </c>
      <c r="GA14" s="0" t="e">
        <f aca="false">Claudio!F13+";7#!N1"</f>
        <v>#VALUE!</v>
      </c>
      <c r="GB14" s="0" t="e">
        <f aca="false">Claudio!G13+";7#!N2"</f>
        <v>#VALUE!</v>
      </c>
      <c r="GC14" s="0" t="e">
        <f aca="false">Claudio!H13+";7#!N3"</f>
        <v>#VALUE!</v>
      </c>
      <c r="GD14" s="0" t="e">
        <f aca="false">Claudio!I13+";7#!N4"</f>
        <v>#VALUE!</v>
      </c>
      <c r="GE14" s="0" t="e">
        <f aca="false">Claudio!J13+";7#!N5"</f>
        <v>#VALUE!</v>
      </c>
      <c r="GF14" s="0" t="e">
        <f aca="false">Claudio!K13+";7#!N6"</f>
        <v>#VALUE!</v>
      </c>
      <c r="GG14" s="0" t="e">
        <f aca="false">Claudio!L13+";7#!N7"</f>
        <v>#VALUE!</v>
      </c>
      <c r="GH14" s="0" t="e">
        <f aca="false">Claudio!M13+";7#!N8"</f>
        <v>#VALUE!</v>
      </c>
      <c r="GI14" s="0" t="e">
        <f aca="false">Claudio!N13+";7#!N9"</f>
        <v>#VALUE!</v>
      </c>
      <c r="GJ14" s="0" t="e">
        <f aca="false">Claudio!O13+";7#!N:"</f>
        <v>#VALUE!</v>
      </c>
      <c r="GK14" s="0" t="e">
        <f aca="false">Claudio!P13+";7#!N;"</f>
        <v>#VALUE!</v>
      </c>
      <c r="GL14" s="0" t="e">
        <f aca="false">Claudio!A14+";7#!N&lt;"</f>
        <v>#VALUE!</v>
      </c>
      <c r="GM14" s="0" t="e">
        <f aca="false">Claudio!B14+";7#!N="</f>
        <v>#VALUE!</v>
      </c>
      <c r="GN14" s="0" t="e">
        <f aca="false">Claudio!C14+";7#!N&gt;"</f>
        <v>#VALUE!</v>
      </c>
      <c r="GO14" s="0" t="e">
        <f aca="false">Claudio!D14+";7#!N?"</f>
        <v>#VALUE!</v>
      </c>
      <c r="GP14" s="0" t="e">
        <f aca="false">Claudio!E14+";7#!N@"</f>
        <v>#VALUE!</v>
      </c>
      <c r="GQ14" s="0" t="e">
        <f aca="false">Claudio!F14+";7#!NA"</f>
        <v>#VALUE!</v>
      </c>
      <c r="GR14" s="0" t="e">
        <f aca="false">Claudio!G14+";7#!NB"</f>
        <v>#VALUE!</v>
      </c>
      <c r="GS14" s="0" t="e">
        <f aca="false">Claudio!H14+";7#!NC"</f>
        <v>#VALUE!</v>
      </c>
      <c r="GT14" s="0" t="e">
        <f aca="false">Claudio!I14+";7#!ND"</f>
        <v>#VALUE!</v>
      </c>
      <c r="GU14" s="0" t="e">
        <f aca="false">Claudio!J14+";7#!NE"</f>
        <v>#VALUE!</v>
      </c>
      <c r="GV14" s="0" t="e">
        <f aca="false">Claudio!K14+";7#!NF"</f>
        <v>#VALUE!</v>
      </c>
      <c r="GW14" s="0" t="e">
        <f aca="false">Claudio!L14+";7#!NG"</f>
        <v>#VALUE!</v>
      </c>
      <c r="GX14" s="0" t="e">
        <f aca="false">Claudio!M14+";7#!NH"</f>
        <v>#VALUE!</v>
      </c>
      <c r="GY14" s="0" t="e">
        <f aca="false">Claudio!N14+";7#!NI"</f>
        <v>#VALUE!</v>
      </c>
      <c r="GZ14" s="0" t="e">
        <f aca="false">Claudio!O14+";7#!NJ"</f>
        <v>#VALUE!</v>
      </c>
      <c r="HA14" s="0" t="e">
        <f aca="false">Claudio!P14+";7#!NK"</f>
        <v>#VALUE!</v>
      </c>
      <c r="HB14" s="0" t="e">
        <f aca="false">Claudio!A15+";7#!NL"</f>
        <v>#VALUE!</v>
      </c>
      <c r="HC14" s="0" t="e">
        <f aca="false">Claudio!B15+";7#!NM"</f>
        <v>#VALUE!</v>
      </c>
      <c r="HD14" s="0" t="e">
        <f aca="false">Claudio!C15+";7#!NN"</f>
        <v>#VALUE!</v>
      </c>
      <c r="HE14" s="0" t="e">
        <f aca="false">Claudio!D15+";7#!NO"</f>
        <v>#VALUE!</v>
      </c>
      <c r="HF14" s="0" t="e">
        <f aca="false">Claudio!E15+";7#!NP"</f>
        <v>#VALUE!</v>
      </c>
      <c r="HG14" s="0" t="e">
        <f aca="false">Claudio!F15+";7#!NQ"</f>
        <v>#VALUE!</v>
      </c>
      <c r="HH14" s="0" t="e">
        <f aca="false">Claudio!G15+";7#!NR"</f>
        <v>#VALUE!</v>
      </c>
      <c r="HI14" s="0" t="e">
        <f aca="false">Claudio!H15+";7#!NS"</f>
        <v>#VALUE!</v>
      </c>
      <c r="HJ14" s="0" t="e">
        <f aca="false">Claudio!I15+";7#!NT"</f>
        <v>#VALUE!</v>
      </c>
      <c r="HK14" s="0" t="e">
        <f aca="false">Claudio!J15+";7#!NU"</f>
        <v>#VALUE!</v>
      </c>
      <c r="HL14" s="0" t="e">
        <f aca="false">Claudio!K15+";7#!NV"</f>
        <v>#VALUE!</v>
      </c>
      <c r="HM14" s="0" t="e">
        <f aca="false">Claudio!L15+";7#!NW"</f>
        <v>#VALUE!</v>
      </c>
      <c r="HN14" s="0" t="e">
        <f aca="false">Claudio!M15+";7#!NX"</f>
        <v>#VALUE!</v>
      </c>
      <c r="HO14" s="0" t="e">
        <f aca="false">Claudio!N15+";7#!NY"</f>
        <v>#VALUE!</v>
      </c>
      <c r="HP14" s="0" t="e">
        <f aca="false">Claudio!O15+";7#!NZ"</f>
        <v>#VALUE!</v>
      </c>
      <c r="HQ14" s="0" t="e">
        <f aca="false">Claudio!P15+";7#!N["</f>
        <v>#VALUE!</v>
      </c>
      <c r="HR14" s="0" t="e">
        <f aca="false">Claudio!A16+";7#!N\"</f>
        <v>#VALUE!</v>
      </c>
      <c r="HS14" s="0" t="e">
        <f aca="false">Claudio!B16+";7#!N]"</f>
        <v>#VALUE!</v>
      </c>
      <c r="HT14" s="0" t="e">
        <f aca="false">Claudio!C16+";7#!N^"</f>
        <v>#VALUE!</v>
      </c>
      <c r="HU14" s="0" t="e">
        <f aca="false">Claudio!D16+";7#!N_"</f>
        <v>#VALUE!</v>
      </c>
      <c r="HV14" s="0" t="e">
        <f aca="false">Claudio!E16+";7#!N`"</f>
        <v>#VALUE!</v>
      </c>
      <c r="HW14" s="0" t="e">
        <f aca="false">Claudio!F16+";7#!Na"</f>
        <v>#VALUE!</v>
      </c>
      <c r="HX14" s="35" t="e">
        <f aca="false">Claudio!G16+";7#!Nb"</f>
        <v>#VALUE!</v>
      </c>
      <c r="HY14" s="0" t="e">
        <f aca="false">Claudio!H16+";7#!Nc"</f>
        <v>#VALUE!</v>
      </c>
      <c r="HZ14" s="0" t="e">
        <f aca="false">Claudio!I16+";7#!Nd"</f>
        <v>#VALUE!</v>
      </c>
      <c r="IA14" s="0" t="e">
        <f aca="false">Claudio!J16+";7#!Ne"</f>
        <v>#VALUE!</v>
      </c>
      <c r="IB14" s="0" t="e">
        <f aca="false">Claudio!K16+";7#!Nf"</f>
        <v>#VALUE!</v>
      </c>
      <c r="IC14" s="0" t="e">
        <f aca="false">Claudio!L16+";7#!Ng"</f>
        <v>#VALUE!</v>
      </c>
      <c r="ID14" s="0" t="e">
        <f aca="false">Claudio!M16+";7#!Nh"</f>
        <v>#VALUE!</v>
      </c>
      <c r="IE14" s="0" t="e">
        <f aca="false">Claudio!N16+";7#!Ni"</f>
        <v>#VALUE!</v>
      </c>
      <c r="IF14" s="0" t="e">
        <f aca="false">Claudio!O16+";7#!Nj"</f>
        <v>#VALUE!</v>
      </c>
      <c r="IG14" s="0" t="e">
        <f aca="false">Claudio!P16+";7#!Nk"</f>
        <v>#VALUE!</v>
      </c>
      <c r="IH14" s="0" t="e">
        <f aca="false">Claudio!A17+";7#!Nl"</f>
        <v>#VALUE!</v>
      </c>
      <c r="II14" s="0" t="e">
        <f aca="false">Claudio!B17+";7#!Nm"</f>
        <v>#VALUE!</v>
      </c>
      <c r="IJ14" s="0" t="e">
        <f aca="false">Claudio!C17+";7#!Nn"</f>
        <v>#VALUE!</v>
      </c>
      <c r="IK14" s="0" t="e">
        <f aca="false">Claudio!D17+";7#!No"</f>
        <v>#VALUE!</v>
      </c>
      <c r="IL14" s="0" t="e">
        <f aca="false">Claudio!E17+";7#!Np"</f>
        <v>#VALUE!</v>
      </c>
      <c r="IM14" s="0" t="e">
        <f aca="false">Claudio!F17+";7#!Nq"</f>
        <v>#VALUE!</v>
      </c>
      <c r="IN14" s="0" t="e">
        <f aca="false">Claudio!G17+";7#!Nr"</f>
        <v>#VALUE!</v>
      </c>
      <c r="IO14" s="0" t="e">
        <f aca="false">Claudio!H17+";7#!Ns"</f>
        <v>#VALUE!</v>
      </c>
      <c r="IP14" s="0" t="e">
        <f aca="false">Claudio!I17+";7#!Nt"</f>
        <v>#VALUE!</v>
      </c>
      <c r="IQ14" s="0" t="e">
        <f aca="false">Claudio!J17+";7#!Nu"</f>
        <v>#VALUE!</v>
      </c>
      <c r="IR14" s="0" t="e">
        <f aca="false">Claudio!K17+";7#!Nv"</f>
        <v>#VALUE!</v>
      </c>
      <c r="IS14" s="0" t="e">
        <f aca="false">Claudio!L17+";7#!Nw"</f>
        <v>#VALUE!</v>
      </c>
      <c r="IT14" s="0" t="e">
        <f aca="false">Claudio!M17+";7#!Nx"</f>
        <v>#VALUE!</v>
      </c>
      <c r="IU14" s="0" t="e">
        <f aca="false">Claudio!N17+";7#!Ny"</f>
        <v>#VALUE!</v>
      </c>
      <c r="IV14" s="0" t="e">
        <f aca="false">Claudio!O17+";7#!Nz"</f>
        <v>#VALUE!</v>
      </c>
    </row>
    <row r="15" customFormat="false" ht="15" hidden="false" customHeight="false" outlineLevel="0" collapsed="false">
      <c r="F15" s="0" t="e">
        <f aca="false">Claudio!P17+";7#!N{"</f>
        <v>#VALUE!</v>
      </c>
      <c r="G15" s="0" t="e">
        <f aca="false">Claudio!A18+";7#!N|"</f>
        <v>#VALUE!</v>
      </c>
      <c r="H15" s="0" t="e">
        <f aca="false">Claudio!B18+";7#!N}"</f>
        <v>#VALUE!</v>
      </c>
      <c r="I15" s="0" t="e">
        <f aca="false">Claudio!C18+";7#!N~"</f>
        <v>#VALUE!</v>
      </c>
      <c r="J15" s="0" t="e">
        <f aca="false">Claudio!D18+";7#!O#"</f>
        <v>#VALUE!</v>
      </c>
      <c r="K15" s="0" t="e">
        <f aca="false">Claudio!E18+";7#!O$"</f>
        <v>#VALUE!</v>
      </c>
      <c r="L15" s="0" t="e">
        <f aca="false">Claudio!F18+";7#!O%"</f>
        <v>#VALUE!</v>
      </c>
      <c r="M15" s="0" t="e">
        <f aca="false">Claudio!G18+";7#!O&amp;"</f>
        <v>#VALUE!</v>
      </c>
      <c r="N15" s="0" t="e">
        <f aca="false">Claudio!H18+";7#!O'"</f>
        <v>#VALUE!</v>
      </c>
      <c r="O15" s="0" t="e">
        <f aca="false">Claudio!I18+";7#!O("</f>
        <v>#VALUE!</v>
      </c>
      <c r="P15" s="0" t="e">
        <f aca="false">Claudio!J18+";7#!O)"</f>
        <v>#VALUE!</v>
      </c>
      <c r="Q15" s="0" t="e">
        <f aca="false">Claudio!K18+";7#!O."</f>
        <v>#VALUE!</v>
      </c>
      <c r="R15" s="0" t="e">
        <f aca="false">Claudio!L18+";7#!O/"</f>
        <v>#VALUE!</v>
      </c>
      <c r="S15" s="0" t="e">
        <f aca="false">Claudio!M18+";7#!O0"</f>
        <v>#VALUE!</v>
      </c>
      <c r="T15" s="0" t="e">
        <f aca="false">Claudio!N18+";7#!O1"</f>
        <v>#VALUE!</v>
      </c>
      <c r="U15" s="0" t="e">
        <f aca="false">Claudio!O18+";7#!O2"</f>
        <v>#VALUE!</v>
      </c>
      <c r="V15" s="0" t="e">
        <f aca="false">Claudio!P18+";7#!O3"</f>
        <v>#VALUE!</v>
      </c>
      <c r="W15" s="0" t="e">
        <f aca="false">Claudio!A19+";7#!O4"</f>
        <v>#VALUE!</v>
      </c>
      <c r="X15" s="0" t="e">
        <f aca="false">Claudio!B19+";7#!O5"</f>
        <v>#VALUE!</v>
      </c>
      <c r="Y15" s="0" t="e">
        <f aca="false">Claudio!C19+";7#!O6"</f>
        <v>#N/A</v>
      </c>
      <c r="Z15" s="0" t="e">
        <f aca="false">Claudio!D19+";7#!O7"</f>
        <v>#VALUE!</v>
      </c>
      <c r="AA15" s="0" t="e">
        <f aca="false">Claudio!E19+";7#!O8"</f>
        <v>#VALUE!</v>
      </c>
      <c r="AB15" s="0" t="e">
        <f aca="false">Claudio!F19+";7#!O9"</f>
        <v>#VALUE!</v>
      </c>
      <c r="AC15" s="0" t="e">
        <f aca="false">Claudio!G19+";7#!O:"</f>
        <v>#VALUE!</v>
      </c>
      <c r="AD15" s="0" t="e">
        <f aca="false">Claudio!H19+";7#!O;"</f>
        <v>#VALUE!</v>
      </c>
      <c r="AE15" s="0" t="e">
        <f aca="false">Claudio!I19+";7#!O&lt;"</f>
        <v>#VALUE!</v>
      </c>
      <c r="AF15" s="0" t="e">
        <f aca="false">Claudio!J19+";7#!O="</f>
        <v>#VALUE!</v>
      </c>
      <c r="AG15" s="0" t="e">
        <f aca="false">Claudio!K19+";7#!O&gt;"</f>
        <v>#VALUE!</v>
      </c>
      <c r="AH15" s="0" t="e">
        <f aca="false">Claudio!L19+";7#!O?"</f>
        <v>#VALUE!</v>
      </c>
      <c r="AI15" s="0" t="e">
        <f aca="false">Claudio!M19+";7#!O@"</f>
        <v>#VALUE!</v>
      </c>
      <c r="AJ15" s="0" t="e">
        <f aca="false">Claudio!N19+";7#!OA"</f>
        <v>#VALUE!</v>
      </c>
      <c r="AK15" s="0" t="e">
        <f aca="false">Claudio!O19+";7#!OB"</f>
        <v>#VALUE!</v>
      </c>
      <c r="AL15" s="0" t="e">
        <f aca="false">Claudio!P19+";7#!OC"</f>
        <v>#VALUE!</v>
      </c>
      <c r="AM15" s="0" t="e">
        <f aca="false">Claudio!A20+";7#!OD"</f>
        <v>#VALUE!</v>
      </c>
      <c r="AN15" s="0" t="e">
        <f aca="false">Claudio!B20+";7#!OE"</f>
        <v>#VALUE!</v>
      </c>
      <c r="AO15" s="0" t="e">
        <f aca="false">Claudio!C20+";7#!OF"</f>
        <v>#N/A</v>
      </c>
      <c r="AP15" s="0" t="e">
        <f aca="false">Claudio!D20+";7#!OG"</f>
        <v>#VALUE!</v>
      </c>
      <c r="AQ15" s="0" t="e">
        <f aca="false">Claudio!E20+";7#!OH"</f>
        <v>#VALUE!</v>
      </c>
      <c r="AR15" s="0" t="e">
        <f aca="false">Claudio!F20+";7#!OI"</f>
        <v>#VALUE!</v>
      </c>
      <c r="AS15" s="0" t="e">
        <f aca="false">Claudio!G20+";7#!OJ"</f>
        <v>#VALUE!</v>
      </c>
      <c r="AT15" s="0" t="e">
        <f aca="false">Claudio!H20+";7#!OK"</f>
        <v>#VALUE!</v>
      </c>
      <c r="AU15" s="0" t="e">
        <f aca="false">Claudio!I20+";7#!OL"</f>
        <v>#VALUE!</v>
      </c>
      <c r="AV15" s="0" t="e">
        <f aca="false">Claudio!J20+";7#!OM"</f>
        <v>#VALUE!</v>
      </c>
      <c r="AW15" s="0" t="e">
        <f aca="false">Claudio!K20+";7#!ON"</f>
        <v>#VALUE!</v>
      </c>
      <c r="AX15" s="0" t="e">
        <f aca="false">Claudio!L20+";7#!OO"</f>
        <v>#VALUE!</v>
      </c>
      <c r="AY15" s="0" t="e">
        <f aca="false">Claudio!M20+";7#!OP"</f>
        <v>#VALUE!</v>
      </c>
      <c r="AZ15" s="0" t="e">
        <f aca="false">Claudio!N20+";7#!OQ"</f>
        <v>#VALUE!</v>
      </c>
      <c r="BA15" s="0" t="e">
        <f aca="false">Claudio!O20+";7#!OR"</f>
        <v>#VALUE!</v>
      </c>
      <c r="BB15" s="0" t="e">
        <f aca="false">Claudio!P20+";7#!OS"</f>
        <v>#VALUE!</v>
      </c>
      <c r="BC15" s="0" t="e">
        <f aca="false">Claudio!A21+";7#!OT"</f>
        <v>#VALUE!</v>
      </c>
      <c r="BD15" s="0" t="e">
        <f aca="false">Claudio!B21+";7#!OU"</f>
        <v>#VALUE!</v>
      </c>
      <c r="BE15" s="0" t="e">
        <f aca="false">Claudio!C21+";7#!OV"</f>
        <v>#N/A</v>
      </c>
      <c r="BF15" s="0" t="e">
        <f aca="false">Claudio!D21+";7#!OW"</f>
        <v>#VALUE!</v>
      </c>
      <c r="BG15" s="0" t="e">
        <f aca="false">Claudio!E21+";7#!OX"</f>
        <v>#VALUE!</v>
      </c>
      <c r="BH15" s="0" t="e">
        <f aca="false">Claudio!F21+";7#!OY"</f>
        <v>#VALUE!</v>
      </c>
      <c r="BI15" s="0" t="e">
        <f aca="false">Claudio!G21+";7#!OZ"</f>
        <v>#VALUE!</v>
      </c>
      <c r="BJ15" s="0" t="e">
        <f aca="false">Claudio!H21+";7#!O["</f>
        <v>#VALUE!</v>
      </c>
      <c r="BK15" s="0" t="e">
        <f aca="false">Claudio!I21+";7#!O\"</f>
        <v>#VALUE!</v>
      </c>
      <c r="BL15" s="0" t="e">
        <f aca="false">Claudio!J21+";7#!O]"</f>
        <v>#VALUE!</v>
      </c>
      <c r="BM15" s="0" t="e">
        <f aca="false">Claudio!K21+";7#!O^"</f>
        <v>#VALUE!</v>
      </c>
      <c r="BN15" s="0" t="e">
        <f aca="false">Claudio!L21+";7#!O_"</f>
        <v>#VALUE!</v>
      </c>
      <c r="BO15" s="0" t="e">
        <f aca="false">Claudio!M21+";7#!O`"</f>
        <v>#VALUE!</v>
      </c>
      <c r="BP15" s="0" t="e">
        <f aca="false">Claudio!N21+";7#!Oa"</f>
        <v>#VALUE!</v>
      </c>
      <c r="BQ15" s="0" t="e">
        <f aca="false">Claudio!O21+";7#!Ob"</f>
        <v>#VALUE!</v>
      </c>
      <c r="BR15" s="0" t="e">
        <f aca="false">Claudio!P21+";7#!Oc"</f>
        <v>#VALUE!</v>
      </c>
      <c r="BS15" s="0" t="e">
        <f aca="false">Claudio!A22+";7#!Od"</f>
        <v>#VALUE!</v>
      </c>
      <c r="BT15" s="0" t="e">
        <f aca="false">Claudio!B22+";7#!Oe"</f>
        <v>#VALUE!</v>
      </c>
      <c r="BU15" s="0" t="e">
        <f aca="false">Claudio!C22+";7#!Of"</f>
        <v>#N/A</v>
      </c>
      <c r="BV15" s="0" t="e">
        <f aca="false">Claudio!D22+";7#!Og"</f>
        <v>#VALUE!</v>
      </c>
      <c r="BW15" s="0" t="e">
        <f aca="false">Claudio!E22+";7#!Oh"</f>
        <v>#VALUE!</v>
      </c>
      <c r="BX15" s="0" t="e">
        <f aca="false">Claudio!F22+";7#!Oi"</f>
        <v>#VALUE!</v>
      </c>
      <c r="BY15" s="0" t="e">
        <f aca="false">Claudio!G22+";7#!Oj"</f>
        <v>#VALUE!</v>
      </c>
      <c r="BZ15" s="0" t="e">
        <f aca="false">Claudio!H22+";7#!Ok"</f>
        <v>#VALUE!</v>
      </c>
      <c r="CA15" s="0" t="e">
        <f aca="false">Claudio!I22+";7#!Ol"</f>
        <v>#VALUE!</v>
      </c>
      <c r="CB15" s="0" t="e">
        <f aca="false">Claudio!J22+";7#!Om"</f>
        <v>#VALUE!</v>
      </c>
      <c r="CC15" s="0" t="e">
        <f aca="false">Claudio!K22+";7#!On"</f>
        <v>#VALUE!</v>
      </c>
      <c r="CD15" s="0" t="e">
        <f aca="false">Claudio!L22+";7#!Oo"</f>
        <v>#VALUE!</v>
      </c>
      <c r="CE15" s="0" t="e">
        <f aca="false">Claudio!M22+";7#!Op"</f>
        <v>#VALUE!</v>
      </c>
      <c r="CF15" s="0" t="e">
        <f aca="false">Claudio!N22+";7#!Oq"</f>
        <v>#VALUE!</v>
      </c>
      <c r="CG15" s="0" t="e">
        <f aca="false">Claudio!O22+";7#!Or"</f>
        <v>#VALUE!</v>
      </c>
      <c r="CH15" s="0" t="e">
        <f aca="false">Claudio!P22+";7#!Os"</f>
        <v>#VALUE!</v>
      </c>
      <c r="CI15" s="0" t="e">
        <f aca="false">Claudio!A23+";7#!Ot"</f>
        <v>#VALUE!</v>
      </c>
      <c r="CJ15" s="0" t="e">
        <f aca="false">Claudio!B23+";7#!Ou"</f>
        <v>#VALUE!</v>
      </c>
      <c r="CK15" s="0" t="e">
        <f aca="false">Claudio!C23+";7#!Ov"</f>
        <v>#VALUE!</v>
      </c>
      <c r="CL15" s="35" t="e">
        <f aca="false">Claudio!D23+";7#!Ow"</f>
        <v>#VALUE!</v>
      </c>
      <c r="CM15" s="35" t="e">
        <f aca="false">Claudio!E23+";7#!Ox"</f>
        <v>#VALUE!</v>
      </c>
      <c r="CN15" s="35" t="e">
        <f aca="false">Claudio!F23+";7#!Oy"</f>
        <v>#VALUE!</v>
      </c>
      <c r="CO15" s="35" t="e">
        <f aca="false">Claudio!G23+";7#!Oz"</f>
        <v>#VALUE!</v>
      </c>
      <c r="CP15" s="35" t="e">
        <f aca="false">Claudio!H23+";7#!O{"</f>
        <v>#VALUE!</v>
      </c>
      <c r="CQ15" s="35" t="e">
        <f aca="false">Claudio!I23+";7#!O|"</f>
        <v>#VALUE!</v>
      </c>
      <c r="CR15" s="35" t="e">
        <f aca="false">Claudio!J23+";7#!O}"</f>
        <v>#VALUE!</v>
      </c>
      <c r="CS15" s="35" t="e">
        <f aca="false">Claudio!K23+";7#!O~"</f>
        <v>#VALUE!</v>
      </c>
      <c r="CT15" s="35" t="e">
        <f aca="false">Claudio!L23+";7#!P#"</f>
        <v>#VALUE!</v>
      </c>
      <c r="CU15" s="35" t="e">
        <f aca="false">Claudio!M23+";7#!P$"</f>
        <v>#VALUE!</v>
      </c>
      <c r="CV15" s="35" t="e">
        <f aca="false">Claudio!N23+";7#!P%"</f>
        <v>#VALUE!</v>
      </c>
      <c r="CW15" s="35" t="e">
        <f aca="false">Claudio!O23+";7#!P&amp;"</f>
        <v>#VALUE!</v>
      </c>
      <c r="CX15" s="35" t="e">
        <f aca="false">Claudio!P23+";7#!P'"</f>
        <v>#VALUE!</v>
      </c>
      <c r="CY15" s="0" t="e">
        <f aca="false">Claudio!A24+";7#!P("</f>
        <v>#VALUE!</v>
      </c>
      <c r="CZ15" s="0" t="e">
        <f aca="false">Claudio!B24+";7#!P)"</f>
        <v>#VALUE!</v>
      </c>
      <c r="DA15" s="0" t="e">
        <f aca="false">Claudio!C24+";7#!P."</f>
        <v>#VALUE!</v>
      </c>
      <c r="DB15" s="35" t="e">
        <f aca="false">Claudio!D24+";7#!P/"</f>
        <v>#VALUE!</v>
      </c>
      <c r="DC15" s="35" t="e">
        <f aca="false">Claudio!E24+";7#!P0"</f>
        <v>#VALUE!</v>
      </c>
      <c r="DD15" s="35" t="e">
        <f aca="false">Claudio!F24+";7#!P1"</f>
        <v>#VALUE!</v>
      </c>
      <c r="DE15" s="35" t="e">
        <f aca="false">Claudio!G24+";7#!P2"</f>
        <v>#VALUE!</v>
      </c>
      <c r="DF15" s="35" t="e">
        <f aca="false">Claudio!H24+";7#!P3"</f>
        <v>#VALUE!</v>
      </c>
      <c r="DG15" s="35" t="e">
        <f aca="false">Claudio!I24+";7#!P4"</f>
        <v>#VALUE!</v>
      </c>
      <c r="DH15" s="35" t="e">
        <f aca="false">Claudio!J24+";7#!P5"</f>
        <v>#VALUE!</v>
      </c>
      <c r="DI15" s="35" t="e">
        <f aca="false">Claudio!K24+";7#!P6"</f>
        <v>#VALUE!</v>
      </c>
      <c r="DJ15" s="35" t="e">
        <f aca="false">Claudio!L24+";7#!P7"</f>
        <v>#VALUE!</v>
      </c>
      <c r="DK15" s="35" t="e">
        <f aca="false">Claudio!M24+";7#!P8"</f>
        <v>#VALUE!</v>
      </c>
      <c r="DL15" s="35" t="e">
        <f aca="false">Claudio!N24+";7#!P9"</f>
        <v>#VALUE!</v>
      </c>
      <c r="DM15" s="35" t="e">
        <f aca="false">Claudio!O24+";7#!P:"</f>
        <v>#VALUE!</v>
      </c>
      <c r="DN15" s="35" t="e">
        <f aca="false">Claudio!P24+";7#!P;"</f>
        <v>#VALUE!</v>
      </c>
      <c r="DO15" s="0" t="e">
        <f aca="false">Claudio!A25+";7#!P&lt;"</f>
        <v>#VALUE!</v>
      </c>
      <c r="DP15" s="0" t="e">
        <f aca="false">Claudio!B25+";7#!P="</f>
        <v>#VALUE!</v>
      </c>
      <c r="DQ15" s="0" t="e">
        <f aca="false">Claudio!C25+";7#!P&gt;"</f>
        <v>#VALUE!</v>
      </c>
      <c r="DR15" s="35" t="e">
        <f aca="false">Claudio!D25+";7#!P?"</f>
        <v>#VALUE!</v>
      </c>
      <c r="DS15" s="35" t="e">
        <f aca="false">Claudio!E25+";7#!P@"</f>
        <v>#VALUE!</v>
      </c>
      <c r="DT15" s="35" t="e">
        <f aca="false">Claudio!F25+";7#!PA"</f>
        <v>#VALUE!</v>
      </c>
      <c r="DU15" s="35" t="e">
        <f aca="false">Claudio!G25+";7#!PB"</f>
        <v>#VALUE!</v>
      </c>
      <c r="DV15" s="35" t="e">
        <f aca="false">Claudio!H25+";7#!PC"</f>
        <v>#VALUE!</v>
      </c>
      <c r="DW15" s="35" t="e">
        <f aca="false">Claudio!I25+";7#!PD"</f>
        <v>#VALUE!</v>
      </c>
      <c r="DX15" s="35" t="e">
        <f aca="false">Claudio!J25+";7#!PE"</f>
        <v>#VALUE!</v>
      </c>
      <c r="DY15" s="35" t="e">
        <f aca="false">Claudio!K25+";7#!PF"</f>
        <v>#VALUE!</v>
      </c>
      <c r="DZ15" s="35" t="e">
        <f aca="false">Claudio!L25+";7#!PG"</f>
        <v>#VALUE!</v>
      </c>
      <c r="EA15" s="35" t="e">
        <f aca="false">Claudio!M25+";7#!PH"</f>
        <v>#VALUE!</v>
      </c>
      <c r="EB15" s="35" t="e">
        <f aca="false">Claudio!N25+";7#!PI"</f>
        <v>#VALUE!</v>
      </c>
      <c r="EC15" s="35" t="e">
        <f aca="false">Claudio!O25+";7#!PJ"</f>
        <v>#VALUE!</v>
      </c>
      <c r="ED15" s="35" t="e">
        <f aca="false">Claudio!P25+";7#!PK"</f>
        <v>#VALUE!</v>
      </c>
      <c r="EE15" s="0" t="e">
        <f aca="false">Claudio!A26+";7#!PL"</f>
        <v>#VALUE!</v>
      </c>
      <c r="EF15" s="0" t="e">
        <f aca="false">Claudio!B26+";7#!PM"</f>
        <v>#VALUE!</v>
      </c>
      <c r="EG15" s="0" t="e">
        <f aca="false">Claudio!C26+";7#!PN"</f>
        <v>#VALUE!</v>
      </c>
      <c r="EH15" s="36" t="e">
        <f aca="false">Claudio!D26+";7#!PO"</f>
        <v>#VALUE!</v>
      </c>
      <c r="EI15" s="36" t="e">
        <f aca="false">Claudio!E26+";7#!PP"</f>
        <v>#VALUE!</v>
      </c>
      <c r="EJ15" s="36" t="e">
        <f aca="false">Claudio!F26+";7#!PQ"</f>
        <v>#VALUE!</v>
      </c>
      <c r="EK15" s="36" t="e">
        <f aca="false">Claudio!G26+";7#!PR"</f>
        <v>#VALUE!</v>
      </c>
      <c r="EL15" s="36" t="e">
        <f aca="false">Claudio!H26+";7#!PS"</f>
        <v>#VALUE!</v>
      </c>
      <c r="EM15" s="36" t="e">
        <f aca="false">Claudio!I26+";7#!PT"</f>
        <v>#DIV/0!</v>
      </c>
      <c r="EN15" s="36" t="e">
        <f aca="false">Claudio!J26+";7#!PU"</f>
        <v>#DIV/0!</v>
      </c>
      <c r="EO15" s="36" t="e">
        <f aca="false">Claudio!K26+";7#!PV"</f>
        <v>#DIV/0!</v>
      </c>
      <c r="EP15" s="36" t="e">
        <f aca="false">Claudio!L26+";7#!PW"</f>
        <v>#DIV/0!</v>
      </c>
      <c r="EQ15" s="36" t="e">
        <f aca="false">Claudio!M26+";7#!PX"</f>
        <v>#DIV/0!</v>
      </c>
      <c r="ER15" s="36" t="e">
        <f aca="false">Claudio!N26+";7#!PY"</f>
        <v>#DIV/0!</v>
      </c>
      <c r="ES15" s="36" t="e">
        <f aca="false">Claudio!O26+";7#!PZ"</f>
        <v>#DIV/0!</v>
      </c>
      <c r="ET15" s="36" t="e">
        <f aca="false">Claudio!P26+";7#!P["</f>
        <v>#VALUE!</v>
      </c>
      <c r="EU15" s="0" t="e">
        <f aca="false">Jevon!A:A*";7#!P\"</f>
        <v>#VALUE!</v>
      </c>
      <c r="EV15" s="0" t="e">
        <f aca="false">Jevon!B:B*";7#!P]"</f>
        <v>#VALUE!</v>
      </c>
      <c r="EW15" s="0" t="e">
        <f aca="false">Jevon!C:C*";7#!P^"</f>
        <v>#VALUE!</v>
      </c>
      <c r="EX15" s="0" t="e">
        <f aca="false">Jevon!D:D*";7#!P_"</f>
        <v>#VALUE!</v>
      </c>
      <c r="EY15" s="0" t="e">
        <f aca="false">Jevon!E:E*";7#!P`"</f>
        <v>#VALUE!</v>
      </c>
      <c r="EZ15" s="0" t="e">
        <f aca="false">Jevon!F:F*";7#!Pa"</f>
        <v>#VALUE!</v>
      </c>
      <c r="FA15" s="0" t="e">
        <f aca="false">Jevon!G:G*";7#!Pb"</f>
        <v>#VALUE!</v>
      </c>
      <c r="FB15" s="0" t="e">
        <f aca="false">Jevon!H:H*";7#!Pc"</f>
        <v>#VALUE!</v>
      </c>
      <c r="FC15" s="0" t="e">
        <f aca="false">Jevon!I:I*";7#!Pd"</f>
        <v>#VALUE!</v>
      </c>
      <c r="FD15" s="0" t="e">
        <f aca="false">Jevon!J:J*";7#!Pe"</f>
        <v>#VALUE!</v>
      </c>
      <c r="FE15" s="0" t="e">
        <f aca="false">Jevon!K:K*";7#!Pf"</f>
        <v>#VALUE!</v>
      </c>
      <c r="FF15" s="0" t="e">
        <f aca="false">Jevon!L:L*";7#!Pg"</f>
        <v>#VALUE!</v>
      </c>
      <c r="FG15" s="0" t="e">
        <f aca="false">Jevon!M:M*";7#!Ph"</f>
        <v>#VALUE!</v>
      </c>
      <c r="FH15" s="0" t="e">
        <f aca="false">Jevon!N:N*";7#!Pi"</f>
        <v>#VALUE!</v>
      </c>
      <c r="FI15" s="0" t="e">
        <f aca="false">Jevon!O:O*";7#!Pj"</f>
        <v>#VALUE!</v>
      </c>
      <c r="FJ15" s="0" t="e">
        <f aca="false">Jevon!P:P*";7#!Pk"</f>
        <v>#VALUE!</v>
      </c>
      <c r="FK15" s="0" t="e">
        <f aca="false">Jevon!Q:Q*";7#!Pl"</f>
        <v>#VALUE!</v>
      </c>
      <c r="FL15" s="0" t="e">
        <f aca="false">Jevon!R:R*";7#!Pm"</f>
        <v>#VALUE!</v>
      </c>
      <c r="FM15" s="0" t="e">
        <f aca="false">Jevon!S:S*";7#!Pn"</f>
        <v>#VALUE!</v>
      </c>
      <c r="FN15" s="0" t="e">
        <f aca="false">Jevon!T:T*";7#!Po"</f>
        <v>#VALUE!</v>
      </c>
      <c r="FO15" s="0" t="e">
        <f aca="false">Jevon!U:U*";7#!Pp"</f>
        <v>#VALUE!</v>
      </c>
      <c r="FP15" s="0" t="e">
        <f aca="false">Jevon!V:V*";7#!Pq"</f>
        <v>#VALUE!</v>
      </c>
      <c r="FQ15" s="0" t="e">
        <f aca="false">Jevon!W:W*";7#!Pr"</f>
        <v>#VALUE!</v>
      </c>
      <c r="FR15" s="0" t="e">
        <f aca="false">Jevon!X:X*";7#!Ps"</f>
        <v>#VALUE!</v>
      </c>
      <c r="FS15" s="0" t="e">
        <f aca="false">Jevon!Y:Y*";7#!Pt"</f>
        <v>#VALUE!</v>
      </c>
      <c r="FT15" s="0" t="e">
        <f aca="false">Jevon!Z:Z*";7#!Pu"</f>
        <v>#VALUE!</v>
      </c>
      <c r="FU15" s="0" t="e">
        <f aca="false">Jevon!AA:AA*";7#!Pv"</f>
        <v>#VALUE!</v>
      </c>
      <c r="FV15" s="0" t="e">
        <f aca="false">Jevon!AB:AB*";7#!Pw"</f>
        <v>#VALUE!</v>
      </c>
      <c r="FW15" s="0" t="e">
        <f aca="false">Jevon!AC:AC*";7#!Px"</f>
        <v>#VALUE!</v>
      </c>
      <c r="FX15" s="0" t="e">
        <f aca="false">Jevon!AD:AD*";7#!Py"</f>
        <v>#VALUE!</v>
      </c>
      <c r="FY15" s="0" t="e">
        <f aca="false">Jevon!AE:AE*";7#!Pz"</f>
        <v>#VALUE!</v>
      </c>
      <c r="FZ15" s="0" t="e">
        <f aca="false">Jevon!AF:AF*";7#!P{"</f>
        <v>#VALUE!</v>
      </c>
      <c r="GA15" s="0" t="e">
        <f aca="false">Jevon!AG:AG*";7#!P|"</f>
        <v>#VALUE!</v>
      </c>
      <c r="GB15" s="0" t="e">
        <f aca="false">Jevon!AH:AH*";7#!P}"</f>
        <v>#VALUE!</v>
      </c>
      <c r="GC15" s="0" t="e">
        <f aca="false">Jevon!AI:AI*";7#!P~"</f>
        <v>#VALUE!</v>
      </c>
      <c r="GD15" s="0" t="e">
        <f aca="false">Jevon!AJ:AJ*";7#!Q#"</f>
        <v>#VALUE!</v>
      </c>
      <c r="GE15" s="0" t="e">
        <f aca="false">Jevon!AK:AK*";7#!Q$"</f>
        <v>#VALUE!</v>
      </c>
      <c r="GF15" s="0" t="e">
        <f aca="false">Jevon!AL:AL*";7#!Q%"</f>
        <v>#VALUE!</v>
      </c>
      <c r="GG15" s="0" t="e">
        <f aca="false">Jevon!AM:AM*";7#!Q&amp;"</f>
        <v>#VALUE!</v>
      </c>
      <c r="GH15" s="0" t="e">
        <f aca="false">Jevon!AN:AN*";7#!Q'"</f>
        <v>#VALUE!</v>
      </c>
      <c r="GI15" s="0" t="e">
        <f aca="false">Jevon!AO:AO*";7#!Q("</f>
        <v>#VALUE!</v>
      </c>
      <c r="GJ15" s="0" t="e">
        <f aca="false">Jevon!AP:AP*";7#!Q)"</f>
        <v>#VALUE!</v>
      </c>
      <c r="GK15" s="0" t="e">
        <f aca="false">Jevon!AQ:AQ*";7#!Q."</f>
        <v>#VALUE!</v>
      </c>
      <c r="GL15" s="0" t="e">
        <f aca="false">Jevon!AR:AR*";7#!Q/"</f>
        <v>#VALUE!</v>
      </c>
      <c r="GM15" s="0" t="e">
        <f aca="false">Jevon!AS:AS*";7#!Q0"</f>
        <v>#VALUE!</v>
      </c>
      <c r="GN15" s="0" t="e">
        <f aca="false">Jevon!AT:AT*";7#!Q1"</f>
        <v>#VALUE!</v>
      </c>
      <c r="GO15" s="0" t="e">
        <f aca="false">Jevon!AU:AU*";7#!Q2"</f>
        <v>#VALUE!</v>
      </c>
      <c r="GP15" s="0" t="e">
        <f aca="false">Jevon!AV:AV*";7#!Q3"</f>
        <v>#VALUE!</v>
      </c>
      <c r="GQ15" s="0" t="e">
        <f aca="false">Jevon!AW:AW*";7#!Q4"</f>
        <v>#VALUE!</v>
      </c>
      <c r="GR15" s="0" t="e">
        <f aca="false">Jevon!AX:AX*";7#!Q5"</f>
        <v>#VALUE!</v>
      </c>
      <c r="GS15" s="0" t="e">
        <f aca="false">Jevon!AY:AY*";7#!Q6"</f>
        <v>#VALUE!</v>
      </c>
      <c r="GT15" s="0" t="e">
        <f aca="false">Jevon!AZ:AZ*";7#!Q7"</f>
        <v>#VALUE!</v>
      </c>
      <c r="GU15" s="0" t="e">
        <f aca="false">Jevon!BA:BA*";7#!Q8"</f>
        <v>#VALUE!</v>
      </c>
      <c r="GV15" s="0" t="e">
        <f aca="false">Jevon!BB:BB*";7#!Q9"</f>
        <v>#VALUE!</v>
      </c>
      <c r="GW15" s="0" t="e">
        <f aca="false">Jevon!BC:BC*";7#!Q:"</f>
        <v>#VALUE!</v>
      </c>
      <c r="GX15" s="0" t="e">
        <f aca="false">Jevon!BD:BD*";7#!Q;"</f>
        <v>#VALUE!</v>
      </c>
      <c r="GY15" s="0" t="e">
        <f aca="false">Jevon!BE:BE*";7#!Q&lt;"</f>
        <v>#VALUE!</v>
      </c>
      <c r="GZ15" s="0" t="e">
        <f aca="false">Jevon!BF:BF*";7#!Q="</f>
        <v>#VALUE!</v>
      </c>
      <c r="HA15" s="0" t="e">
        <f aca="false">Jevon!BG:BG*";7#!Q&gt;"</f>
        <v>#VALUE!</v>
      </c>
      <c r="HB15" s="0" t="e">
        <f aca="false">Jevon!BH:BH*";7#!Q?"</f>
        <v>#VALUE!</v>
      </c>
      <c r="HC15" s="0" t="e">
        <f aca="false">Jevon!BI:BI*";7#!Q@"</f>
        <v>#VALUE!</v>
      </c>
      <c r="HD15" s="0" t="e">
        <f aca="false">Jevon!BJ:BJ*";7#!QA"</f>
        <v>#VALUE!</v>
      </c>
      <c r="HE15" s="0" t="e">
        <f aca="false">Jevon!BK:BK*";7#!QB"</f>
        <v>#VALUE!</v>
      </c>
      <c r="HF15" s="0" t="e">
        <f aca="false">Jevon!BL:BL*";7#!QC"</f>
        <v>#VALUE!</v>
      </c>
      <c r="HG15" s="0" t="e">
        <f aca="false">Jevon!BM:BM*";7#!QD"</f>
        <v>#VALUE!</v>
      </c>
      <c r="HH15" s="0" t="e">
        <f aca="false">Jevon!BN:BN*";7#!QE"</f>
        <v>#VALUE!</v>
      </c>
      <c r="HI15" s="0" t="e">
        <f aca="false">Jevon!BO:BO*";7#!QF"</f>
        <v>#VALUE!</v>
      </c>
      <c r="HJ15" s="0" t="e">
        <f aca="false">Jevon!BP:BP*";7#!QG"</f>
        <v>#VALUE!</v>
      </c>
      <c r="HK15" s="0" t="e">
        <f aca="false">Jevon!BQ:BQ*";7#!QH"</f>
        <v>#VALUE!</v>
      </c>
      <c r="HL15" s="0" t="e">
        <f aca="false">Jevon!BR:BR*";7#!QI"</f>
        <v>#VALUE!</v>
      </c>
      <c r="HM15" s="0" t="e">
        <f aca="false">Jevon!BS:BS*";7#!QJ"</f>
        <v>#VALUE!</v>
      </c>
      <c r="HN15" s="0" t="e">
        <f aca="false">Jevon!BT:BT*";7#!QK"</f>
        <v>#VALUE!</v>
      </c>
      <c r="HO15" s="0" t="e">
        <f aca="false">Jevon!BU:BU*";7#!QL"</f>
        <v>#VALUE!</v>
      </c>
      <c r="HP15" s="0" t="e">
        <f aca="false">Jevon!BV:BV*";7#!QM"</f>
        <v>#VALUE!</v>
      </c>
      <c r="HQ15" s="0" t="e">
        <f aca="false">Jevon!BW:BW*";7#!QN"</f>
        <v>#VALUE!</v>
      </c>
      <c r="HR15" s="0" t="e">
        <f aca="false">Jevon!BX:BX*";7#!QO"</f>
        <v>#VALUE!</v>
      </c>
      <c r="HS15" s="0" t="e">
        <f aca="false">Jevon!BY:BY*";7#!QP"</f>
        <v>#VALUE!</v>
      </c>
      <c r="HT15" s="0" t="e">
        <f aca="false">Jevon!BZ:BZ*";7#!QQ"</f>
        <v>#VALUE!</v>
      </c>
      <c r="HU15" s="0" t="e">
        <f aca="false">Jevon!CA:CA*";7#!QR"</f>
        <v>#VALUE!</v>
      </c>
      <c r="HV15" s="0" t="e">
        <f aca="false">Jevon!CB:CB*";7#!QS"</f>
        <v>#VALUE!</v>
      </c>
      <c r="HW15" s="0" t="e">
        <f aca="false">Jevon!CC:CC*";7#!QT"</f>
        <v>#VALUE!</v>
      </c>
      <c r="HX15" s="0" t="e">
        <f aca="false">Jevon!1:1-";7#!QU"</f>
        <v>#VALUE!</v>
      </c>
      <c r="HY15" s="0" t="e">
        <f aca="false">Jevon!2:2-";7#!QV"</f>
        <v>#VALUE!</v>
      </c>
      <c r="HZ15" s="0" t="e">
        <f aca="false">Jevon!3:3-";7#!QW"</f>
        <v>#VALUE!</v>
      </c>
      <c r="IA15" s="0" t="e">
        <f aca="false">Jevon!4:4-";7#!QX"</f>
        <v>#VALUE!</v>
      </c>
      <c r="IB15" s="0" t="e">
        <f aca="false">Jevon!5:5-";7#!QY"</f>
        <v>#VALUE!</v>
      </c>
      <c r="IC15" s="0" t="e">
        <f aca="false">Jevon!6:6-";7#!QZ"</f>
        <v>#VALUE!</v>
      </c>
      <c r="ID15" s="0" t="e">
        <f aca="false">Jevon!7:7-";7#!Q["</f>
        <v>#VALUE!</v>
      </c>
      <c r="IE15" s="0" t="e">
        <f aca="false">Jevon!8:8-";7#!Q\"</f>
        <v>#VALUE!</v>
      </c>
      <c r="IF15" s="0" t="e">
        <f aca="false">Jevon!9:9-";7#!Q]"</f>
        <v>#VALUE!</v>
      </c>
      <c r="IG15" s="0" t="e">
        <f aca="false">Jevon!10:10-";7#!Q^"</f>
        <v>#VALUE!</v>
      </c>
      <c r="IH15" s="0" t="e">
        <f aca="false">Jevon!11:11-";7#!Q_"</f>
        <v>#VALUE!</v>
      </c>
      <c r="II15" s="0" t="e">
        <f aca="false">Jevon!12:12-";7#!Q`"</f>
        <v>#VALUE!</v>
      </c>
      <c r="IJ15" s="0" t="e">
        <f aca="false">Jevon!13:13-";7#!Qa"</f>
        <v>#VALUE!</v>
      </c>
      <c r="IK15" s="0" t="e">
        <f aca="false">Jevon!14:14-";7#!Qb"</f>
        <v>#VALUE!</v>
      </c>
      <c r="IL15" s="0" t="e">
        <f aca="false">Jevon!15:15-";7#!Qc"</f>
        <v>#VALUE!</v>
      </c>
      <c r="IM15" s="0" t="e">
        <f aca="false">Jevon!16:16-";7#!Qd"</f>
        <v>#VALUE!</v>
      </c>
      <c r="IN15" s="0" t="e">
        <f aca="false">Jevon!17:17-";7#!Qe"</f>
        <v>#VALUE!</v>
      </c>
      <c r="IO15" s="0" t="e">
        <f aca="false">Jevon!19:19-";7#!Qf"</f>
        <v>#VALUE!</v>
      </c>
      <c r="IP15" s="0" t="e">
        <f aca="false">Jevon!20:20-";7#!Qg"</f>
        <v>#VALUE!</v>
      </c>
      <c r="IQ15" s="0" t="e">
        <f aca="false">Jevon!21:21-";7#!Qh"</f>
        <v>#VALUE!</v>
      </c>
      <c r="IR15" s="0" t="e">
        <f aca="false">Jevon!22:22-";7#!Qi"</f>
        <v>#VALUE!</v>
      </c>
      <c r="IS15" s="0" t="e">
        <f aca="false">Jevon!23:23-";7#!Qj"</f>
        <v>#VALUE!</v>
      </c>
      <c r="IT15" s="0" t="e">
        <f aca="false">Jevon!24:24-";7#!Qk"</f>
        <v>#VALUE!</v>
      </c>
      <c r="IU15" s="0" t="e">
        <f aca="false">Jevon!25:25-";7#!Ql"</f>
        <v>#VALUE!</v>
      </c>
      <c r="IV15" s="0" t="e">
        <f aca="false">Jevon!26:26-";7#!Qm"</f>
        <v>#VALUE!</v>
      </c>
    </row>
    <row r="16" customFormat="false" ht="15" hidden="false" customHeight="false" outlineLevel="0" collapsed="false">
      <c r="F16" s="0" t="e">
        <f aca="false">Jevon!27:27-";7#!Qn"</f>
        <v>#VALUE!</v>
      </c>
      <c r="G16" s="0" t="e">
        <f aca="false">Jevon!28:28-";7#!Qo"</f>
        <v>#VALUE!</v>
      </c>
      <c r="H16" s="0" t="e">
        <f aca="false">Jevon!29:29-";7#!Qp"</f>
        <v>#VALUE!</v>
      </c>
      <c r="I16" s="0" t="e">
        <f aca="false">Jevon!30:30-";7#!Qq"</f>
        <v>#VALUE!</v>
      </c>
      <c r="J16" s="0" t="e">
        <f aca="false">Jevon!31:31-";7#!Qr"</f>
        <v>#VALUE!</v>
      </c>
      <c r="K16" s="0" t="e">
        <f aca="false">Jevon!32:32-";7#!Qs"</f>
        <v>#VALUE!</v>
      </c>
      <c r="L16" s="0" t="e">
        <f aca="false">Jevon!33:33-";7#!Qt"</f>
        <v>#VALUE!</v>
      </c>
      <c r="M16" s="0" t="e">
        <f aca="false">Jevon!34:34-";7#!Qu"</f>
        <v>#VALUE!</v>
      </c>
      <c r="N16" s="0" t="e">
        <f aca="false">Jevon!35:35-";7#!Qv"</f>
        <v>#VALUE!</v>
      </c>
      <c r="O16" s="0" t="e">
        <f aca="false">Jevon!36:36-";7#!Qw"</f>
        <v>#VALUE!</v>
      </c>
      <c r="P16" s="0" t="e">
        <f aca="false">Jevon!37:37-";7#!Qx"</f>
        <v>#VALUE!</v>
      </c>
      <c r="Q16" s="0" t="e">
        <f aca="false">Jevon!38:38-";7#!Qy"</f>
        <v>#VALUE!</v>
      </c>
      <c r="R16" s="0" t="e">
        <f aca="false">Jevon!39:39-";7#!Qz"</f>
        <v>#VALUE!</v>
      </c>
      <c r="S16" s="0" t="e">
        <f aca="false">Jevon!40:40-";7#!Q{"</f>
        <v>#VALUE!</v>
      </c>
      <c r="T16" s="0" t="e">
        <f aca="false">Jevon!41:41-";7#!Q|"</f>
        <v>#VALUE!</v>
      </c>
      <c r="U16" s="0" t="e">
        <f aca="false">Jevon!42:42-";7#!Q}"</f>
        <v>#VALUE!</v>
      </c>
      <c r="V16" s="0" t="e">
        <f aca="false">Jevon!43:43-";7#!Q~"</f>
        <v>#VALUE!</v>
      </c>
      <c r="W16" s="0" t="e">
        <f aca="false">Jevon!44:44-";7#!R#"</f>
        <v>#VALUE!</v>
      </c>
      <c r="X16" s="0" t="e">
        <f aca="false">Jevon!45:45-";7#!R$"</f>
        <v>#VALUE!</v>
      </c>
      <c r="Y16" s="0" t="e">
        <f aca="false">Jevon!46:46-";7#!R%"</f>
        <v>#VALUE!</v>
      </c>
      <c r="Z16" s="0" t="e">
        <f aca="false">Jevon!47:47-";7#!R&amp;"</f>
        <v>#VALUE!</v>
      </c>
      <c r="AA16" s="0" t="e">
        <f aca="false">Jevon!48:48-";7#!R'"</f>
        <v>#VALUE!</v>
      </c>
      <c r="AB16" s="0" t="e">
        <f aca="false">Jevon!49:49-";7#!R("</f>
        <v>#VALUE!</v>
      </c>
      <c r="AC16" s="0" t="e">
        <f aca="false">Jevon!50:50-";7#!R)"</f>
        <v>#VALUE!</v>
      </c>
      <c r="AD16" s="0" t="e">
        <f aca="false">Jevon!51:51-";7#!R."</f>
        <v>#VALUE!</v>
      </c>
      <c r="AE16" s="0" t="e">
        <f aca="false">Jevon!52:52-";7#!R/"</f>
        <v>#VALUE!</v>
      </c>
      <c r="AF16" s="0" t="e">
        <f aca="false">Jevon!53:53-";7#!R0"</f>
        <v>#VALUE!</v>
      </c>
      <c r="AG16" s="0" t="e">
        <f aca="false">Jevon!54:54-";7#!R1"</f>
        <v>#VALUE!</v>
      </c>
      <c r="AH16" s="0" t="e">
        <f aca="false">Jevon!55:55-";7#!R2"</f>
        <v>#VALUE!</v>
      </c>
      <c r="AI16" s="0" t="e">
        <f aca="false">Jevon!56:56-";7#!R3"</f>
        <v>#VALUE!</v>
      </c>
      <c r="AJ16" s="0" t="e">
        <f aca="false">Jevon!57:57-";7#!R4"</f>
        <v>#VALUE!</v>
      </c>
      <c r="AK16" s="0" t="e">
        <f aca="false">Jevon!58:58-";7#!R5"</f>
        <v>#VALUE!</v>
      </c>
      <c r="AL16" s="0" t="e">
        <f aca="false">Jevon!59:59-";7#!R6"</f>
        <v>#VALUE!</v>
      </c>
      <c r="AM16" s="0" t="e">
        <f aca="false">Jevon!60:60-";7#!R7"</f>
        <v>#VALUE!</v>
      </c>
      <c r="AN16" s="0" t="e">
        <f aca="false">Jevon!61:61-";7#!R8"</f>
        <v>#VALUE!</v>
      </c>
      <c r="AO16" s="0" t="e">
        <f aca="false">Jevon!62:62-";7#!R9"</f>
        <v>#VALUE!</v>
      </c>
      <c r="AP16" s="0" t="e">
        <f aca="false">Jevon!63:63-";7#!R:"</f>
        <v>#VALUE!</v>
      </c>
      <c r="AQ16" s="0" t="e">
        <f aca="false">Jevon!64:64-";7#!R;"</f>
        <v>#VALUE!</v>
      </c>
      <c r="AR16" s="0" t="e">
        <f aca="false">Jevon!65:65-";7#!R&lt;"</f>
        <v>#VALUE!</v>
      </c>
      <c r="AS16" s="0" t="e">
        <f aca="false">Jevon!66:66-";7#!R="</f>
        <v>#VALUE!</v>
      </c>
      <c r="AT16" s="0" t="e">
        <f aca="false">Jevon!67:67-";7#!R&gt;"</f>
        <v>#VALUE!</v>
      </c>
      <c r="AU16" s="0" t="e">
        <f aca="false">Jevon!68:68-";7#!R?"</f>
        <v>#VALUE!</v>
      </c>
      <c r="AV16" s="0" t="e">
        <f aca="false">Jevon!69:69-";7#!R@"</f>
        <v>#VALUE!</v>
      </c>
      <c r="AW16" s="0" t="e">
        <f aca="false">Jevon!70:70-";7#!RA"</f>
        <v>#VALUE!</v>
      </c>
      <c r="AX16" s="0" t="e">
        <f aca="false">Jevon!71:71-";7#!RB"</f>
        <v>#VALUE!</v>
      </c>
      <c r="AY16" s="0" t="e">
        <f aca="false">Jevon!72:72-";7#!RC"</f>
        <v>#VALUE!</v>
      </c>
      <c r="AZ16" s="0" t="e">
        <f aca="false">Jevon!73:73-";7#!RD"</f>
        <v>#VALUE!</v>
      </c>
      <c r="BA16" s="0" t="e">
        <f aca="false">Jevon!74:74-";7#!RE"</f>
        <v>#VALUE!</v>
      </c>
      <c r="BB16" s="0" t="e">
        <f aca="false">Jevon!75:75-";7#!RF"</f>
        <v>#VALUE!</v>
      </c>
      <c r="BC16" s="0" t="e">
        <f aca="false">Jevon!76:76-";7#!RG"</f>
        <v>#VALUE!</v>
      </c>
      <c r="BD16" s="0" t="e">
        <f aca="false">Jevon!77:77-";7#!RH"</f>
        <v>#VALUE!</v>
      </c>
      <c r="BE16" s="0" t="e">
        <f aca="false">Jevon!78:78-";7#!RI"</f>
        <v>#VALUE!</v>
      </c>
      <c r="BF16" s="0" t="e">
        <f aca="false">Jevon!79:79-";7#!RJ"</f>
        <v>#VALUE!</v>
      </c>
      <c r="BG16" s="0" t="e">
        <f aca="false">Jevon!80:80-";7#!RK"</f>
        <v>#VALUE!</v>
      </c>
      <c r="BH16" s="0" t="e">
        <f aca="false">Jevon!81:81-";7#!RL"</f>
        <v>#VALUE!</v>
      </c>
      <c r="BI16" s="0" t="e">
        <f aca="false">Jevon!82:82-";7#!RM"</f>
        <v>#VALUE!</v>
      </c>
      <c r="BJ16" s="0" t="e">
        <f aca="false">Jevon!83:83-";7#!RN"</f>
        <v>#VALUE!</v>
      </c>
      <c r="BK16" s="0" t="e">
        <f aca="false">Jevon!84:84-";7#!RO"</f>
        <v>#VALUE!</v>
      </c>
      <c r="BL16" s="0" t="e">
        <f aca="false">Jevon!85:85-";7#!RP"</f>
        <v>#VALUE!</v>
      </c>
      <c r="BM16" s="0" t="e">
        <f aca="false">Jevon!86:86-";7#!RQ"</f>
        <v>#VALUE!</v>
      </c>
      <c r="BN16" s="0" t="e">
        <f aca="false">Jevon!87:87-";7#!RR"</f>
        <v>#VALUE!</v>
      </c>
      <c r="BO16" s="0" t="e">
        <f aca="false">Jevon!88:88-";7#!RS"</f>
        <v>#VALUE!</v>
      </c>
      <c r="BP16" s="0" t="e">
        <f aca="false">Jevon!89:89-";7#!RT"</f>
        <v>#VALUE!</v>
      </c>
      <c r="BQ16" s="0" t="e">
        <f aca="false">Jevon!90:90-";7#!RU"</f>
        <v>#VALUE!</v>
      </c>
      <c r="BR16" s="0" t="e">
        <f aca="false">Jevon!91:91-";7#!RV"</f>
        <v>#VALUE!</v>
      </c>
      <c r="BS16" s="0" t="e">
        <f aca="false">Jevon!92:92-";7#!RW"</f>
        <v>#VALUE!</v>
      </c>
      <c r="BT16" s="0" t="e">
        <f aca="false">Jevon!93:93-";7#!RX"</f>
        <v>#VALUE!</v>
      </c>
      <c r="BU16" s="0" t="e">
        <f aca="false">Jevon!94:94-";7#!RY"</f>
        <v>#VALUE!</v>
      </c>
      <c r="BV16" s="0" t="e">
        <f aca="false">Jevon!95:95-";7#!RZ"</f>
        <v>#VALUE!</v>
      </c>
      <c r="BW16" s="0" t="e">
        <f aca="false">Jevon!96:96-";7#!R["</f>
        <v>#VALUE!</v>
      </c>
      <c r="BX16" s="0" t="e">
        <f aca="false">Jevon!97:97-";7#!R\"</f>
        <v>#VALUE!</v>
      </c>
      <c r="BY16" s="0" t="e">
        <f aca="false">Jevon!98:98-";7#!R]"</f>
        <v>#VALUE!</v>
      </c>
      <c r="BZ16" s="0" t="e">
        <f aca="false">Jevon!99:99-";7#!R^"</f>
        <v>#VALUE!</v>
      </c>
      <c r="CA16" s="0" t="e">
        <f aca="false">Jevon!100:100-";7#!R_"</f>
        <v>#VALUE!</v>
      </c>
      <c r="CB16" s="0" t="e">
        <f aca="false">Jevon!101:101-";7#!R`"</f>
        <v>#VALUE!</v>
      </c>
      <c r="CC16" s="0" t="e">
        <f aca="false">Jevon!102:102-";7#!Ra"</f>
        <v>#VALUE!</v>
      </c>
      <c r="CD16" s="0" t="e">
        <f aca="false">Jevon!103:103-";7#!Rb"</f>
        <v>#VALUE!</v>
      </c>
      <c r="CE16" s="0" t="e">
        <f aca="false">Jevon!104:104-";7#!Rc"</f>
        <v>#VALUE!</v>
      </c>
      <c r="CF16" s="0" t="e">
        <f aca="false">Jevon!105:105-";7#!Rd"</f>
        <v>#VALUE!</v>
      </c>
      <c r="CG16" s="0" t="e">
        <f aca="false">Jevon!106:106-";7#!Re"</f>
        <v>#VALUE!</v>
      </c>
      <c r="CH16" s="0" t="e">
        <f aca="false">Jevon!107:107-";7#!Rf"</f>
        <v>#VALUE!</v>
      </c>
      <c r="CI16" s="0" t="e">
        <f aca="false">Jevon!108:108-";7#!Rg"</f>
        <v>#VALUE!</v>
      </c>
      <c r="CJ16" s="0" t="e">
        <f aca="false">Jevon!109:109-";7#!Rh"</f>
        <v>#VALUE!</v>
      </c>
      <c r="CK16" s="0" t="e">
        <f aca="false">Jevon!110:110-";7#!Ri"</f>
        <v>#VALUE!</v>
      </c>
      <c r="CL16" s="0" t="e">
        <f aca="false">Jevon!111:111-";7#!Rj"</f>
        <v>#VALUE!</v>
      </c>
      <c r="CM16" s="0" t="e">
        <f aca="false">Jevon!112:112-";7#!Rk"</f>
        <v>#VALUE!</v>
      </c>
      <c r="CN16" s="0" t="e">
        <f aca="false">Jevon!113:113-";7#!Rl"</f>
        <v>#VALUE!</v>
      </c>
      <c r="CO16" s="0" t="e">
        <f aca="false">Jevon!114:114-";7#!Rm"</f>
        <v>#VALUE!</v>
      </c>
      <c r="CP16" s="0" t="e">
        <f aca="false">Jevon!115:115-";7#!Rn"</f>
        <v>#VALUE!</v>
      </c>
      <c r="CQ16" s="0" t="e">
        <f aca="false">Jevon!116:116-";7#!Ro"</f>
        <v>#VALUE!</v>
      </c>
      <c r="CR16" s="0" t="e">
        <f aca="false">Jevon!117:117-";7#!Rp"</f>
        <v>#VALUE!</v>
      </c>
      <c r="CS16" s="0" t="e">
        <f aca="false">Jevon!118:118-";7#!Rq"</f>
        <v>#VALUE!</v>
      </c>
      <c r="CT16" s="0" t="e">
        <f aca="false">Jevon!119:119-";7#!Rr"</f>
        <v>#VALUE!</v>
      </c>
      <c r="CU16" s="0" t="e">
        <f aca="false">Jevon!120:120-";7#!Rs"</f>
        <v>#VALUE!</v>
      </c>
      <c r="CV16" s="0" t="e">
        <f aca="false">Jevon!121:121-";7#!Rt"</f>
        <v>#VALUE!</v>
      </c>
      <c r="CW16" s="0" t="e">
        <f aca="false">Jevon!122:122-";7#!Ru"</f>
        <v>#VALUE!</v>
      </c>
      <c r="CX16" s="0" t="e">
        <f aca="false">Jevon!123:123-";7#!Rv"</f>
        <v>#VALUE!</v>
      </c>
      <c r="CY16" s="0" t="e">
        <f aca="false">Jevon!124:124-";7#!Rw"</f>
        <v>#VALUE!</v>
      </c>
      <c r="CZ16" s="0" t="e">
        <f aca="false">Jevon!125:125-";7#!Rx"</f>
        <v>#VALUE!</v>
      </c>
      <c r="DA16" s="0" t="e">
        <f aca="false">Jevon!126:126-";7#!Ry"</f>
        <v>#VALUE!</v>
      </c>
      <c r="DB16" s="0" t="e">
        <f aca="false">Jevon!127:127-";7#!Rz"</f>
        <v>#VALUE!</v>
      </c>
      <c r="DC16" s="0" t="e">
        <f aca="false">Jevon!128:128-";7#!R{"</f>
        <v>#VALUE!</v>
      </c>
      <c r="DD16" s="0" t="e">
        <f aca="false">Jevon!129:129-";7#!R|"</f>
        <v>#VALUE!</v>
      </c>
      <c r="DE16" s="0" t="e">
        <f aca="false">Jevon!130:130-";7#!R}"</f>
        <v>#VALUE!</v>
      </c>
      <c r="DF16" s="0" t="e">
        <f aca="false">Jevon!131:131-";7#!R~"</f>
        <v>#VALUE!</v>
      </c>
      <c r="DG16" s="0" t="e">
        <f aca="false">Jevon!132:132-";7#!S#"</f>
        <v>#VALUE!</v>
      </c>
      <c r="DH16" s="0" t="e">
        <f aca="false">Jevon!133:133-";7#!S$"</f>
        <v>#VALUE!</v>
      </c>
      <c r="DI16" s="0" t="e">
        <f aca="false">Jevon!134:134-";7#!S%"</f>
        <v>#VALUE!</v>
      </c>
      <c r="DJ16" s="0" t="e">
        <f aca="false">Jevon!135:135-";7#!S&amp;"</f>
        <v>#VALUE!</v>
      </c>
      <c r="DK16" s="0" t="e">
        <f aca="false">Jevon!136:136-";7#!S'"</f>
        <v>#VALUE!</v>
      </c>
      <c r="DL16" s="0" t="e">
        <f aca="false">Jevon!137:137-";7#!S("</f>
        <v>#VALUE!</v>
      </c>
      <c r="DM16" s="0" t="e">
        <f aca="false">Jevon!138:138-";7#!S)"</f>
        <v>#VALUE!</v>
      </c>
      <c r="DN16" s="0" t="e">
        <f aca="false">Jevon!139:139-";7#!S."</f>
        <v>#VALUE!</v>
      </c>
      <c r="DO16" s="0" t="e">
        <f aca="false">Jevon!140:140-";7#!S/"</f>
        <v>#VALUE!</v>
      </c>
      <c r="DP16" s="0" t="e">
        <f aca="false">Jevon!141:141-";7#!S0"</f>
        <v>#VALUE!</v>
      </c>
      <c r="DQ16" s="0" t="e">
        <f aca="false">Jevon!142:142-";7#!S1"</f>
        <v>#VALUE!</v>
      </c>
      <c r="DR16" s="0" t="e">
        <f aca="false">Jevon!143:143-";7#!S2"</f>
        <v>#VALUE!</v>
      </c>
      <c r="DS16" s="0" t="e">
        <f aca="false">Jevon!144:144-";7#!S3"</f>
        <v>#VALUE!</v>
      </c>
      <c r="DT16" s="0" t="e">
        <f aca="false">Jevon!145:145-";7#!S4"</f>
        <v>#VALUE!</v>
      </c>
      <c r="DU16" s="0" t="e">
        <f aca="false">Jevon!146:146-";7#!S5"</f>
        <v>#VALUE!</v>
      </c>
      <c r="DV16" s="0" t="e">
        <f aca="false">Jevon!147:147-";7#!S6"</f>
        <v>#VALUE!</v>
      </c>
      <c r="DW16" s="0" t="e">
        <f aca="false">Jevon!148:148-";7#!S7"</f>
        <v>#VALUE!</v>
      </c>
      <c r="DX16" s="0" t="e">
        <f aca="false">Jevon!149:149-";7#!S8"</f>
        <v>#VALUE!</v>
      </c>
      <c r="DY16" s="0" t="e">
        <f aca="false">Jevon!150:150-";7#!S9"</f>
        <v>#VALUE!</v>
      </c>
      <c r="DZ16" s="0" t="e">
        <f aca="false">Jevon!151:151-";7#!S:"</f>
        <v>#VALUE!</v>
      </c>
      <c r="EA16" s="0" t="e">
        <f aca="false">Jevon!152:152-";7#!S;"</f>
        <v>#VALUE!</v>
      </c>
      <c r="EB16" s="0" t="e">
        <f aca="false">Jevon!153:153-";7#!S&lt;"</f>
        <v>#VALUE!</v>
      </c>
      <c r="EC16" s="0" t="e">
        <f aca="false">Jevon!154:154-";7#!S="</f>
        <v>#VALUE!</v>
      </c>
      <c r="ED16" s="0" t="e">
        <f aca="false">Jevon!155:155-";7#!S&gt;"</f>
        <v>#VALUE!</v>
      </c>
      <c r="EE16" s="0" t="e">
        <f aca="false">Jevon!156:156-";7#!S?"</f>
        <v>#VALUE!</v>
      </c>
      <c r="EF16" s="0" t="e">
        <f aca="false">Jevon!157:157-";7#!S@"</f>
        <v>#VALUE!</v>
      </c>
      <c r="EG16" s="0" t="e">
        <f aca="false">Jevon!158:158-";7#!SA"</f>
        <v>#VALUE!</v>
      </c>
      <c r="EH16" s="0" t="e">
        <f aca="false">Jevon!159:159-";7#!SB"</f>
        <v>#VALUE!</v>
      </c>
      <c r="EI16" s="0" t="e">
        <f aca="false">Jevon!160:160-";7#!SC"</f>
        <v>#VALUE!</v>
      </c>
      <c r="EJ16" s="0" t="e">
        <f aca="false">Jevon!161:161-";7#!SD"</f>
        <v>#VALUE!</v>
      </c>
      <c r="EK16" s="0" t="e">
        <f aca="false">Jevon!162:162-";7#!SE"</f>
        <v>#VALUE!</v>
      </c>
      <c r="EL16" s="0" t="e">
        <f aca="false">Jevon!163:163-";7#!SF"</f>
        <v>#VALUE!</v>
      </c>
      <c r="EM16" s="0" t="e">
        <f aca="false">Jevon!164:164-";7#!SG"</f>
        <v>#VALUE!</v>
      </c>
      <c r="EN16" s="0" t="e">
        <f aca="false">Jevon!165:165-";7#!SH"</f>
        <v>#VALUE!</v>
      </c>
      <c r="EO16" s="0" t="e">
        <f aca="false">Jevon!166:166-";7#!SI"</f>
        <v>#VALUE!</v>
      </c>
      <c r="EP16" s="0" t="e">
        <f aca="false">Jevon!167:167-";7#!SJ"</f>
        <v>#VALUE!</v>
      </c>
      <c r="EQ16" s="0" t="e">
        <f aca="false">Jevon!168:168-";7#!SK"</f>
        <v>#VALUE!</v>
      </c>
      <c r="ER16" s="0" t="e">
        <f aca="false">Jevon!169:169-";7#!SL"</f>
        <v>#VALUE!</v>
      </c>
      <c r="ES16" s="0" t="e">
        <f aca="false">Jevon!170:170-";7#!SM"</f>
        <v>#VALUE!</v>
      </c>
      <c r="ET16" s="0" t="e">
        <f aca="false">Jevon!171:171-";7#!SN"</f>
        <v>#VALUE!</v>
      </c>
      <c r="EU16" s="0" t="e">
        <f aca="false">Jevon!172:172-";7#!SO"</f>
        <v>#VALUE!</v>
      </c>
      <c r="EV16" s="0" t="e">
        <f aca="false">Jevon!173:173-";7#!SP"</f>
        <v>#VALUE!</v>
      </c>
      <c r="EW16" s="0" t="e">
        <f aca="false">Jevon!174:174-";7#!SQ"</f>
        <v>#VALUE!</v>
      </c>
      <c r="EX16" s="0" t="e">
        <f aca="false">Jevon!175:175-";7#!SR"</f>
        <v>#VALUE!</v>
      </c>
      <c r="EY16" s="0" t="e">
        <f aca="false">Jevon!176:176-";7#!SS"</f>
        <v>#VALUE!</v>
      </c>
      <c r="EZ16" s="0" t="e">
        <f aca="false">Jevon!177:177-";7#!ST"</f>
        <v>#VALUE!</v>
      </c>
      <c r="FA16" s="0" t="e">
        <f aca="false">Jevon!178:178-";7#!SU"</f>
        <v>#VALUE!</v>
      </c>
      <c r="FB16" s="0" t="e">
        <f aca="false">Jevon!179:179-";7#!SV"</f>
        <v>#VALUE!</v>
      </c>
      <c r="FC16" s="0" t="e">
        <f aca="false">Jevon!180:180-";7#!SW"</f>
        <v>#VALUE!</v>
      </c>
      <c r="FD16" s="0" t="e">
        <f aca="false">Jevon!181:181-";7#!SX"</f>
        <v>#VALUE!</v>
      </c>
      <c r="FE16" s="0" t="e">
        <f aca="false">Jevon!182:182-";7#!SY"</f>
        <v>#VALUE!</v>
      </c>
      <c r="FF16" s="0" t="e">
        <f aca="false">Jevon!183:183-";7#!SZ"</f>
        <v>#VALUE!</v>
      </c>
      <c r="FG16" s="0" t="e">
        <f aca="false">Jevon!184:184-";7#!S["</f>
        <v>#VALUE!</v>
      </c>
      <c r="FH16" s="0" t="e">
        <f aca="false">Jevon!185:185-";7#!S\"</f>
        <v>#VALUE!</v>
      </c>
      <c r="FI16" s="0" t="e">
        <f aca="false">Jevon!186:186-";7#!S]"</f>
        <v>#VALUE!</v>
      </c>
      <c r="FJ16" s="0" t="e">
        <f aca="false">Jevon!187:187-";7#!S^"</f>
        <v>#VALUE!</v>
      </c>
      <c r="FK16" s="0" t="e">
        <f aca="false">Jevon!188:188-";7#!S_"</f>
        <v>#VALUE!</v>
      </c>
      <c r="FL16" s="0" t="e">
        <f aca="false">Jevon!189:189-";7#!S`"</f>
        <v>#VALUE!</v>
      </c>
      <c r="FM16" s="0" t="e">
        <f aca="false">Jevon!190:190-";7#!Sa"</f>
        <v>#VALUE!</v>
      </c>
      <c r="FN16" s="0" t="e">
        <f aca="false">Jevon!191:191-";7#!Sb"</f>
        <v>#VALUE!</v>
      </c>
      <c r="FO16" s="0" t="e">
        <f aca="false">Jevon!192:192-";7#!Sc"</f>
        <v>#VALUE!</v>
      </c>
      <c r="FP16" s="0" t="e">
        <f aca="false">Jevon!193:193-";7#!Sd"</f>
        <v>#VALUE!</v>
      </c>
      <c r="FQ16" s="0" t="e">
        <f aca="false">Jevon!194:194-";7#!Se"</f>
        <v>#VALUE!</v>
      </c>
      <c r="FR16" s="0" t="e">
        <f aca="false">Jevon!195:195-";7#!Sf"</f>
        <v>#VALUE!</v>
      </c>
      <c r="FS16" s="0" t="e">
        <f aca="false">Jevon!196:196-";7#!Sg"</f>
        <v>#VALUE!</v>
      </c>
      <c r="FT16" s="0" t="e">
        <f aca="false">Jevon!197:197-";7#!Sh"</f>
        <v>#VALUE!</v>
      </c>
      <c r="FU16" s="0" t="e">
        <f aca="false">Jevon!198:198-";7#!Si"</f>
        <v>#VALUE!</v>
      </c>
      <c r="FV16" s="0" t="e">
        <f aca="false">Jevon!199:199-";7#!Sj"</f>
        <v>#VALUE!</v>
      </c>
      <c r="FW16" s="0" t="e">
        <f aca="false">Jevon!200:200-";7#!Sk"</f>
        <v>#VALUE!</v>
      </c>
      <c r="FX16" s="0" t="e">
        <f aca="false">Jevon!201:201-";7#!Sl"</f>
        <v>#VALUE!</v>
      </c>
      <c r="FY16" s="0" t="e">
        <f aca="false">Jevon!202:202-";7#!Sm"</f>
        <v>#VALUE!</v>
      </c>
      <c r="FZ16" s="0" t="e">
        <f aca="false">Jevon!203:203-";7#!Sn"</f>
        <v>#VALUE!</v>
      </c>
      <c r="GA16" s="0" t="e">
        <f aca="false">Jevon!204:204-";7#!So"</f>
        <v>#VALUE!</v>
      </c>
      <c r="GB16" s="0" t="e">
        <f aca="false">Jevon!205:205-";7#!Sp"</f>
        <v>#VALUE!</v>
      </c>
      <c r="GC16" s="0" t="e">
        <f aca="false">Jevon!206:206-";7#!Sq"</f>
        <v>#VALUE!</v>
      </c>
      <c r="GD16" s="0" t="e">
        <f aca="false">Jevon!207:207-";7#!Sr"</f>
        <v>#VALUE!</v>
      </c>
      <c r="GE16" s="0" t="e">
        <f aca="false">Jevon!208:208-";7#!Ss"</f>
        <v>#VALUE!</v>
      </c>
      <c r="GF16" s="0" t="e">
        <f aca="false">Jevon!209:209-";7#!St"</f>
        <v>#VALUE!</v>
      </c>
      <c r="GG16" s="0" t="e">
        <f aca="false">Jevon!210:210-";7#!Su"</f>
        <v>#VALUE!</v>
      </c>
      <c r="GH16" s="0" t="e">
        <f aca="false">Jevon!211:211-";7#!Sv"</f>
        <v>#VALUE!</v>
      </c>
      <c r="GI16" s="0" t="e">
        <f aca="false">Jevon!212:212-";7#!Sw"</f>
        <v>#VALUE!</v>
      </c>
      <c r="GJ16" s="0" t="e">
        <f aca="false">Jevon!213:213-";7#!Sx"</f>
        <v>#VALUE!</v>
      </c>
      <c r="GK16" s="0" t="e">
        <f aca="false">Jevon!214:214-";7#!Sy"</f>
        <v>#VALUE!</v>
      </c>
      <c r="GL16" s="0" t="e">
        <f aca="false">Jevon!215:215-";7#!Sz"</f>
        <v>#VALUE!</v>
      </c>
      <c r="GM16" s="0" t="e">
        <f aca="false">Jevon!216:216-";7#!S{"</f>
        <v>#VALUE!</v>
      </c>
      <c r="GN16" s="0" t="e">
        <f aca="false">Jevon!217:217-";7#!S|"</f>
        <v>#VALUE!</v>
      </c>
      <c r="GO16" s="0" t="e">
        <f aca="false">Jevon!218:218-";7#!S}"</f>
        <v>#VALUE!</v>
      </c>
      <c r="GP16" s="0" t="e">
        <f aca="false">Jevon!219:219-";7#!S~"</f>
        <v>#VALUE!</v>
      </c>
      <c r="GQ16" s="0" t="e">
        <f aca="false">Jevon!220:220-";7#!T#"</f>
        <v>#VALUE!</v>
      </c>
      <c r="GR16" s="0" t="e">
        <f aca="false">Jevon!221:221-";7#!T$"</f>
        <v>#VALUE!</v>
      </c>
      <c r="GS16" s="0" t="e">
        <f aca="false">Jevon!222:222-";7#!T%"</f>
        <v>#VALUE!</v>
      </c>
      <c r="GT16" s="0" t="e">
        <f aca="false">Jevon!223:223-";7#!T&amp;"</f>
        <v>#VALUE!</v>
      </c>
      <c r="GU16" s="0" t="e">
        <f aca="false">Jevon!224:224-";7#!T'"</f>
        <v>#VALUE!</v>
      </c>
      <c r="GV16" s="0" t="e">
        <f aca="false">Jevon!225:225-";7#!T("</f>
        <v>#VALUE!</v>
      </c>
      <c r="GW16" s="0" t="e">
        <f aca="false">Jevon!226:226-";7#!T)"</f>
        <v>#VALUE!</v>
      </c>
      <c r="GX16" s="0" t="e">
        <f aca="false">Jevon!227:227-";7#!T."</f>
        <v>#VALUE!</v>
      </c>
      <c r="GY16" s="0" t="e">
        <f aca="false">Jevon!228:228-";7#!T/"</f>
        <v>#VALUE!</v>
      </c>
      <c r="GZ16" s="0" t="e">
        <f aca="false">Jevon!229:229-";7#!T0"</f>
        <v>#VALUE!</v>
      </c>
      <c r="HA16" s="0" t="e">
        <f aca="false">Jevon!230:230-";7#!T1"</f>
        <v>#VALUE!</v>
      </c>
      <c r="HB16" s="0" t="e">
        <f aca="false">Jevon!231:231-";7#!T2"</f>
        <v>#VALUE!</v>
      </c>
      <c r="HC16" s="0" t="e">
        <f aca="false">Jevon!232:232-";7#!T3"</f>
        <v>#VALUE!</v>
      </c>
      <c r="HD16" s="0" t="e">
        <f aca="false">Jevon!233:233-";7#!T4"</f>
        <v>#VALUE!</v>
      </c>
      <c r="HE16" s="0" t="e">
        <f aca="false">Jevon!A1+";7#!T5"</f>
        <v>#VALUE!</v>
      </c>
      <c r="HF16" s="0" t="e">
        <f aca="false">Jevon!B1+";7#!T6"</f>
        <v>#VALUE!</v>
      </c>
      <c r="HG16" s="0" t="e">
        <f aca="false">Jevon!C1+";7#!T7"</f>
        <v>#VALUE!</v>
      </c>
      <c r="HH16" s="0" t="e">
        <f aca="false">Jevon!D1+";7#!T8"</f>
        <v>#VALUE!</v>
      </c>
      <c r="HI16" s="0" t="e">
        <f aca="false">Jevon!E1+";7#!T9"</f>
        <v>#VALUE!</v>
      </c>
      <c r="HJ16" s="0" t="e">
        <f aca="false">Jevon!F1+";7#!T:"</f>
        <v>#VALUE!</v>
      </c>
      <c r="HK16" s="0" t="e">
        <f aca="false">Jevon!G1+";7#!T;"</f>
        <v>#VALUE!</v>
      </c>
      <c r="HL16" s="0" t="e">
        <f aca="false">Jevon!H1+";7#!T&lt;"</f>
        <v>#VALUE!</v>
      </c>
      <c r="HM16" s="0" t="e">
        <f aca="false">Jevon!I1+";7#!T="</f>
        <v>#VALUE!</v>
      </c>
      <c r="HN16" s="0" t="e">
        <f aca="false">Jevon!J1+";7#!T&gt;"</f>
        <v>#VALUE!</v>
      </c>
      <c r="HO16" s="0" t="e">
        <f aca="false">Jevon!K1+";7#!T?"</f>
        <v>#VALUE!</v>
      </c>
      <c r="HP16" s="0" t="e">
        <f aca="false">Jevon!L1+";7#!T@"</f>
        <v>#VALUE!</v>
      </c>
      <c r="HQ16" s="0" t="e">
        <f aca="false">Jevon!M1+";7#!TA"</f>
        <v>#VALUE!</v>
      </c>
      <c r="HR16" s="0" t="e">
        <f aca="false">Jevon!N1+";7#!TB"</f>
        <v>#VALUE!</v>
      </c>
      <c r="HS16" s="0" t="e">
        <f aca="false">Jevon!O1+";7#!TC"</f>
        <v>#VALUE!</v>
      </c>
      <c r="HT16" s="0" t="e">
        <f aca="false">Jevon!P1+";7#!TD"</f>
        <v>#VALUE!</v>
      </c>
      <c r="HU16" s="0" t="e">
        <f aca="false">Jevon!A2+";7#!TE"</f>
        <v>#VALUE!</v>
      </c>
      <c r="HV16" s="0" t="e">
        <f aca="false">Jevon!B2+";7#!TF"</f>
        <v>#VALUE!</v>
      </c>
      <c r="HW16" s="0" t="e">
        <f aca="false">Jevon!C2+";7#!TG"</f>
        <v>#VALUE!</v>
      </c>
      <c r="HX16" s="0" t="e">
        <f aca="false">Jevon!D2+";7#!TH"</f>
        <v>#VALUE!</v>
      </c>
      <c r="HY16" s="0" t="e">
        <f aca="false">Jevon!E2+";7#!TI"</f>
        <v>#VALUE!</v>
      </c>
      <c r="HZ16" s="0" t="e">
        <f aca="false">Jevon!F2+";7#!TJ"</f>
        <v>#VALUE!</v>
      </c>
      <c r="IA16" s="0" t="e">
        <f aca="false">Jevon!G2+";7#!TK"</f>
        <v>#VALUE!</v>
      </c>
      <c r="IB16" s="0" t="e">
        <f aca="false">Jevon!H2+";7#!TL"</f>
        <v>#VALUE!</v>
      </c>
      <c r="IC16" s="0" t="e">
        <f aca="false">Jevon!I2+";7#!TM"</f>
        <v>#VALUE!</v>
      </c>
      <c r="ID16" s="0" t="e">
        <f aca="false">Jevon!J2+";7#!TN"</f>
        <v>#VALUE!</v>
      </c>
      <c r="IE16" s="0" t="e">
        <f aca="false">Jevon!K2+";7#!TO"</f>
        <v>#VALUE!</v>
      </c>
      <c r="IF16" s="0" t="e">
        <f aca="false">Jevon!L2+";7#!TP"</f>
        <v>#VALUE!</v>
      </c>
      <c r="IG16" s="0" t="e">
        <f aca="false">Jevon!M2+";7#!TQ"</f>
        <v>#VALUE!</v>
      </c>
      <c r="IH16" s="0" t="e">
        <f aca="false">Jevon!N2+";7#!TR"</f>
        <v>#VALUE!</v>
      </c>
      <c r="II16" s="0" t="e">
        <f aca="false">Jevon!O2+";7#!TS"</f>
        <v>#VALUE!</v>
      </c>
      <c r="IJ16" s="0" t="e">
        <f aca="false">Jevon!P2+";7#!TT"</f>
        <v>#VALUE!</v>
      </c>
      <c r="IK16" s="0" t="e">
        <f aca="false">Jevon!Q2+";7#!TU"</f>
        <v>#VALUE!</v>
      </c>
      <c r="IL16" s="0" t="e">
        <f aca="false">Jevon!A3+";7#!TV"</f>
        <v>#VALUE!</v>
      </c>
      <c r="IM16" s="0" t="e">
        <f aca="false">Jevon!B3+";7#!TW"</f>
        <v>#VALUE!</v>
      </c>
      <c r="IN16" s="0" t="e">
        <f aca="false">Jevon!C3+";7#!TX"</f>
        <v>#VALUE!</v>
      </c>
      <c r="IO16" s="0" t="e">
        <f aca="false">Jevon!D3+";7#!TY"</f>
        <v>#VALUE!</v>
      </c>
      <c r="IP16" s="0" t="e">
        <f aca="false">Jevon!E3+";7#!TZ"</f>
        <v>#VALUE!</v>
      </c>
      <c r="IQ16" s="0" t="e">
        <f aca="false">Jevon!F3+";7#!T["</f>
        <v>#VALUE!</v>
      </c>
      <c r="IR16" s="0" t="e">
        <f aca="false">Jevon!G3+";7#!T\"</f>
        <v>#VALUE!</v>
      </c>
      <c r="IS16" s="0" t="e">
        <f aca="false">Jevon!H3+";7#!T]"</f>
        <v>#VALUE!</v>
      </c>
      <c r="IT16" s="0" t="e">
        <f aca="false">Jevon!I3+";7#!T^"</f>
        <v>#VALUE!</v>
      </c>
      <c r="IU16" s="0" t="e">
        <f aca="false">Jevon!J3+";7#!T_"</f>
        <v>#VALUE!</v>
      </c>
      <c r="IV16" s="0" t="e">
        <f aca="false">Jevon!K3+";7#!T`"</f>
        <v>#VALUE!</v>
      </c>
    </row>
    <row r="17" customFormat="false" ht="15" hidden="false" customHeight="false" outlineLevel="0" collapsed="false">
      <c r="F17" s="0" t="e">
        <f aca="false">Jevon!L3+";7#!Ta"</f>
        <v>#VALUE!</v>
      </c>
      <c r="G17" s="0" t="e">
        <f aca="false">Jevon!M3+";7#!Tb"</f>
        <v>#VALUE!</v>
      </c>
      <c r="H17" s="0" t="e">
        <f aca="false">Jevon!N3+";7#!Tc"</f>
        <v>#VALUE!</v>
      </c>
      <c r="I17" s="0" t="e">
        <f aca="false">Jevon!O3+";7#!Td"</f>
        <v>#VALUE!</v>
      </c>
      <c r="J17" s="0" t="e">
        <f aca="false">Jevon!P3+";7#!Te"</f>
        <v>#VALUE!</v>
      </c>
      <c r="K17" s="0" t="e">
        <f aca="false">Jevon!Q3+";7#!Tf"</f>
        <v>#VALUE!</v>
      </c>
      <c r="L17" s="0" t="e">
        <f aca="false">Jevon!A4+";7#!Tg"</f>
        <v>#VALUE!</v>
      </c>
      <c r="M17" s="0" t="e">
        <f aca="false">Jevon!B4+";7#!Th"</f>
        <v>#VALUE!</v>
      </c>
      <c r="N17" s="0" t="e">
        <f aca="false">Jevon!C4+";7#!Ti"</f>
        <v>#VALUE!</v>
      </c>
      <c r="O17" s="0" t="e">
        <f aca="false">Jevon!D4+";7#!Tj"</f>
        <v>#VALUE!</v>
      </c>
      <c r="P17" s="0" t="e">
        <f aca="false">Jevon!E4+";7#!Tk"</f>
        <v>#VALUE!</v>
      </c>
      <c r="Q17" s="0" t="e">
        <f aca="false">Jevon!F4+";7#!Tl"</f>
        <v>#VALUE!</v>
      </c>
      <c r="R17" s="0" t="e">
        <f aca="false">Jevon!G4+";7#!Tm"</f>
        <v>#VALUE!</v>
      </c>
      <c r="S17" s="0" t="e">
        <f aca="false">Jevon!H4+";7#!Tn"</f>
        <v>#VALUE!</v>
      </c>
      <c r="T17" s="0" t="e">
        <f aca="false">Jevon!I4+";7#!To"</f>
        <v>#VALUE!</v>
      </c>
      <c r="U17" s="0" t="e">
        <f aca="false">Jevon!J4+";7#!Tp"</f>
        <v>#VALUE!</v>
      </c>
      <c r="V17" s="0" t="e">
        <f aca="false">Jevon!K4+";7#!Tq"</f>
        <v>#VALUE!</v>
      </c>
      <c r="W17" s="0" t="e">
        <f aca="false">Jevon!L4+";7#!Tr"</f>
        <v>#VALUE!</v>
      </c>
      <c r="X17" s="0" t="e">
        <f aca="false">Jevon!M4+";7#!Ts"</f>
        <v>#VALUE!</v>
      </c>
      <c r="Y17" s="0" t="e">
        <f aca="false">Jevon!N4+";7#!Tt"</f>
        <v>#VALUE!</v>
      </c>
      <c r="Z17" s="0" t="e">
        <f aca="false">Jevon!O4+";7#!Tu"</f>
        <v>#VALUE!</v>
      </c>
      <c r="AA17" s="0" t="e">
        <f aca="false">Jevon!P4+";7#!Tv"</f>
        <v>#VALUE!</v>
      </c>
      <c r="AB17" s="0" t="e">
        <f aca="false">Jevon!Q4+";7#!Tw"</f>
        <v>#VALUE!</v>
      </c>
      <c r="AC17" s="0" t="e">
        <f aca="false">Jevon!A5+";7#!Tx"</f>
        <v>#VALUE!</v>
      </c>
      <c r="AD17" s="0" t="e">
        <f aca="false">Jevon!B5+";7#!Ty"</f>
        <v>#VALUE!</v>
      </c>
      <c r="AE17" s="0" t="e">
        <f aca="false">Jevon!C5+";7#!Tz"</f>
        <v>#VALUE!</v>
      </c>
      <c r="AF17" s="0" t="e">
        <f aca="false">Jevon!D5+";7#!T{"</f>
        <v>#VALUE!</v>
      </c>
      <c r="AG17" s="0" t="e">
        <f aca="false">Jevon!E5+";7#!T|"</f>
        <v>#VALUE!</v>
      </c>
      <c r="AH17" s="0" t="e">
        <f aca="false">Jevon!F5+";7#!T}"</f>
        <v>#VALUE!</v>
      </c>
      <c r="AI17" s="0" t="e">
        <f aca="false">Jevon!G5+";7#!T~"</f>
        <v>#VALUE!</v>
      </c>
      <c r="AJ17" s="0" t="e">
        <f aca="false">Jevon!H5+";7#!U#"</f>
        <v>#VALUE!</v>
      </c>
      <c r="AK17" s="0" t="e">
        <f aca="false">Jevon!I5+";7#!U$"</f>
        <v>#VALUE!</v>
      </c>
      <c r="AL17" s="0" t="e">
        <f aca="false">Jevon!J5+";7#!U%"</f>
        <v>#VALUE!</v>
      </c>
      <c r="AM17" s="0" t="e">
        <f aca="false">Jevon!K5+";7#!U&amp;"</f>
        <v>#VALUE!</v>
      </c>
      <c r="AN17" s="0" t="e">
        <f aca="false">Jevon!L5+";7#!U'"</f>
        <v>#VALUE!</v>
      </c>
      <c r="AO17" s="0" t="e">
        <f aca="false">Jevon!M5+";7#!U("</f>
        <v>#VALUE!</v>
      </c>
      <c r="AP17" s="0" t="e">
        <f aca="false">Jevon!N5+";7#!U)"</f>
        <v>#VALUE!</v>
      </c>
      <c r="AQ17" s="0" t="e">
        <f aca="false">Jevon!O5+";7#!U."</f>
        <v>#VALUE!</v>
      </c>
      <c r="AR17" s="0" t="e">
        <f aca="false">Jevon!P5+";7#!U/"</f>
        <v>#VALUE!</v>
      </c>
      <c r="AS17" s="0" t="e">
        <f aca="false">Jevon!A6+";7#!U0"</f>
        <v>#VALUE!</v>
      </c>
      <c r="AT17" s="0" t="e">
        <f aca="false">Jevon!B6+";7#!U1"</f>
        <v>#VALUE!</v>
      </c>
      <c r="AU17" s="0" t="e">
        <f aca="false">Jevon!C6+";7#!U2"</f>
        <v>#VALUE!</v>
      </c>
      <c r="AV17" s="0" t="e">
        <f aca="false">Jevon!D6+";7#!U3"</f>
        <v>#VALUE!</v>
      </c>
      <c r="AW17" s="0" t="e">
        <f aca="false">Jevon!E6+";7#!U4"</f>
        <v>#VALUE!</v>
      </c>
      <c r="AX17" s="0" t="e">
        <f aca="false">Jevon!F6+";7#!U5"</f>
        <v>#VALUE!</v>
      </c>
      <c r="AY17" s="0" t="e">
        <f aca="false">Jevon!G6+";7#!U6"</f>
        <v>#VALUE!</v>
      </c>
      <c r="AZ17" s="0" t="e">
        <f aca="false">Jevon!H6+";7#!U7"</f>
        <v>#VALUE!</v>
      </c>
      <c r="BA17" s="0" t="e">
        <f aca="false">Jevon!I6+";7#!U8"</f>
        <v>#VALUE!</v>
      </c>
      <c r="BB17" s="0" t="e">
        <f aca="false">Jevon!J6+";7#!U9"</f>
        <v>#VALUE!</v>
      </c>
      <c r="BC17" s="0" t="e">
        <f aca="false">Jevon!K6+";7#!U:"</f>
        <v>#VALUE!</v>
      </c>
      <c r="BD17" s="0" t="e">
        <f aca="false">Jevon!L6+";7#!U;"</f>
        <v>#VALUE!</v>
      </c>
      <c r="BE17" s="0" t="e">
        <f aca="false">Jevon!M6+";7#!U&lt;"</f>
        <v>#VALUE!</v>
      </c>
      <c r="BF17" s="0" t="e">
        <f aca="false">Jevon!N6+";7#!U="</f>
        <v>#VALUE!</v>
      </c>
      <c r="BG17" s="0" t="e">
        <f aca="false">Jevon!O6+";7#!U&gt;"</f>
        <v>#VALUE!</v>
      </c>
      <c r="BH17" s="0" t="e">
        <f aca="false">Jevon!P6+";7#!U?"</f>
        <v>#VALUE!</v>
      </c>
      <c r="BI17" s="0" t="e">
        <f aca="false">Jevon!A7+";7#!U@"</f>
        <v>#VALUE!</v>
      </c>
      <c r="BJ17" s="0" t="e">
        <f aca="false">Jevon!B7+";7#!UA"</f>
        <v>#VALUE!</v>
      </c>
      <c r="BK17" s="0" t="e">
        <f aca="false">Jevon!C7+";7#!UB"</f>
        <v>#VALUE!</v>
      </c>
      <c r="BL17" s="0" t="e">
        <f aca="false">Jevon!D7+";7#!UC"</f>
        <v>#VALUE!</v>
      </c>
      <c r="BM17" s="0" t="e">
        <f aca="false">Jevon!E7+";7#!UD"</f>
        <v>#VALUE!</v>
      </c>
      <c r="BN17" s="0" t="e">
        <f aca="false">Jevon!F7+";7#!UE"</f>
        <v>#VALUE!</v>
      </c>
      <c r="BO17" s="0" t="e">
        <f aca="false">Jevon!G7+";7#!UF"</f>
        <v>#VALUE!</v>
      </c>
      <c r="BP17" s="0" t="e">
        <f aca="false">Jevon!H7+";7#!UG"</f>
        <v>#VALUE!</v>
      </c>
      <c r="BQ17" s="0" t="e">
        <f aca="false">Jevon!I7+";7#!UH"</f>
        <v>#VALUE!</v>
      </c>
      <c r="BR17" s="0" t="e">
        <f aca="false">Jevon!J7+";7#!UI"</f>
        <v>#VALUE!</v>
      </c>
      <c r="BS17" s="0" t="e">
        <f aca="false">Jevon!K7+";7#!UJ"</f>
        <v>#VALUE!</v>
      </c>
      <c r="BT17" s="0" t="e">
        <f aca="false">Jevon!L7+";7#!UK"</f>
        <v>#VALUE!</v>
      </c>
      <c r="BU17" s="0" t="e">
        <f aca="false">Jevon!M7+";7#!UL"</f>
        <v>#VALUE!</v>
      </c>
      <c r="BV17" s="0" t="e">
        <f aca="false">Jevon!N7+";7#!UM"</f>
        <v>#VALUE!</v>
      </c>
      <c r="BW17" s="0" t="e">
        <f aca="false">Jevon!O7+";7#!UN"</f>
        <v>#VALUE!</v>
      </c>
      <c r="BX17" s="0" t="e">
        <f aca="false">Jevon!P7+";7#!UO"</f>
        <v>#VALUE!</v>
      </c>
      <c r="BY17" s="0" t="e">
        <f aca="false">Jevon!A8+";7#!UP"</f>
        <v>#VALUE!</v>
      </c>
      <c r="BZ17" s="0" t="e">
        <f aca="false">Jevon!B8+";7#!UQ"</f>
        <v>#VALUE!</v>
      </c>
      <c r="CA17" s="0" t="e">
        <f aca="false">Jevon!C8+";7#!UR"</f>
        <v>#VALUE!</v>
      </c>
      <c r="CB17" s="0" t="e">
        <f aca="false">Jevon!D8+";7#!US"</f>
        <v>#VALUE!</v>
      </c>
      <c r="CC17" s="0" t="e">
        <f aca="false">Jevon!E8+";7#!UT"</f>
        <v>#VALUE!</v>
      </c>
      <c r="CD17" s="0" t="e">
        <f aca="false">Jevon!F8+";7#!UU"</f>
        <v>#VALUE!</v>
      </c>
      <c r="CE17" s="0" t="e">
        <f aca="false">Jevon!G8+";7#!UV"</f>
        <v>#VALUE!</v>
      </c>
      <c r="CF17" s="0" t="e">
        <f aca="false">Jevon!H8+";7#!UW"</f>
        <v>#VALUE!</v>
      </c>
      <c r="CG17" s="0" t="e">
        <f aca="false">Jevon!I8+";7#!UX"</f>
        <v>#VALUE!</v>
      </c>
      <c r="CH17" s="0" t="e">
        <f aca="false">Jevon!J8+";7#!UY"</f>
        <v>#VALUE!</v>
      </c>
      <c r="CI17" s="0" t="e">
        <f aca="false">Jevon!K8+";7#!UZ"</f>
        <v>#VALUE!</v>
      </c>
      <c r="CJ17" s="0" t="e">
        <f aca="false">Jevon!L8+";7#!U["</f>
        <v>#VALUE!</v>
      </c>
      <c r="CK17" s="0" t="e">
        <f aca="false">Jevon!M8+";7#!U\"</f>
        <v>#VALUE!</v>
      </c>
      <c r="CL17" s="0" t="e">
        <f aca="false">Jevon!N8+";7#!U]"</f>
        <v>#VALUE!</v>
      </c>
      <c r="CM17" s="0" t="e">
        <f aca="false">Jevon!O8+";7#!U^"</f>
        <v>#VALUE!</v>
      </c>
      <c r="CN17" s="0" t="e">
        <f aca="false">Jevon!P8+";7#!U_"</f>
        <v>#VALUE!</v>
      </c>
      <c r="CO17" s="0" t="e">
        <f aca="false">Jevon!A9+";7#!U`"</f>
        <v>#VALUE!</v>
      </c>
      <c r="CP17" s="0" t="e">
        <f aca="false">Jevon!B9+";7#!Ua"</f>
        <v>#VALUE!</v>
      </c>
      <c r="CQ17" s="0" t="e">
        <f aca="false">Jevon!C9+";7#!Ub"</f>
        <v>#VALUE!</v>
      </c>
      <c r="CR17" s="0" t="e">
        <f aca="false">Jevon!D9+";7#!Uc"</f>
        <v>#VALUE!</v>
      </c>
      <c r="CS17" s="0" t="e">
        <f aca="false">Jevon!E9+";7#!Ud"</f>
        <v>#VALUE!</v>
      </c>
      <c r="CT17" s="0" t="e">
        <f aca="false">Jevon!F9+";7#!Ue"</f>
        <v>#VALUE!</v>
      </c>
      <c r="CU17" s="0" t="e">
        <f aca="false">Jevon!G9+";7#!Uf"</f>
        <v>#VALUE!</v>
      </c>
      <c r="CV17" s="0" t="e">
        <f aca="false">Jevon!H9+";7#!Ug"</f>
        <v>#VALUE!</v>
      </c>
      <c r="CW17" s="35" t="e">
        <f aca="false">Jevon!I9+";7#!Uh"</f>
        <v>#VALUE!</v>
      </c>
      <c r="CX17" s="0" t="e">
        <f aca="false">Jevon!J9+";7#!Ui"</f>
        <v>#VALUE!</v>
      </c>
      <c r="CY17" s="0" t="e">
        <f aca="false">Jevon!K9+";7#!Uj"</f>
        <v>#VALUE!</v>
      </c>
      <c r="CZ17" s="0" t="e">
        <f aca="false">Jevon!L9+";7#!Uk"</f>
        <v>#VALUE!</v>
      </c>
      <c r="DA17" s="0" t="e">
        <f aca="false">Jevon!M9+";7#!Ul"</f>
        <v>#VALUE!</v>
      </c>
      <c r="DB17" s="0" t="e">
        <f aca="false">Jevon!N9+";7#!Um"</f>
        <v>#VALUE!</v>
      </c>
      <c r="DC17" s="0" t="e">
        <f aca="false">Jevon!O9+";7#!Un"</f>
        <v>#VALUE!</v>
      </c>
      <c r="DD17" s="0" t="e">
        <f aca="false">Jevon!P9+";7#!Uo"</f>
        <v>#VALUE!</v>
      </c>
      <c r="DE17" s="0" t="e">
        <f aca="false">Jevon!A10+";7#!Up"</f>
        <v>#VALUE!</v>
      </c>
      <c r="DF17" s="0" t="e">
        <f aca="false">Jevon!B10+";7#!Uq"</f>
        <v>#VALUE!</v>
      </c>
      <c r="DG17" s="0" t="e">
        <f aca="false">Jevon!C10+";7#!Ur"</f>
        <v>#VALUE!</v>
      </c>
      <c r="DH17" s="0" t="e">
        <f aca="false">Jevon!D10+";7#!Us"</f>
        <v>#VALUE!</v>
      </c>
      <c r="DI17" s="0" t="e">
        <f aca="false">Jevon!E10+";7#!Ut"</f>
        <v>#VALUE!</v>
      </c>
      <c r="DJ17" s="0" t="e">
        <f aca="false">Jevon!F10+";7#!Uu"</f>
        <v>#VALUE!</v>
      </c>
      <c r="DK17" s="0" t="e">
        <f aca="false">Jevon!G10+";7#!Uv"</f>
        <v>#VALUE!</v>
      </c>
      <c r="DL17" s="0" t="e">
        <f aca="false">Jevon!H10+";7#!Uw"</f>
        <v>#VALUE!</v>
      </c>
      <c r="DM17" s="35" t="e">
        <f aca="false">Jevon!I10+";7#!Ux"</f>
        <v>#VALUE!</v>
      </c>
      <c r="DN17" s="0" t="e">
        <f aca="false">Jevon!J10+";7#!Uy"</f>
        <v>#VALUE!</v>
      </c>
      <c r="DO17" s="0" t="e">
        <f aca="false">Jevon!K10+";7#!Uz"</f>
        <v>#VALUE!</v>
      </c>
      <c r="DP17" s="0" t="e">
        <f aca="false">Jevon!L10+";7#!U{"</f>
        <v>#VALUE!</v>
      </c>
      <c r="DQ17" s="0" t="e">
        <f aca="false">Jevon!M10+";7#!U|"</f>
        <v>#VALUE!</v>
      </c>
      <c r="DR17" s="0" t="e">
        <f aca="false">Jevon!N10+";7#!U}"</f>
        <v>#VALUE!</v>
      </c>
      <c r="DS17" s="0" t="e">
        <f aca="false">Jevon!O10+";7#!U~"</f>
        <v>#VALUE!</v>
      </c>
      <c r="DT17" s="0" t="e">
        <f aca="false">Jevon!P10+";7#!V#"</f>
        <v>#VALUE!</v>
      </c>
      <c r="DU17" s="0" t="e">
        <f aca="false">Jevon!A11+";7#!V$"</f>
        <v>#VALUE!</v>
      </c>
      <c r="DV17" s="0" t="e">
        <f aca="false">Jevon!B11+";7#!V%"</f>
        <v>#VALUE!</v>
      </c>
      <c r="DW17" s="0" t="e">
        <f aca="false">Jevon!C11+";7#!V&amp;"</f>
        <v>#VALUE!</v>
      </c>
      <c r="DX17" s="0" t="e">
        <f aca="false">Jevon!D11+";7#!V'"</f>
        <v>#VALUE!</v>
      </c>
      <c r="DY17" s="0" t="e">
        <f aca="false">Jevon!E11+";7#!V("</f>
        <v>#VALUE!</v>
      </c>
      <c r="DZ17" s="0" t="e">
        <f aca="false">Jevon!F11+";7#!V)"</f>
        <v>#VALUE!</v>
      </c>
      <c r="EA17" s="0" t="e">
        <f aca="false">Jevon!G11+";7#!V."</f>
        <v>#VALUE!</v>
      </c>
      <c r="EB17" s="0" t="e">
        <f aca="false">Jevon!H11+";7#!V/"</f>
        <v>#VALUE!</v>
      </c>
      <c r="EC17" s="0" t="e">
        <f aca="false">Jevon!I11+";7#!V0"</f>
        <v>#VALUE!</v>
      </c>
      <c r="ED17" s="0" t="e">
        <f aca="false">Jevon!J11+";7#!V1"</f>
        <v>#VALUE!</v>
      </c>
      <c r="EE17" s="0" t="e">
        <f aca="false">Jevon!K11+";7#!V2"</f>
        <v>#VALUE!</v>
      </c>
      <c r="EF17" s="0" t="e">
        <f aca="false">Jevon!L11+";7#!V3"</f>
        <v>#VALUE!</v>
      </c>
      <c r="EG17" s="0" t="e">
        <f aca="false">Jevon!M11+";7#!V4"</f>
        <v>#VALUE!</v>
      </c>
      <c r="EH17" s="0" t="e">
        <f aca="false">Jevon!N11+";7#!V5"</f>
        <v>#VALUE!</v>
      </c>
      <c r="EI17" s="0" t="e">
        <f aca="false">Jevon!O11+";7#!V6"</f>
        <v>#VALUE!</v>
      </c>
      <c r="EJ17" s="0" t="e">
        <f aca="false">Jevon!P11+";7#!V7"</f>
        <v>#VALUE!</v>
      </c>
      <c r="EK17" s="0" t="e">
        <f aca="false">Jevon!A12+";7#!V8"</f>
        <v>#VALUE!</v>
      </c>
      <c r="EL17" s="0" t="e">
        <f aca="false">Jevon!B12+";7#!V9"</f>
        <v>#VALUE!</v>
      </c>
      <c r="EM17" s="0" t="e">
        <f aca="false">Jevon!C12+";7#!V:"</f>
        <v>#VALUE!</v>
      </c>
      <c r="EN17" s="0" t="e">
        <f aca="false">Jevon!D12+";7#!V;"</f>
        <v>#VALUE!</v>
      </c>
      <c r="EO17" s="0" t="e">
        <f aca="false">Jevon!E12+";7#!V&lt;"</f>
        <v>#VALUE!</v>
      </c>
      <c r="EP17" s="0" t="e">
        <f aca="false">Jevon!F12+";7#!V="</f>
        <v>#VALUE!</v>
      </c>
      <c r="EQ17" s="0" t="e">
        <f aca="false">Jevon!G12+";7#!V&gt;"</f>
        <v>#VALUE!</v>
      </c>
      <c r="ER17" s="0" t="e">
        <f aca="false">Jevon!H12+";7#!V?"</f>
        <v>#VALUE!</v>
      </c>
      <c r="ES17" s="0" t="e">
        <f aca="false">Jevon!I12+";7#!V@"</f>
        <v>#VALUE!</v>
      </c>
      <c r="ET17" s="0" t="e">
        <f aca="false">Jevon!J12+";7#!VA"</f>
        <v>#VALUE!</v>
      </c>
      <c r="EU17" s="0" t="e">
        <f aca="false">Jevon!K12+";7#!VB"</f>
        <v>#VALUE!</v>
      </c>
      <c r="EV17" s="0" t="e">
        <f aca="false">Jevon!L12+";7#!VC"</f>
        <v>#VALUE!</v>
      </c>
      <c r="EW17" s="0" t="e">
        <f aca="false">Jevon!M12+";7#!VD"</f>
        <v>#VALUE!</v>
      </c>
      <c r="EX17" s="0" t="e">
        <f aca="false">Jevon!N12+";7#!VE"</f>
        <v>#VALUE!</v>
      </c>
      <c r="EY17" s="0" t="e">
        <f aca="false">Jevon!O12+";7#!VF"</f>
        <v>#VALUE!</v>
      </c>
      <c r="EZ17" s="0" t="e">
        <f aca="false">Jevon!P12+";7#!VG"</f>
        <v>#VALUE!</v>
      </c>
      <c r="FA17" s="0" t="e">
        <f aca="false">Jevon!A13+";7#!VH"</f>
        <v>#VALUE!</v>
      </c>
      <c r="FB17" s="0" t="e">
        <f aca="false">Jevon!B13+";7#!VI"</f>
        <v>#VALUE!</v>
      </c>
      <c r="FC17" s="0" t="e">
        <f aca="false">Jevon!C13+";7#!VJ"</f>
        <v>#VALUE!</v>
      </c>
      <c r="FD17" s="0" t="e">
        <f aca="false">Jevon!D13+";7#!VK"</f>
        <v>#VALUE!</v>
      </c>
      <c r="FE17" s="0" t="e">
        <f aca="false">Jevon!E13+";7#!VL"</f>
        <v>#VALUE!</v>
      </c>
      <c r="FF17" s="0" t="e">
        <f aca="false">Jevon!F13+";7#!VM"</f>
        <v>#VALUE!</v>
      </c>
      <c r="FG17" s="0" t="e">
        <f aca="false">Jevon!G13+";7#!VN"</f>
        <v>#VALUE!</v>
      </c>
      <c r="FH17" s="0" t="e">
        <f aca="false">Jevon!H13+";7#!VO"</f>
        <v>#VALUE!</v>
      </c>
      <c r="FI17" s="0" t="e">
        <f aca="false">Jevon!I13+";7#!VP"</f>
        <v>#VALUE!</v>
      </c>
      <c r="FJ17" s="0" t="e">
        <f aca="false">Jevon!J13+";7#!VQ"</f>
        <v>#VALUE!</v>
      </c>
      <c r="FK17" s="0" t="e">
        <f aca="false">Jevon!K13+";7#!VR"</f>
        <v>#VALUE!</v>
      </c>
      <c r="FL17" s="0" t="e">
        <f aca="false">Jevon!L13+";7#!VS"</f>
        <v>#VALUE!</v>
      </c>
      <c r="FM17" s="0" t="e">
        <f aca="false">Jevon!M13+";7#!VT"</f>
        <v>#VALUE!</v>
      </c>
      <c r="FN17" s="0" t="e">
        <f aca="false">Jevon!N13+";7#!VU"</f>
        <v>#VALUE!</v>
      </c>
      <c r="FO17" s="0" t="e">
        <f aca="false">Jevon!O13+";7#!VV"</f>
        <v>#VALUE!</v>
      </c>
      <c r="FP17" s="0" t="e">
        <f aca="false">Jevon!P13+";7#!VW"</f>
        <v>#VALUE!</v>
      </c>
      <c r="FQ17" s="0" t="e">
        <f aca="false">Jevon!A14+";7#!VX"</f>
        <v>#VALUE!</v>
      </c>
      <c r="FR17" s="0" t="e">
        <f aca="false">Jevon!B14+";7#!VY"</f>
        <v>#VALUE!</v>
      </c>
      <c r="FS17" s="0" t="e">
        <f aca="false">Jevon!C14+";7#!VZ"</f>
        <v>#VALUE!</v>
      </c>
      <c r="FT17" s="0" t="e">
        <f aca="false">Jevon!D14+";7#!V["</f>
        <v>#VALUE!</v>
      </c>
      <c r="FU17" s="0" t="e">
        <f aca="false">Jevon!E14+";7#!V\"</f>
        <v>#VALUE!</v>
      </c>
      <c r="FV17" s="0" t="e">
        <f aca="false">Jevon!F14+";7#!V]"</f>
        <v>#VALUE!</v>
      </c>
      <c r="FW17" s="0" t="e">
        <f aca="false">Jevon!G14+";7#!V^"</f>
        <v>#VALUE!</v>
      </c>
      <c r="FX17" s="0" t="e">
        <f aca="false">Jevon!H14+";7#!V_"</f>
        <v>#VALUE!</v>
      </c>
      <c r="FY17" s="0" t="e">
        <f aca="false">Jevon!I14+";7#!V`"</f>
        <v>#VALUE!</v>
      </c>
      <c r="FZ17" s="0" t="e">
        <f aca="false">Jevon!J14+";7#!Va"</f>
        <v>#VALUE!</v>
      </c>
      <c r="GA17" s="0" t="e">
        <f aca="false">Jevon!K14+";7#!Vb"</f>
        <v>#VALUE!</v>
      </c>
      <c r="GB17" s="0" t="e">
        <f aca="false">Jevon!L14+";7#!Vc"</f>
        <v>#VALUE!</v>
      </c>
      <c r="GC17" s="0" t="e">
        <f aca="false">Jevon!M14+";7#!Vd"</f>
        <v>#VALUE!</v>
      </c>
      <c r="GD17" s="0" t="e">
        <f aca="false">Jevon!N14+";7#!Ve"</f>
        <v>#VALUE!</v>
      </c>
      <c r="GE17" s="0" t="e">
        <f aca="false">Jevon!O14+";7#!Vf"</f>
        <v>#VALUE!</v>
      </c>
      <c r="GF17" s="0" t="e">
        <f aca="false">Jevon!P14+";7#!Vg"</f>
        <v>#VALUE!</v>
      </c>
      <c r="GG17" s="0" t="e">
        <f aca="false">Jevon!A15+";7#!Vh"</f>
        <v>#VALUE!</v>
      </c>
      <c r="GH17" s="0" t="e">
        <f aca="false">Jevon!B15+";7#!Vi"</f>
        <v>#VALUE!</v>
      </c>
      <c r="GI17" s="0" t="e">
        <f aca="false">Jevon!C15+";7#!Vj"</f>
        <v>#VALUE!</v>
      </c>
      <c r="GJ17" s="0" t="e">
        <f aca="false">Jevon!D15+";7#!Vk"</f>
        <v>#VALUE!</v>
      </c>
      <c r="GK17" s="0" t="e">
        <f aca="false">Jevon!E15+";7#!Vl"</f>
        <v>#VALUE!</v>
      </c>
      <c r="GL17" s="0" t="e">
        <f aca="false">Jevon!F15+";7#!Vm"</f>
        <v>#VALUE!</v>
      </c>
      <c r="GM17" s="0" t="e">
        <f aca="false">Jevon!G15+";7#!Vn"</f>
        <v>#VALUE!</v>
      </c>
      <c r="GN17" s="0" t="e">
        <f aca="false">Jevon!H15+";7#!Vo"</f>
        <v>#VALUE!</v>
      </c>
      <c r="GO17" s="0" t="e">
        <f aca="false">Jevon!I15+";7#!Vp"</f>
        <v>#VALUE!</v>
      </c>
      <c r="GP17" s="0" t="e">
        <f aca="false">Jevon!J15+";7#!Vq"</f>
        <v>#VALUE!</v>
      </c>
      <c r="GQ17" s="0" t="e">
        <f aca="false">Jevon!K15+";7#!Vr"</f>
        <v>#VALUE!</v>
      </c>
      <c r="GR17" s="0" t="e">
        <f aca="false">Jevon!L15+";7#!Vs"</f>
        <v>#VALUE!</v>
      </c>
      <c r="GS17" s="0" t="e">
        <f aca="false">Jevon!M15+";7#!Vt"</f>
        <v>#VALUE!</v>
      </c>
      <c r="GT17" s="0" t="e">
        <f aca="false">Jevon!N15+";7#!Vu"</f>
        <v>#VALUE!</v>
      </c>
      <c r="GU17" s="0" t="e">
        <f aca="false">Jevon!O15+";7#!Vv"</f>
        <v>#VALUE!</v>
      </c>
      <c r="GV17" s="0" t="e">
        <f aca="false">Jevon!P15+";7#!Vw"</f>
        <v>#VALUE!</v>
      </c>
      <c r="GW17" s="0" t="e">
        <f aca="false">Jevon!A16+";7#!Vx"</f>
        <v>#VALUE!</v>
      </c>
      <c r="GX17" s="0" t="e">
        <f aca="false">Jevon!B16+";7#!Vy"</f>
        <v>#VALUE!</v>
      </c>
      <c r="GY17" s="0" t="e">
        <f aca="false">Jevon!C16+";7#!Vz"</f>
        <v>#VALUE!</v>
      </c>
      <c r="GZ17" s="0" t="e">
        <f aca="false">Jevon!D16+";7#!V{"</f>
        <v>#VALUE!</v>
      </c>
      <c r="HA17" s="0" t="e">
        <f aca="false">Jevon!E16+";7#!V|"</f>
        <v>#VALUE!</v>
      </c>
      <c r="HB17" s="0" t="e">
        <f aca="false">Jevon!F16+";7#!V}"</f>
        <v>#VALUE!</v>
      </c>
      <c r="HC17" s="0" t="e">
        <f aca="false">Jevon!G16+";7#!V~"</f>
        <v>#VALUE!</v>
      </c>
      <c r="HD17" s="0" t="e">
        <f aca="false">Jevon!H16+";7#!W#"</f>
        <v>#VALUE!</v>
      </c>
      <c r="HE17" s="0" t="e">
        <f aca="false">Jevon!I16+";7#!W$"</f>
        <v>#VALUE!</v>
      </c>
      <c r="HF17" s="0" t="e">
        <f aca="false">Jevon!J16+";7#!W%"</f>
        <v>#VALUE!</v>
      </c>
      <c r="HG17" s="0" t="e">
        <f aca="false">Jevon!K16+";7#!W&amp;"</f>
        <v>#VALUE!</v>
      </c>
      <c r="HH17" s="0" t="e">
        <f aca="false">Jevon!L16+";7#!W'"</f>
        <v>#VALUE!</v>
      </c>
      <c r="HI17" s="0" t="e">
        <f aca="false">Jevon!M16+";7#!W("</f>
        <v>#VALUE!</v>
      </c>
      <c r="HJ17" s="0" t="e">
        <f aca="false">Jevon!N16+";7#!W)"</f>
        <v>#VALUE!</v>
      </c>
      <c r="HK17" s="0" t="e">
        <f aca="false">Jevon!O16+";7#!W."</f>
        <v>#VALUE!</v>
      </c>
      <c r="HL17" s="0" t="e">
        <f aca="false">Jevon!P16+";7#!W/"</f>
        <v>#VALUE!</v>
      </c>
      <c r="HM17" s="0" t="e">
        <f aca="false">Jevon!A17+";7#!W0"</f>
        <v>#VALUE!</v>
      </c>
      <c r="HN17" s="0" t="e">
        <f aca="false">Jevon!B17+";7#!W1"</f>
        <v>#VALUE!</v>
      </c>
      <c r="HO17" s="0" t="e">
        <f aca="false">Jevon!C17+";7#!W2"</f>
        <v>#VALUE!</v>
      </c>
      <c r="HP17" s="0" t="e">
        <f aca="false">Jevon!D17+";7#!W3"</f>
        <v>#VALUE!</v>
      </c>
      <c r="HQ17" s="0" t="e">
        <f aca="false">Jevon!E17+";7#!W4"</f>
        <v>#VALUE!</v>
      </c>
      <c r="HR17" s="0" t="e">
        <f aca="false">Jevon!F17+";7#!W5"</f>
        <v>#VALUE!</v>
      </c>
      <c r="HS17" s="0" t="e">
        <f aca="false">Jevon!G17+";7#!W6"</f>
        <v>#VALUE!</v>
      </c>
      <c r="HT17" s="0" t="e">
        <f aca="false">Jevon!H17+";7#!W7"</f>
        <v>#VALUE!</v>
      </c>
      <c r="HU17" s="0" t="e">
        <f aca="false">Jevon!I17+";7#!W8"</f>
        <v>#VALUE!</v>
      </c>
      <c r="HV17" s="0" t="e">
        <f aca="false">Jevon!J17+";7#!W9"</f>
        <v>#VALUE!</v>
      </c>
      <c r="HW17" s="0" t="e">
        <f aca="false">Jevon!K17+";7#!W:"</f>
        <v>#VALUE!</v>
      </c>
      <c r="HX17" s="0" t="e">
        <f aca="false">Jevon!L17+";7#!W;"</f>
        <v>#VALUE!</v>
      </c>
      <c r="HY17" s="0" t="e">
        <f aca="false">Jevon!M17+";7#!W&lt;"</f>
        <v>#VALUE!</v>
      </c>
      <c r="HZ17" s="0" t="e">
        <f aca="false">Jevon!N17+";7#!W="</f>
        <v>#VALUE!</v>
      </c>
      <c r="IA17" s="0" t="e">
        <f aca="false">Jevon!O17+";7#!W&gt;"</f>
        <v>#VALUE!</v>
      </c>
      <c r="IB17" s="0" t="e">
        <f aca="false">Jevon!P17+";7#!W?"</f>
        <v>#VALUE!</v>
      </c>
      <c r="IC17" s="0" t="e">
        <f aca="false">Jevon!A19+";7#!W@"</f>
        <v>#VALUE!</v>
      </c>
      <c r="ID17" s="0" t="e">
        <f aca="false">Jevon!B19+";7#!WA"</f>
        <v>#VALUE!</v>
      </c>
      <c r="IE17" s="0" t="e">
        <f aca="false">Jevon!C19+";7#!WB"</f>
        <v>#VALUE!</v>
      </c>
      <c r="IF17" s="0" t="e">
        <f aca="false">Jevon!D19+";7#!WC"</f>
        <v>#VALUE!</v>
      </c>
      <c r="IG17" s="0" t="e">
        <f aca="false">Jevon!E19+";7#!WD"</f>
        <v>#VALUE!</v>
      </c>
      <c r="IH17" s="0" t="e">
        <f aca="false">Jevon!F19+";7#!WE"</f>
        <v>#VALUE!</v>
      </c>
      <c r="II17" s="0" t="e">
        <f aca="false">Jevon!G19+";7#!WF"</f>
        <v>#VALUE!</v>
      </c>
      <c r="IJ17" s="0" t="e">
        <f aca="false">Jevon!H19+";7#!WG"</f>
        <v>#VALUE!</v>
      </c>
      <c r="IK17" s="0" t="e">
        <f aca="false">Jevon!I19+";7#!WH"</f>
        <v>#VALUE!</v>
      </c>
      <c r="IL17" s="0" t="e">
        <f aca="false">Jevon!J19+";7#!WI"</f>
        <v>#VALUE!</v>
      </c>
      <c r="IM17" s="0" t="e">
        <f aca="false">Jevon!K19+";7#!WJ"</f>
        <v>#VALUE!</v>
      </c>
      <c r="IN17" s="0" t="e">
        <f aca="false">Jevon!L19+";7#!WK"</f>
        <v>#VALUE!</v>
      </c>
      <c r="IO17" s="0" t="e">
        <f aca="false">Jevon!M19+";7#!WL"</f>
        <v>#VALUE!</v>
      </c>
      <c r="IP17" s="0" t="e">
        <f aca="false">Jevon!N19+";7#!WM"</f>
        <v>#VALUE!</v>
      </c>
      <c r="IQ17" s="0" t="e">
        <f aca="false">Jevon!O19+";7#!WN"</f>
        <v>#VALUE!</v>
      </c>
      <c r="IR17" s="0" t="e">
        <f aca="false">Jevon!P19+";7#!WO"</f>
        <v>#VALUE!</v>
      </c>
      <c r="IS17" s="0" t="e">
        <f aca="false">Jevon!A20+";7#!WP"</f>
        <v>#VALUE!</v>
      </c>
      <c r="IT17" s="0" t="e">
        <f aca="false">Jevon!B20+";7#!WQ"</f>
        <v>#VALUE!</v>
      </c>
      <c r="IU17" s="0" t="e">
        <f aca="false">Jevon!C20+";7#!WR"</f>
        <v>#N/A</v>
      </c>
      <c r="IV17" s="0" t="e">
        <f aca="false">Jevon!D20+";7#!WS"</f>
        <v>#VALUE!</v>
      </c>
    </row>
    <row r="18" customFormat="false" ht="15" hidden="false" customHeight="false" outlineLevel="0" collapsed="false">
      <c r="F18" s="0" t="e">
        <f aca="false">Jevon!E20+";7#!WT"</f>
        <v>#VALUE!</v>
      </c>
      <c r="G18" s="0" t="e">
        <f aca="false">Jevon!F20+";7#!WU"</f>
        <v>#VALUE!</v>
      </c>
      <c r="H18" s="0" t="e">
        <f aca="false">Jevon!G20+";7#!WV"</f>
        <v>#VALUE!</v>
      </c>
      <c r="I18" s="0" t="e">
        <f aca="false">Jevon!H20+";7#!WW"</f>
        <v>#VALUE!</v>
      </c>
      <c r="J18" s="0" t="e">
        <f aca="false">Jevon!I20+";7#!WX"</f>
        <v>#VALUE!</v>
      </c>
      <c r="K18" s="0" t="e">
        <f aca="false">Jevon!J20+";7#!WY"</f>
        <v>#VALUE!</v>
      </c>
      <c r="L18" s="0" t="e">
        <f aca="false">Jevon!K20+";7#!WZ"</f>
        <v>#VALUE!</v>
      </c>
      <c r="M18" s="0" t="e">
        <f aca="false">Jevon!L20+";7#!W["</f>
        <v>#VALUE!</v>
      </c>
      <c r="N18" s="0" t="e">
        <f aca="false">Jevon!M20+";7#!W\"</f>
        <v>#VALUE!</v>
      </c>
      <c r="O18" s="0" t="e">
        <f aca="false">Jevon!N20+";7#!W]"</f>
        <v>#VALUE!</v>
      </c>
      <c r="P18" s="0" t="e">
        <f aca="false">Jevon!O20+";7#!W^"</f>
        <v>#VALUE!</v>
      </c>
      <c r="Q18" s="0" t="e">
        <f aca="false">Jevon!P20+";7#!W_"</f>
        <v>#VALUE!</v>
      </c>
      <c r="R18" s="0" t="e">
        <f aca="false">Jevon!A21+";7#!W`"</f>
        <v>#VALUE!</v>
      </c>
      <c r="S18" s="0" t="e">
        <f aca="false">Jevon!B21+";7#!Wa"</f>
        <v>#VALUE!</v>
      </c>
      <c r="T18" s="0" t="e">
        <f aca="false">Jevon!C21+";7#!Wb"</f>
        <v>#N/A</v>
      </c>
      <c r="U18" s="0" t="e">
        <f aca="false">Jevon!D21+";7#!Wc"</f>
        <v>#VALUE!</v>
      </c>
      <c r="V18" s="0" t="e">
        <f aca="false">Jevon!E21+";7#!Wd"</f>
        <v>#VALUE!</v>
      </c>
      <c r="W18" s="0" t="e">
        <f aca="false">Jevon!F21+";7#!We"</f>
        <v>#VALUE!</v>
      </c>
      <c r="X18" s="0" t="e">
        <f aca="false">Jevon!G21+";7#!Wf"</f>
        <v>#VALUE!</v>
      </c>
      <c r="Y18" s="0" t="e">
        <f aca="false">Jevon!H21+";7#!Wg"</f>
        <v>#VALUE!</v>
      </c>
      <c r="Z18" s="0" t="e">
        <f aca="false">Jevon!I21+";7#!Wh"</f>
        <v>#VALUE!</v>
      </c>
      <c r="AA18" s="0" t="e">
        <f aca="false">Jevon!J21+";7#!Wi"</f>
        <v>#VALUE!</v>
      </c>
      <c r="AB18" s="0" t="e">
        <f aca="false">Jevon!K21+";7#!Wj"</f>
        <v>#VALUE!</v>
      </c>
      <c r="AC18" s="0" t="e">
        <f aca="false">Jevon!L21+";7#!Wk"</f>
        <v>#VALUE!</v>
      </c>
      <c r="AD18" s="0" t="e">
        <f aca="false">Jevon!M21+";7#!Wl"</f>
        <v>#VALUE!</v>
      </c>
      <c r="AE18" s="0" t="e">
        <f aca="false">Jevon!N21+";7#!Wm"</f>
        <v>#VALUE!</v>
      </c>
      <c r="AF18" s="0" t="e">
        <f aca="false">Jevon!O21+";7#!Wn"</f>
        <v>#VALUE!</v>
      </c>
      <c r="AG18" s="0" t="e">
        <f aca="false">Jevon!P21+";7#!Wo"</f>
        <v>#VALUE!</v>
      </c>
      <c r="AH18" s="0" t="e">
        <f aca="false">Jevon!A22+";7#!Wp"</f>
        <v>#VALUE!</v>
      </c>
      <c r="AI18" s="0" t="e">
        <f aca="false">Jevon!B22+";7#!Wq"</f>
        <v>#VALUE!</v>
      </c>
      <c r="AJ18" s="0" t="e">
        <f aca="false">Jevon!C22+";7#!Wr"</f>
        <v>#N/A</v>
      </c>
      <c r="AK18" s="0" t="e">
        <f aca="false">Jevon!D22+";7#!Ws"</f>
        <v>#VALUE!</v>
      </c>
      <c r="AL18" s="0" t="e">
        <f aca="false">Jevon!E22+";7#!Wt"</f>
        <v>#VALUE!</v>
      </c>
      <c r="AM18" s="0" t="e">
        <f aca="false">Jevon!F22+";7#!Wu"</f>
        <v>#VALUE!</v>
      </c>
      <c r="AN18" s="0" t="e">
        <f aca="false">Jevon!G22+";7#!Wv"</f>
        <v>#VALUE!</v>
      </c>
      <c r="AO18" s="0" t="e">
        <f aca="false">Jevon!H22+";7#!Ww"</f>
        <v>#VALUE!</v>
      </c>
      <c r="AP18" s="0" t="e">
        <f aca="false">Jevon!I22+";7#!Wx"</f>
        <v>#VALUE!</v>
      </c>
      <c r="AQ18" s="0" t="e">
        <f aca="false">Jevon!J22+";7#!Wy"</f>
        <v>#VALUE!</v>
      </c>
      <c r="AR18" s="0" t="e">
        <f aca="false">Jevon!K22+";7#!Wz"</f>
        <v>#VALUE!</v>
      </c>
      <c r="AS18" s="0" t="e">
        <f aca="false">Jevon!L22+";7#!W{"</f>
        <v>#VALUE!</v>
      </c>
      <c r="AT18" s="0" t="e">
        <f aca="false">Jevon!M22+";7#!W|"</f>
        <v>#VALUE!</v>
      </c>
      <c r="AU18" s="0" t="e">
        <f aca="false">Jevon!N22+";7#!W}"</f>
        <v>#VALUE!</v>
      </c>
      <c r="AV18" s="0" t="e">
        <f aca="false">Jevon!O22+";7#!W~"</f>
        <v>#VALUE!</v>
      </c>
      <c r="AW18" s="0" t="e">
        <f aca="false">Jevon!P22+";7#!X#"</f>
        <v>#VALUE!</v>
      </c>
      <c r="AX18" s="0" t="e">
        <f aca="false">Jevon!A23+";7#!X$"</f>
        <v>#VALUE!</v>
      </c>
      <c r="AY18" s="0" t="e">
        <f aca="false">Jevon!B23+";7#!X%"</f>
        <v>#VALUE!</v>
      </c>
      <c r="AZ18" s="0" t="e">
        <f aca="false">Jevon!C23+";7#!X&amp;"</f>
        <v>#N/A</v>
      </c>
      <c r="BA18" s="0" t="e">
        <f aca="false">Jevon!D23+";7#!X'"</f>
        <v>#VALUE!</v>
      </c>
      <c r="BB18" s="0" t="e">
        <f aca="false">Jevon!E23+";7#!X("</f>
        <v>#VALUE!</v>
      </c>
      <c r="BC18" s="0" t="e">
        <f aca="false">Jevon!F23+";7#!X)"</f>
        <v>#VALUE!</v>
      </c>
      <c r="BD18" s="0" t="e">
        <f aca="false">Jevon!G23+";7#!X."</f>
        <v>#VALUE!</v>
      </c>
      <c r="BE18" s="0" t="e">
        <f aca="false">Jevon!H23+";7#!X/"</f>
        <v>#VALUE!</v>
      </c>
      <c r="BF18" s="0" t="e">
        <f aca="false">Jevon!I23+";7#!X0"</f>
        <v>#VALUE!</v>
      </c>
      <c r="BG18" s="0" t="e">
        <f aca="false">Jevon!J23+";7#!X1"</f>
        <v>#VALUE!</v>
      </c>
      <c r="BH18" s="0" t="e">
        <f aca="false">Jevon!K23+";7#!X2"</f>
        <v>#VALUE!</v>
      </c>
      <c r="BI18" s="0" t="e">
        <f aca="false">Jevon!L23+";7#!X3"</f>
        <v>#VALUE!</v>
      </c>
      <c r="BJ18" s="0" t="e">
        <f aca="false">Jevon!M23+";7#!X4"</f>
        <v>#VALUE!</v>
      </c>
      <c r="BK18" s="0" t="e">
        <f aca="false">Jevon!N23+";7#!X5"</f>
        <v>#VALUE!</v>
      </c>
      <c r="BL18" s="0" t="e">
        <f aca="false">Jevon!O23+";7#!X6"</f>
        <v>#VALUE!</v>
      </c>
      <c r="BM18" s="0" t="e">
        <f aca="false">Jevon!P23+";7#!X7"</f>
        <v>#VALUE!</v>
      </c>
      <c r="BN18" s="0" t="e">
        <f aca="false">Jevon!A24+";7#!X8"</f>
        <v>#VALUE!</v>
      </c>
      <c r="BO18" s="0" t="e">
        <f aca="false">Jevon!B24+";7#!X9"</f>
        <v>#VALUE!</v>
      </c>
      <c r="BP18" s="0" t="e">
        <f aca="false">Jevon!C24+";7#!X:"</f>
        <v>#VALUE!</v>
      </c>
      <c r="BQ18" s="35" t="e">
        <f aca="false">Jevon!D24+";7#!X;"</f>
        <v>#VALUE!</v>
      </c>
      <c r="BR18" s="35" t="e">
        <f aca="false">Jevon!E24+";7#!X&lt;"</f>
        <v>#VALUE!</v>
      </c>
      <c r="BS18" s="35" t="e">
        <f aca="false">Jevon!F24+";7#!X="</f>
        <v>#VALUE!</v>
      </c>
      <c r="BT18" s="35" t="e">
        <f aca="false">Jevon!G24+";7#!X&gt;"</f>
        <v>#VALUE!</v>
      </c>
      <c r="BU18" s="35" t="e">
        <f aca="false">Jevon!H24+";7#!X?"</f>
        <v>#VALUE!</v>
      </c>
      <c r="BV18" s="35" t="e">
        <f aca="false">Jevon!I24+";7#!X@"</f>
        <v>#VALUE!</v>
      </c>
      <c r="BW18" s="35" t="e">
        <f aca="false">Jevon!J24+";7#!XA"</f>
        <v>#VALUE!</v>
      </c>
      <c r="BX18" s="35" t="e">
        <f aca="false">Jevon!K24+";7#!XB"</f>
        <v>#VALUE!</v>
      </c>
      <c r="BY18" s="35" t="e">
        <f aca="false">Jevon!L24+";7#!XC"</f>
        <v>#VALUE!</v>
      </c>
      <c r="BZ18" s="35" t="e">
        <f aca="false">Jevon!M24+";7#!XD"</f>
        <v>#VALUE!</v>
      </c>
      <c r="CA18" s="35" t="e">
        <f aca="false">Jevon!N24+";7#!XE"</f>
        <v>#VALUE!</v>
      </c>
      <c r="CB18" s="35" t="e">
        <f aca="false">Jevon!O24+";7#!XF"</f>
        <v>#VALUE!</v>
      </c>
      <c r="CC18" s="35" t="e">
        <f aca="false">Jevon!P24+";7#!XG"</f>
        <v>#VALUE!</v>
      </c>
      <c r="CD18" s="0" t="e">
        <f aca="false">Jevon!A25+";7#!XH"</f>
        <v>#VALUE!</v>
      </c>
      <c r="CE18" s="0" t="e">
        <f aca="false">Jevon!B25+";7#!XI"</f>
        <v>#VALUE!</v>
      </c>
      <c r="CF18" s="0" t="e">
        <f aca="false">Jevon!C25+";7#!XJ"</f>
        <v>#VALUE!</v>
      </c>
      <c r="CG18" s="35" t="e">
        <f aca="false">Jevon!D25+";7#!XK"</f>
        <v>#VALUE!</v>
      </c>
      <c r="CH18" s="35" t="e">
        <f aca="false">Jevon!E25+";7#!XL"</f>
        <v>#VALUE!</v>
      </c>
      <c r="CI18" s="35" t="e">
        <f aca="false">Jevon!F25+";7#!XM"</f>
        <v>#VALUE!</v>
      </c>
      <c r="CJ18" s="35" t="e">
        <f aca="false">Jevon!G25+";7#!XN"</f>
        <v>#VALUE!</v>
      </c>
      <c r="CK18" s="35" t="e">
        <f aca="false">Jevon!H25+";7#!XO"</f>
        <v>#VALUE!</v>
      </c>
      <c r="CL18" s="35" t="e">
        <f aca="false">Jevon!I25+";7#!XP"</f>
        <v>#VALUE!</v>
      </c>
      <c r="CM18" s="35" t="e">
        <f aca="false">Jevon!J25+";7#!XQ"</f>
        <v>#VALUE!</v>
      </c>
      <c r="CN18" s="35" t="e">
        <f aca="false">Jevon!K25+";7#!XR"</f>
        <v>#VALUE!</v>
      </c>
      <c r="CO18" s="35" t="e">
        <f aca="false">Jevon!L25+";7#!XS"</f>
        <v>#VALUE!</v>
      </c>
      <c r="CP18" s="35" t="e">
        <f aca="false">Jevon!M25+";7#!XT"</f>
        <v>#VALUE!</v>
      </c>
      <c r="CQ18" s="35" t="e">
        <f aca="false">Jevon!N25+";7#!XU"</f>
        <v>#VALUE!</v>
      </c>
      <c r="CR18" s="35" t="e">
        <f aca="false">Jevon!O25+";7#!XV"</f>
        <v>#VALUE!</v>
      </c>
      <c r="CS18" s="35" t="e">
        <f aca="false">Jevon!P25+";7#!XW"</f>
        <v>#VALUE!</v>
      </c>
      <c r="CT18" s="0" t="e">
        <f aca="false">Jevon!A26+";7#!XX"</f>
        <v>#VALUE!</v>
      </c>
      <c r="CU18" s="0" t="e">
        <f aca="false">Jevon!B26+";7#!XY"</f>
        <v>#VALUE!</v>
      </c>
      <c r="CV18" s="0" t="e">
        <f aca="false">Jevon!C26+";7#!XZ"</f>
        <v>#VALUE!</v>
      </c>
      <c r="CW18" s="35" t="e">
        <f aca="false">Jevon!D26+";7#!X["</f>
        <v>#VALUE!</v>
      </c>
      <c r="CX18" s="35" t="e">
        <f aca="false">Jevon!E26+";7#!X\"</f>
        <v>#VALUE!</v>
      </c>
      <c r="CY18" s="35" t="e">
        <f aca="false">Jevon!F26+";7#!X]"</f>
        <v>#VALUE!</v>
      </c>
      <c r="CZ18" s="35" t="e">
        <f aca="false">Jevon!G26+";7#!X^"</f>
        <v>#VALUE!</v>
      </c>
      <c r="DA18" s="35" t="e">
        <f aca="false">Jevon!H26+";7#!X_"</f>
        <v>#VALUE!</v>
      </c>
      <c r="DB18" s="35" t="e">
        <f aca="false">Jevon!I26+";7#!X`"</f>
        <v>#VALUE!</v>
      </c>
      <c r="DC18" s="35" t="e">
        <f aca="false">Jevon!J26+";7#!Xa"</f>
        <v>#VALUE!</v>
      </c>
      <c r="DD18" s="35" t="e">
        <f aca="false">Jevon!K26+";7#!Xb"</f>
        <v>#VALUE!</v>
      </c>
      <c r="DE18" s="35" t="e">
        <f aca="false">Jevon!L26+";7#!Xc"</f>
        <v>#VALUE!</v>
      </c>
      <c r="DF18" s="35" t="e">
        <f aca="false">Jevon!M26+";7#!Xd"</f>
        <v>#VALUE!</v>
      </c>
      <c r="DG18" s="35" t="e">
        <f aca="false">Jevon!N26+";7#!Xe"</f>
        <v>#VALUE!</v>
      </c>
      <c r="DH18" s="35" t="e">
        <f aca="false">Jevon!O26+";7#!Xf"</f>
        <v>#VALUE!</v>
      </c>
      <c r="DI18" s="35" t="e">
        <f aca="false">Jevon!P26+";7#!Xg"</f>
        <v>#VALUE!</v>
      </c>
      <c r="DJ18" s="0" t="e">
        <f aca="false">Jevon!A27+";7#!Xh"</f>
        <v>#VALUE!</v>
      </c>
      <c r="DK18" s="0" t="e">
        <f aca="false">Jevon!B27+";7#!Xi"</f>
        <v>#VALUE!</v>
      </c>
      <c r="DL18" s="0" t="e">
        <f aca="false">Jevon!C27+";7#!Xj"</f>
        <v>#VALUE!</v>
      </c>
      <c r="DM18" s="36" t="e">
        <f aca="false">Jevon!D27+";7#!Xk"</f>
        <v>#VALUE!</v>
      </c>
      <c r="DN18" s="36" t="e">
        <f aca="false">Jevon!E27+";7#!Xl"</f>
        <v>#VALUE!</v>
      </c>
      <c r="DO18" s="36" t="e">
        <f aca="false">Jevon!F27+";7#!Xm"</f>
        <v>#VALUE!</v>
      </c>
      <c r="DP18" s="36" t="e">
        <f aca="false">Jevon!G27+";7#!Xn"</f>
        <v>#VALUE!</v>
      </c>
      <c r="DQ18" s="36" t="e">
        <f aca="false">Jevon!H27+";7#!Xo"</f>
        <v>#VALUE!</v>
      </c>
      <c r="DR18" s="36" t="e">
        <f aca="false">Jevon!I27+";7#!Xp"</f>
        <v>#VALUE!</v>
      </c>
      <c r="DS18" s="36" t="e">
        <f aca="false">Jevon!J27+";7#!Xq"</f>
        <v>#DIV/0!</v>
      </c>
      <c r="DT18" s="36" t="e">
        <f aca="false">Jevon!K27+";7#!Xr"</f>
        <v>#DIV/0!</v>
      </c>
      <c r="DU18" s="36" t="e">
        <f aca="false">Jevon!L27+";7#!Xs"</f>
        <v>#DIV/0!</v>
      </c>
      <c r="DV18" s="36" t="e">
        <f aca="false">Jevon!M27+";7#!Xt"</f>
        <v>#DIV/0!</v>
      </c>
      <c r="DW18" s="36" t="e">
        <f aca="false">Jevon!N27+";7#!Xu"</f>
        <v>#DIV/0!</v>
      </c>
      <c r="DX18" s="36" t="e">
        <f aca="false">Jevon!O27+";7#!Xv"</f>
        <v>#DIV/0!</v>
      </c>
      <c r="DY18" s="36" t="e">
        <f aca="false">Jevon!P27+";7#!Xw"</f>
        <v>#VALUE!</v>
      </c>
      <c r="DZ18" s="0" t="e">
        <f aca="false">Ben!A:A*";7#!Xx"</f>
        <v>#VALUE!</v>
      </c>
      <c r="EA18" s="0" t="e">
        <f aca="false">Ben!B:B*";7#!Xy"</f>
        <v>#VALUE!</v>
      </c>
      <c r="EB18" s="0" t="e">
        <f aca="false">Ben!C:C*";7#!Xz"</f>
        <v>#VALUE!</v>
      </c>
      <c r="EC18" s="0" t="e">
        <f aca="false">Ben!D:D*";7#!X{"</f>
        <v>#VALUE!</v>
      </c>
      <c r="ED18" s="0" t="e">
        <f aca="false">Ben!E:E*";7#!X|"</f>
        <v>#VALUE!</v>
      </c>
      <c r="EE18" s="0" t="e">
        <f aca="false">Ben!F:F*";7#!X}"</f>
        <v>#VALUE!</v>
      </c>
      <c r="EF18" s="0" t="e">
        <f aca="false">Ben!G:G*";7#!X~"</f>
        <v>#VALUE!</v>
      </c>
      <c r="EG18" s="0" t="e">
        <f aca="false">Ben!H:H*";7#!Y#"</f>
        <v>#VALUE!</v>
      </c>
      <c r="EH18" s="0" t="e">
        <f aca="false">Ben!I:I*";7#!Y$"</f>
        <v>#VALUE!</v>
      </c>
      <c r="EI18" s="0" t="e">
        <f aca="false">Ben!J:J*";7#!Y%"</f>
        <v>#VALUE!</v>
      </c>
      <c r="EJ18" s="0" t="e">
        <f aca="false">Ben!K:K*";7#!Y&amp;"</f>
        <v>#VALUE!</v>
      </c>
      <c r="EK18" s="0" t="e">
        <f aca="false">Ben!L:L*";7#!Y'"</f>
        <v>#VALUE!</v>
      </c>
      <c r="EL18" s="0" t="e">
        <f aca="false">Ben!M:M*";7#!Y("</f>
        <v>#VALUE!</v>
      </c>
      <c r="EM18" s="0" t="e">
        <f aca="false">Ben!N:N*";7#!Y)"</f>
        <v>#VALUE!</v>
      </c>
      <c r="EN18" s="0" t="e">
        <f aca="false">Ben!O:O*";7#!Y."</f>
        <v>#VALUE!</v>
      </c>
      <c r="EO18" s="0" t="e">
        <f aca="false">Ben!P:P*";7#!Y/"</f>
        <v>#VALUE!</v>
      </c>
      <c r="EP18" s="0" t="e">
        <f aca="false">Ben!Q:Q*";7#!Y0"</f>
        <v>#VALUE!</v>
      </c>
      <c r="EQ18" s="0" t="e">
        <f aca="false">Ben!R:R*";7#!Y1"</f>
        <v>#VALUE!</v>
      </c>
      <c r="ER18" s="0" t="e">
        <f aca="false">Ben!S:S*";7#!Y2"</f>
        <v>#VALUE!</v>
      </c>
      <c r="ES18" s="0" t="e">
        <f aca="false">Ben!T:T*";7#!Y3"</f>
        <v>#VALUE!</v>
      </c>
      <c r="ET18" s="0" t="e">
        <f aca="false">Ben!U:U*";7#!Y4"</f>
        <v>#VALUE!</v>
      </c>
      <c r="EU18" s="0" t="e">
        <f aca="false">Ben!V:V*";7#!Y5"</f>
        <v>#VALUE!</v>
      </c>
      <c r="EV18" s="0" t="e">
        <f aca="false">Ben!W:W*";7#!Y6"</f>
        <v>#VALUE!</v>
      </c>
      <c r="EW18" s="0" t="e">
        <f aca="false">Ben!X:X*";7#!Y7"</f>
        <v>#VALUE!</v>
      </c>
      <c r="EX18" s="0" t="e">
        <f aca="false">Ben!Y:Y*";7#!Y8"</f>
        <v>#VALUE!</v>
      </c>
      <c r="EY18" s="0" t="e">
        <f aca="false">Ben!Z:Z*";7#!Y9"</f>
        <v>#VALUE!</v>
      </c>
      <c r="EZ18" s="0" t="e">
        <f aca="false">Ben!AA:AA*";7#!Y:"</f>
        <v>#VALUE!</v>
      </c>
      <c r="FA18" s="0" t="e">
        <f aca="false">Ben!AB:AB*";7#!Y;"</f>
        <v>#VALUE!</v>
      </c>
      <c r="FB18" s="0" t="e">
        <f aca="false">Ben!AC:AC*";7#!Y&lt;"</f>
        <v>#VALUE!</v>
      </c>
      <c r="FC18" s="0" t="e">
        <f aca="false">Ben!AD:AD*";7#!Y="</f>
        <v>#VALUE!</v>
      </c>
      <c r="FD18" s="0" t="e">
        <f aca="false">Ben!AE:AE*";7#!Y&gt;"</f>
        <v>#VALUE!</v>
      </c>
      <c r="FE18" s="0" t="e">
        <f aca="false">Ben!AF:AF*";7#!Y?"</f>
        <v>#VALUE!</v>
      </c>
      <c r="FF18" s="0" t="e">
        <f aca="false">Ben!AG:AG*";7#!Y@"</f>
        <v>#VALUE!</v>
      </c>
      <c r="FG18" s="0" t="e">
        <f aca="false">Ben!AH:AH*";7#!YA"</f>
        <v>#VALUE!</v>
      </c>
      <c r="FH18" s="0" t="e">
        <f aca="false">Ben!AI:AI*";7#!YB"</f>
        <v>#VALUE!</v>
      </c>
      <c r="FI18" s="0" t="e">
        <f aca="false">Ben!AJ:AJ*";7#!YC"</f>
        <v>#VALUE!</v>
      </c>
      <c r="FJ18" s="0" t="e">
        <f aca="false">Ben!AK:AK*";7#!YD"</f>
        <v>#VALUE!</v>
      </c>
      <c r="FK18" s="0" t="e">
        <f aca="false">Ben!AL:AL*";7#!YE"</f>
        <v>#VALUE!</v>
      </c>
      <c r="FL18" s="0" t="e">
        <f aca="false">Ben!AM:AM*";7#!YF"</f>
        <v>#VALUE!</v>
      </c>
      <c r="FM18" s="0" t="e">
        <f aca="false">Ben!AN:AN*";7#!YG"</f>
        <v>#VALUE!</v>
      </c>
      <c r="FN18" s="0" t="e">
        <f aca="false">Ben!AO:AO*";7#!YH"</f>
        <v>#VALUE!</v>
      </c>
      <c r="FO18" s="0" t="e">
        <f aca="false">Ben!AP:AP*";7#!YI"</f>
        <v>#VALUE!</v>
      </c>
      <c r="FP18" s="0" t="e">
        <f aca="false">Ben!AQ:AQ*";7#!YJ"</f>
        <v>#VALUE!</v>
      </c>
      <c r="FQ18" s="0" t="e">
        <f aca="false">Ben!AR:AR*";7#!YK"</f>
        <v>#VALUE!</v>
      </c>
      <c r="FR18" s="0" t="e">
        <f aca="false">Ben!AS:AS*";7#!YL"</f>
        <v>#VALUE!</v>
      </c>
      <c r="FS18" s="0" t="e">
        <f aca="false">Ben!AT:AT*";7#!YM"</f>
        <v>#VALUE!</v>
      </c>
      <c r="FT18" s="0" t="e">
        <f aca="false">Ben!AU:AU*";7#!YN"</f>
        <v>#VALUE!</v>
      </c>
      <c r="FU18" s="0" t="e">
        <f aca="false">Ben!AV:AV*";7#!YO"</f>
        <v>#VALUE!</v>
      </c>
      <c r="FV18" s="0" t="e">
        <f aca="false">Ben!AW:AW*";7#!YP"</f>
        <v>#VALUE!</v>
      </c>
      <c r="FW18" s="0" t="e">
        <f aca="false">Ben!AX:AX*";7#!YQ"</f>
        <v>#VALUE!</v>
      </c>
      <c r="FX18" s="0" t="e">
        <f aca="false">Ben!AY:AY*";7#!YR"</f>
        <v>#VALUE!</v>
      </c>
      <c r="FY18" s="0" t="e">
        <f aca="false">Ben!AZ:AZ*";7#!YS"</f>
        <v>#VALUE!</v>
      </c>
      <c r="FZ18" s="0" t="e">
        <f aca="false">Ben!BA:BA*";7#!YT"</f>
        <v>#VALUE!</v>
      </c>
      <c r="GA18" s="0" t="e">
        <f aca="false">Ben!BB:BB*";7#!YU"</f>
        <v>#VALUE!</v>
      </c>
      <c r="GB18" s="0" t="e">
        <f aca="false">Ben!BC:BC*";7#!YV"</f>
        <v>#VALUE!</v>
      </c>
      <c r="GC18" s="0" t="e">
        <f aca="false">Ben!BD:BD*";7#!YW"</f>
        <v>#VALUE!</v>
      </c>
      <c r="GD18" s="0" t="e">
        <f aca="false">Ben!BE:BE*";7#!YX"</f>
        <v>#VALUE!</v>
      </c>
      <c r="GE18" s="0" t="e">
        <f aca="false">Ben!BF:BF*";7#!YY"</f>
        <v>#VALUE!</v>
      </c>
      <c r="GF18" s="0" t="e">
        <f aca="false">Ben!BG:BG*";7#!YZ"</f>
        <v>#VALUE!</v>
      </c>
      <c r="GG18" s="0" t="e">
        <f aca="false">Ben!BH:BH*";7#!Y["</f>
        <v>#VALUE!</v>
      </c>
      <c r="GH18" s="0" t="e">
        <f aca="false">Ben!BI:BI*";7#!Y\"</f>
        <v>#VALUE!</v>
      </c>
      <c r="GI18" s="0" t="e">
        <f aca="false">Ben!BJ:BJ*";7#!Y]"</f>
        <v>#VALUE!</v>
      </c>
      <c r="GJ18" s="0" t="e">
        <f aca="false">Ben!BK:BK*";7#!Y^"</f>
        <v>#VALUE!</v>
      </c>
      <c r="GK18" s="0" t="e">
        <f aca="false">Ben!BL:BL*";7#!Y_"</f>
        <v>#VALUE!</v>
      </c>
      <c r="GL18" s="0" t="e">
        <f aca="false">Ben!BM:BM*";7#!Y`"</f>
        <v>#VALUE!</v>
      </c>
      <c r="GM18" s="0" t="e">
        <f aca="false">Ben!BN:BN*";7#!Ya"</f>
        <v>#VALUE!</v>
      </c>
      <c r="GN18" s="0" t="e">
        <f aca="false">Ben!BO:BO*";7#!Yb"</f>
        <v>#VALUE!</v>
      </c>
      <c r="GO18" s="0" t="e">
        <f aca="false">Ben!BP:BP*";7#!Yc"</f>
        <v>#VALUE!</v>
      </c>
      <c r="GP18" s="0" t="e">
        <f aca="false">Ben!BQ:BQ*";7#!Yd"</f>
        <v>#VALUE!</v>
      </c>
      <c r="GQ18" s="0" t="e">
        <f aca="false">Ben!BR:BR*";7#!Ye"</f>
        <v>#VALUE!</v>
      </c>
      <c r="GR18" s="0" t="e">
        <f aca="false">Ben!BS:BS*";7#!Yf"</f>
        <v>#VALUE!</v>
      </c>
      <c r="GS18" s="0" t="e">
        <f aca="false">Ben!BT:BT*";7#!Yg"</f>
        <v>#VALUE!</v>
      </c>
      <c r="GT18" s="0" t="e">
        <f aca="false">Ben!BU:BU*";7#!Yh"</f>
        <v>#VALUE!</v>
      </c>
      <c r="GU18" s="0" t="e">
        <f aca="false">Ben!BV:BV*";7#!Yi"</f>
        <v>#VALUE!</v>
      </c>
      <c r="GV18" s="0" t="e">
        <f aca="false">Ben!BW:BW*";7#!Yj"</f>
        <v>#VALUE!</v>
      </c>
      <c r="GW18" s="0" t="e">
        <f aca="false">Ben!BX:BX*";7#!Yk"</f>
        <v>#VALUE!</v>
      </c>
      <c r="GX18" s="0" t="e">
        <f aca="false">Ben!BY:BY*";7#!Yl"</f>
        <v>#VALUE!</v>
      </c>
      <c r="GY18" s="0" t="e">
        <f aca="false">Ben!BZ:BZ*";7#!Ym"</f>
        <v>#VALUE!</v>
      </c>
      <c r="GZ18" s="0" t="e">
        <f aca="false">Ben!CA:CA*";7#!Yn"</f>
        <v>#VALUE!</v>
      </c>
      <c r="HA18" s="0" t="e">
        <f aca="false">Ben!CB:CB*";7#!Yo"</f>
        <v>#VALUE!</v>
      </c>
      <c r="HB18" s="0" t="e">
        <f aca="false">Ben!CC:CC*";7#!Yp"</f>
        <v>#VALUE!</v>
      </c>
      <c r="HC18" s="0" t="e">
        <f aca="false">Ben!1:1-";7#!Yq"</f>
        <v>#VALUE!</v>
      </c>
      <c r="HD18" s="0" t="e">
        <f aca="false">Ben!2:2-";7#!Yr"</f>
        <v>#VALUE!</v>
      </c>
      <c r="HE18" s="0" t="e">
        <f aca="false">Ben!3:3-";7#!Ys"</f>
        <v>#VALUE!</v>
      </c>
      <c r="HF18" s="0" t="e">
        <f aca="false">Ben!4:4-";7#!Yt"</f>
        <v>#VALUE!</v>
      </c>
      <c r="HG18" s="0" t="e">
        <f aca="false">Ben!5:5-";7#!Yu"</f>
        <v>#VALUE!</v>
      </c>
      <c r="HH18" s="0" t="e">
        <f aca="false">Ben!6:6-";7#!Yv"</f>
        <v>#VALUE!</v>
      </c>
      <c r="HI18" s="0" t="e">
        <f aca="false">Ben!7:7-";7#!Yw"</f>
        <v>#VALUE!</v>
      </c>
      <c r="HJ18" s="0" t="e">
        <f aca="false">Ben!8:8-";7#!Yx"</f>
        <v>#VALUE!</v>
      </c>
      <c r="HK18" s="0" t="e">
        <f aca="false">Ben!9:9-";7#!Yy"</f>
        <v>#VALUE!</v>
      </c>
      <c r="HL18" s="0" t="e">
        <f aca="false">Ben!10:10-";7#!Yz"</f>
        <v>#VALUE!</v>
      </c>
      <c r="HM18" s="0" t="e">
        <f aca="false">Ben!11:11-";7#!Y{"</f>
        <v>#VALUE!</v>
      </c>
      <c r="HN18" s="0" t="e">
        <f aca="false">Ben!12:12-";7#!Y|"</f>
        <v>#VALUE!</v>
      </c>
      <c r="HO18" s="0" t="e">
        <f aca="false">Ben!13:13-";7#!Y}"</f>
        <v>#VALUE!</v>
      </c>
      <c r="HP18" s="0" t="e">
        <f aca="false">Ben!14:14-";7#!Y~"</f>
        <v>#VALUE!</v>
      </c>
      <c r="HQ18" s="0" t="e">
        <f aca="false">Ben!15:15-";7#!Z#"</f>
        <v>#VALUE!</v>
      </c>
      <c r="HR18" s="0" t="e">
        <f aca="false">Ben!16:16-";7#!Z$"</f>
        <v>#VALUE!</v>
      </c>
      <c r="HS18" s="0" t="e">
        <f aca="false">Ben!17:17-";7#!Z%"</f>
        <v>#VALUE!</v>
      </c>
      <c r="HT18" s="0" t="e">
        <f aca="false">Ben!18:18-";7#!Z&amp;"</f>
        <v>#VALUE!</v>
      </c>
      <c r="HU18" s="0" t="e">
        <f aca="false">Ben!19:19-";7#!Z'"</f>
        <v>#VALUE!</v>
      </c>
      <c r="HV18" s="0" t="e">
        <f aca="false">Ben!20:20-";7#!Z("</f>
        <v>#VALUE!</v>
      </c>
      <c r="HW18" s="0" t="e">
        <f aca="false">Ben!21:21-";7#!Z)"</f>
        <v>#VALUE!</v>
      </c>
      <c r="HX18" s="0" t="e">
        <f aca="false">Ben!22:22-";7#!Z."</f>
        <v>#VALUE!</v>
      </c>
      <c r="HY18" s="0" t="e">
        <f aca="false">Ben!23:23-";7#!Z/"</f>
        <v>#VALUE!</v>
      </c>
      <c r="HZ18" s="0" t="e">
        <f aca="false">Ben!24:24-";7#!Z0"</f>
        <v>#VALUE!</v>
      </c>
      <c r="IA18" s="0" t="e">
        <f aca="false">Ben!25:25-";7#!Z1"</f>
        <v>#VALUE!</v>
      </c>
      <c r="IB18" s="0" t="e">
        <f aca="false">Ben!26:26-";7#!Z2"</f>
        <v>#VALUE!</v>
      </c>
      <c r="IC18" s="0" t="e">
        <f aca="false">Ben!27:27-";7#!Z3"</f>
        <v>#VALUE!</v>
      </c>
      <c r="ID18" s="0" t="e">
        <f aca="false">Ben!28:28-";7#!Z4"</f>
        <v>#VALUE!</v>
      </c>
      <c r="IE18" s="0" t="e">
        <f aca="false">Ben!29:29-";7#!Z5"</f>
        <v>#VALUE!</v>
      </c>
      <c r="IF18" s="0" t="e">
        <f aca="false">Ben!30:30-";7#!Z6"</f>
        <v>#VALUE!</v>
      </c>
      <c r="IG18" s="0" t="e">
        <f aca="false">Ben!31:31-";7#!Z7"</f>
        <v>#VALUE!</v>
      </c>
      <c r="IH18" s="0" t="e">
        <f aca="false">Ben!32:32-";7#!Z8"</f>
        <v>#VALUE!</v>
      </c>
      <c r="II18" s="0" t="e">
        <f aca="false">Ben!33:33-";7#!Z9"</f>
        <v>#VALUE!</v>
      </c>
      <c r="IJ18" s="0" t="e">
        <f aca="false">Ben!34:34-";7#!Z:"</f>
        <v>#VALUE!</v>
      </c>
      <c r="IK18" s="0" t="e">
        <f aca="false">Ben!35:35-";7#!Z;"</f>
        <v>#VALUE!</v>
      </c>
      <c r="IL18" s="0" t="e">
        <f aca="false">Ben!36:36-";7#!Z&lt;"</f>
        <v>#VALUE!</v>
      </c>
      <c r="IM18" s="0" t="e">
        <f aca="false">Ben!37:37-";7#!Z="</f>
        <v>#VALUE!</v>
      </c>
      <c r="IN18" s="0" t="e">
        <f aca="false">Ben!38:38-";7#!Z&gt;"</f>
        <v>#VALUE!</v>
      </c>
      <c r="IO18" s="0" t="e">
        <f aca="false">Ben!39:39-";7#!Z?"</f>
        <v>#VALUE!</v>
      </c>
      <c r="IP18" s="0" t="e">
        <f aca="false">Ben!40:40-";7#!Z@"</f>
        <v>#VALUE!</v>
      </c>
      <c r="IQ18" s="0" t="e">
        <f aca="false">Ben!41:41-";7#!ZA"</f>
        <v>#VALUE!</v>
      </c>
      <c r="IR18" s="0" t="e">
        <f aca="false">Ben!42:42-";7#!ZB"</f>
        <v>#VALUE!</v>
      </c>
      <c r="IS18" s="0" t="e">
        <f aca="false">Ben!43:43-";7#!ZC"</f>
        <v>#VALUE!</v>
      </c>
      <c r="IT18" s="0" t="e">
        <f aca="false">Ben!44:44-";7#!ZD"</f>
        <v>#VALUE!</v>
      </c>
      <c r="IU18" s="0" t="e">
        <f aca="false">Ben!45:45-";7#!ZE"</f>
        <v>#VALUE!</v>
      </c>
      <c r="IV18" s="0" t="e">
        <f aca="false">Ben!46:46-";7#!ZF"</f>
        <v>#VALUE!</v>
      </c>
    </row>
    <row r="19" customFormat="false" ht="15" hidden="false" customHeight="false" outlineLevel="0" collapsed="false">
      <c r="F19" s="0" t="e">
        <f aca="false">Ben!47:47-";7#!ZG"</f>
        <v>#VALUE!</v>
      </c>
      <c r="G19" s="0" t="e">
        <f aca="false">Ben!48:48-";7#!ZH"</f>
        <v>#VALUE!</v>
      </c>
      <c r="H19" s="0" t="e">
        <f aca="false">Ben!49:49-";7#!ZI"</f>
        <v>#VALUE!</v>
      </c>
      <c r="I19" s="0" t="e">
        <f aca="false">Ben!50:50-";7#!ZJ"</f>
        <v>#VALUE!</v>
      </c>
      <c r="J19" s="0" t="e">
        <f aca="false">Ben!51:51-";7#!ZK"</f>
        <v>#VALUE!</v>
      </c>
      <c r="K19" s="0" t="e">
        <f aca="false">Ben!52:52-";7#!ZL"</f>
        <v>#VALUE!</v>
      </c>
      <c r="L19" s="0" t="e">
        <f aca="false">Ben!53:53-";7#!ZM"</f>
        <v>#VALUE!</v>
      </c>
      <c r="M19" s="0" t="e">
        <f aca="false">Ben!54:54-";7#!ZN"</f>
        <v>#VALUE!</v>
      </c>
      <c r="N19" s="0" t="e">
        <f aca="false">Ben!55:55-";7#!ZO"</f>
        <v>#VALUE!</v>
      </c>
      <c r="O19" s="0" t="e">
        <f aca="false">Ben!56:56-";7#!ZP"</f>
        <v>#VALUE!</v>
      </c>
      <c r="P19" s="0" t="e">
        <f aca="false">Ben!57:57-";7#!ZQ"</f>
        <v>#VALUE!</v>
      </c>
      <c r="Q19" s="0" t="e">
        <f aca="false">Ben!58:58-";7#!ZR"</f>
        <v>#VALUE!</v>
      </c>
      <c r="R19" s="0" t="e">
        <f aca="false">Ben!59:59-";7#!ZS"</f>
        <v>#VALUE!</v>
      </c>
      <c r="S19" s="0" t="e">
        <f aca="false">Ben!60:60-";7#!ZT"</f>
        <v>#VALUE!</v>
      </c>
      <c r="T19" s="0" t="e">
        <f aca="false">Ben!61:61-";7#!ZU"</f>
        <v>#VALUE!</v>
      </c>
      <c r="U19" s="0" t="e">
        <f aca="false">Ben!62:62-";7#!ZV"</f>
        <v>#VALUE!</v>
      </c>
      <c r="V19" s="0" t="e">
        <f aca="false">Ben!63:63-";7#!ZW"</f>
        <v>#VALUE!</v>
      </c>
      <c r="W19" s="0" t="e">
        <f aca="false">Ben!64:64-";7#!ZX"</f>
        <v>#VALUE!</v>
      </c>
      <c r="X19" s="0" t="e">
        <f aca="false">Ben!65:65-";7#!ZY"</f>
        <v>#VALUE!</v>
      </c>
      <c r="Y19" s="0" t="e">
        <f aca="false">Ben!66:66-";7#!ZZ"</f>
        <v>#VALUE!</v>
      </c>
      <c r="Z19" s="0" t="e">
        <f aca="false">Ben!67:67-";7#!Z["</f>
        <v>#VALUE!</v>
      </c>
      <c r="AA19" s="0" t="e">
        <f aca="false">Ben!68:68-";7#!Z\"</f>
        <v>#VALUE!</v>
      </c>
      <c r="AB19" s="0" t="e">
        <f aca="false">Ben!69:69-";7#!Z]"</f>
        <v>#VALUE!</v>
      </c>
      <c r="AC19" s="0" t="e">
        <f aca="false">Ben!70:70-";7#!Z^"</f>
        <v>#VALUE!</v>
      </c>
      <c r="AD19" s="0" t="e">
        <f aca="false">Ben!71:71-";7#!Z_"</f>
        <v>#VALUE!</v>
      </c>
      <c r="AE19" s="0" t="e">
        <f aca="false">Ben!72:72-";7#!Z`"</f>
        <v>#VALUE!</v>
      </c>
      <c r="AF19" s="0" t="e">
        <f aca="false">Ben!73:73-";7#!Za"</f>
        <v>#VALUE!</v>
      </c>
      <c r="AG19" s="0" t="e">
        <f aca="false">Ben!74:74-";7#!Zb"</f>
        <v>#VALUE!</v>
      </c>
      <c r="AH19" s="0" t="e">
        <f aca="false">Ben!75:75-";7#!Zc"</f>
        <v>#VALUE!</v>
      </c>
      <c r="AI19" s="0" t="e">
        <f aca="false">Ben!76:76-";7#!Zd"</f>
        <v>#VALUE!</v>
      </c>
      <c r="AJ19" s="0" t="e">
        <f aca="false">Ben!77:77-";7#!Ze"</f>
        <v>#VALUE!</v>
      </c>
      <c r="AK19" s="0" t="e">
        <f aca="false">Ben!78:78-";7#!Zf"</f>
        <v>#VALUE!</v>
      </c>
      <c r="AL19" s="0" t="e">
        <f aca="false">Ben!79:79-";7#!Zg"</f>
        <v>#VALUE!</v>
      </c>
      <c r="AM19" s="0" t="e">
        <f aca="false">Ben!80:80-";7#!Zh"</f>
        <v>#VALUE!</v>
      </c>
      <c r="AN19" s="0" t="e">
        <f aca="false">Ben!81:81-";7#!Zi"</f>
        <v>#VALUE!</v>
      </c>
      <c r="AO19" s="0" t="e">
        <f aca="false">Ben!82:82-";7#!Zj"</f>
        <v>#VALUE!</v>
      </c>
      <c r="AP19" s="0" t="e">
        <f aca="false">Ben!83:83-";7#!Zk"</f>
        <v>#VALUE!</v>
      </c>
      <c r="AQ19" s="0" t="e">
        <f aca="false">Ben!84:84-";7#!Zl"</f>
        <v>#VALUE!</v>
      </c>
      <c r="AR19" s="0" t="e">
        <f aca="false">Ben!85:85-";7#!Zm"</f>
        <v>#VALUE!</v>
      </c>
      <c r="AS19" s="0" t="e">
        <f aca="false">Ben!86:86-";7#!Zn"</f>
        <v>#VALUE!</v>
      </c>
      <c r="AT19" s="0" t="e">
        <f aca="false">Ben!87:87-";7#!Zo"</f>
        <v>#VALUE!</v>
      </c>
      <c r="AU19" s="0" t="e">
        <f aca="false">Ben!88:88-";7#!Zp"</f>
        <v>#VALUE!</v>
      </c>
      <c r="AV19" s="0" t="e">
        <f aca="false">Ben!89:89-";7#!Zq"</f>
        <v>#VALUE!</v>
      </c>
      <c r="AW19" s="0" t="e">
        <f aca="false">Ben!90:90-";7#!Zr"</f>
        <v>#VALUE!</v>
      </c>
      <c r="AX19" s="0" t="e">
        <f aca="false">Ben!91:91-";7#!Zs"</f>
        <v>#VALUE!</v>
      </c>
      <c r="AY19" s="0" t="e">
        <f aca="false">Ben!92:92-";7#!Zt"</f>
        <v>#VALUE!</v>
      </c>
      <c r="AZ19" s="0" t="e">
        <f aca="false">Ben!93:93-";7#!Zu"</f>
        <v>#VALUE!</v>
      </c>
      <c r="BA19" s="0" t="e">
        <f aca="false">Ben!94:94-";7#!Zv"</f>
        <v>#VALUE!</v>
      </c>
      <c r="BB19" s="0" t="e">
        <f aca="false">Ben!95:95-";7#!Zw"</f>
        <v>#VALUE!</v>
      </c>
      <c r="BC19" s="0" t="e">
        <f aca="false">Ben!96:96-";7#!Zx"</f>
        <v>#VALUE!</v>
      </c>
      <c r="BD19" s="0" t="e">
        <f aca="false">Ben!97:97-";7#!Zy"</f>
        <v>#VALUE!</v>
      </c>
      <c r="BE19" s="0" t="e">
        <f aca="false">Ben!98:98-";7#!Zz"</f>
        <v>#VALUE!</v>
      </c>
      <c r="BF19" s="0" t="e">
        <f aca="false">Ben!99:99-";7#!Z{"</f>
        <v>#VALUE!</v>
      </c>
      <c r="BG19" s="0" t="e">
        <f aca="false">Ben!100:100-";7#!Z|"</f>
        <v>#VALUE!</v>
      </c>
      <c r="BH19" s="0" t="e">
        <f aca="false">Ben!101:101-";7#!Z}"</f>
        <v>#VALUE!</v>
      </c>
      <c r="BI19" s="0" t="e">
        <f aca="false">Ben!102:102-";7#!Z~"</f>
        <v>#VALUE!</v>
      </c>
      <c r="BJ19" s="0" t="e">
        <f aca="false">Ben!103:103-";7#![#"</f>
        <v>#VALUE!</v>
      </c>
      <c r="BK19" s="0" t="e">
        <f aca="false">Ben!104:104-";7#![$"</f>
        <v>#VALUE!</v>
      </c>
      <c r="BL19" s="0" t="e">
        <f aca="false">Ben!105:105-";7#![%"</f>
        <v>#VALUE!</v>
      </c>
      <c r="BM19" s="0" t="e">
        <f aca="false">Ben!106:106-";7#![&amp;"</f>
        <v>#VALUE!</v>
      </c>
      <c r="BN19" s="0" t="e">
        <f aca="false">Ben!107:107-";7#!['"</f>
        <v>#VALUE!</v>
      </c>
      <c r="BO19" s="0" t="e">
        <f aca="false">Ben!108:108-";7#![("</f>
        <v>#VALUE!</v>
      </c>
      <c r="BP19" s="0" t="e">
        <f aca="false">Ben!109:109-";7#![)"</f>
        <v>#VALUE!</v>
      </c>
      <c r="BQ19" s="0" t="e">
        <f aca="false">Ben!110:110-";7#![."</f>
        <v>#VALUE!</v>
      </c>
      <c r="BR19" s="0" t="e">
        <f aca="false">Ben!111:111-";7#![/"</f>
        <v>#VALUE!</v>
      </c>
      <c r="BS19" s="0" t="e">
        <f aca="false">Ben!112:112-";7#![0"</f>
        <v>#VALUE!</v>
      </c>
      <c r="BT19" s="0" t="e">
        <f aca="false">Ben!113:113-";7#![1"</f>
        <v>#VALUE!</v>
      </c>
      <c r="BU19" s="0" t="e">
        <f aca="false">Ben!114:114-";7#![2"</f>
        <v>#VALUE!</v>
      </c>
      <c r="BV19" s="0" t="e">
        <f aca="false">Ben!115:115-";7#![3"</f>
        <v>#VALUE!</v>
      </c>
      <c r="BW19" s="0" t="e">
        <f aca="false">Ben!116:116-";7#![4"</f>
        <v>#VALUE!</v>
      </c>
      <c r="BX19" s="0" t="e">
        <f aca="false">Ben!117:117-";7#![5"</f>
        <v>#VALUE!</v>
      </c>
      <c r="BY19" s="0" t="e">
        <f aca="false">Ben!118:118-";7#![6"</f>
        <v>#VALUE!</v>
      </c>
      <c r="BZ19" s="0" t="e">
        <f aca="false">Ben!119:119-";7#![7"</f>
        <v>#VALUE!</v>
      </c>
      <c r="CA19" s="0" t="e">
        <f aca="false">Ben!120:120-";7#![8"</f>
        <v>#VALUE!</v>
      </c>
      <c r="CB19" s="0" t="e">
        <f aca="false">Ben!121:121-";7#![9"</f>
        <v>#VALUE!</v>
      </c>
      <c r="CC19" s="0" t="e">
        <f aca="false">Ben!122:122-";7#![:"</f>
        <v>#VALUE!</v>
      </c>
      <c r="CD19" s="0" t="e">
        <f aca="false">Ben!123:123-";7#![;"</f>
        <v>#VALUE!</v>
      </c>
      <c r="CE19" s="0" t="e">
        <f aca="false">Ben!124:124-";7#![&lt;"</f>
        <v>#VALUE!</v>
      </c>
      <c r="CF19" s="0" t="e">
        <f aca="false">Ben!125:125-";7#![="</f>
        <v>#VALUE!</v>
      </c>
      <c r="CG19" s="0" t="e">
        <f aca="false">Ben!126:126-";7#![&gt;"</f>
        <v>#VALUE!</v>
      </c>
      <c r="CH19" s="0" t="e">
        <f aca="false">Ben!127:127-";7#![?"</f>
        <v>#VALUE!</v>
      </c>
      <c r="CI19" s="0" t="e">
        <f aca="false">Ben!128:128-";7#![@"</f>
        <v>#VALUE!</v>
      </c>
      <c r="CJ19" s="0" t="e">
        <f aca="false">Ben!129:129-";7#![A"</f>
        <v>#VALUE!</v>
      </c>
      <c r="CK19" s="0" t="e">
        <f aca="false">Ben!130:130-";7#![B"</f>
        <v>#VALUE!</v>
      </c>
      <c r="CL19" s="0" t="e">
        <f aca="false">Ben!131:131-";7#![C"</f>
        <v>#VALUE!</v>
      </c>
      <c r="CM19" s="0" t="e">
        <f aca="false">Ben!132:132-";7#![D"</f>
        <v>#VALUE!</v>
      </c>
      <c r="CN19" s="0" t="e">
        <f aca="false">Ben!133:133-";7#![E"</f>
        <v>#VALUE!</v>
      </c>
      <c r="CO19" s="0" t="e">
        <f aca="false">Ben!134:134-";7#![F"</f>
        <v>#VALUE!</v>
      </c>
      <c r="CP19" s="0" t="e">
        <f aca="false">Ben!135:135-";7#![G"</f>
        <v>#VALUE!</v>
      </c>
      <c r="CQ19" s="0" t="e">
        <f aca="false">Ben!136:136-";7#![H"</f>
        <v>#VALUE!</v>
      </c>
      <c r="CR19" s="0" t="e">
        <f aca="false">Ben!137:137-";7#![I"</f>
        <v>#VALUE!</v>
      </c>
      <c r="CS19" s="0" t="e">
        <f aca="false">Ben!138:138-";7#![J"</f>
        <v>#VALUE!</v>
      </c>
      <c r="CT19" s="0" t="e">
        <f aca="false">Ben!139:139-";7#![K"</f>
        <v>#VALUE!</v>
      </c>
      <c r="CU19" s="0" t="e">
        <f aca="false">Ben!140:140-";7#![L"</f>
        <v>#VALUE!</v>
      </c>
      <c r="CV19" s="0" t="e">
        <f aca="false">Ben!141:141-";7#![M"</f>
        <v>#VALUE!</v>
      </c>
      <c r="CW19" s="0" t="e">
        <f aca="false">Ben!142:142-";7#![N"</f>
        <v>#VALUE!</v>
      </c>
      <c r="CX19" s="0" t="e">
        <f aca="false">Ben!143:143-";7#![O"</f>
        <v>#VALUE!</v>
      </c>
      <c r="CY19" s="0" t="e">
        <f aca="false">Ben!144:144-";7#![P"</f>
        <v>#VALUE!</v>
      </c>
      <c r="CZ19" s="0" t="e">
        <f aca="false">Ben!145:145-";7#![Q"</f>
        <v>#VALUE!</v>
      </c>
      <c r="DA19" s="0" t="e">
        <f aca="false">Ben!146:146-";7#![R"</f>
        <v>#VALUE!</v>
      </c>
      <c r="DB19" s="0" t="e">
        <f aca="false">Ben!147:147-";7#![S"</f>
        <v>#VALUE!</v>
      </c>
      <c r="DC19" s="0" t="e">
        <f aca="false">Ben!148:148-";7#![T"</f>
        <v>#VALUE!</v>
      </c>
      <c r="DD19" s="0" t="e">
        <f aca="false">Ben!149:149-";7#![U"</f>
        <v>#VALUE!</v>
      </c>
      <c r="DE19" s="0" t="e">
        <f aca="false">Ben!150:150-";7#![V"</f>
        <v>#VALUE!</v>
      </c>
      <c r="DF19" s="0" t="e">
        <f aca="false">Ben!151:151-";7#![W"</f>
        <v>#VALUE!</v>
      </c>
      <c r="DG19" s="0" t="e">
        <f aca="false">Ben!152:152-";7#![X"</f>
        <v>#VALUE!</v>
      </c>
      <c r="DH19" s="0" t="e">
        <f aca="false">Ben!153:153-";7#![Y"</f>
        <v>#VALUE!</v>
      </c>
      <c r="DI19" s="0" t="e">
        <f aca="false">Ben!154:154-";7#![Z"</f>
        <v>#VALUE!</v>
      </c>
      <c r="DJ19" s="0" t="e">
        <f aca="false">Ben!155:155-";7#![["</f>
        <v>#VALUE!</v>
      </c>
      <c r="DK19" s="0" t="e">
        <f aca="false">Ben!156:156-";7#![\"</f>
        <v>#VALUE!</v>
      </c>
      <c r="DL19" s="0" t="e">
        <f aca="false">Ben!157:157-";7#![]"</f>
        <v>#VALUE!</v>
      </c>
      <c r="DM19" s="0" t="e">
        <f aca="false">Ben!158:158-";7#![^"</f>
        <v>#VALUE!</v>
      </c>
      <c r="DN19" s="0" t="e">
        <f aca="false">Ben!159:159-";7#![_"</f>
        <v>#VALUE!</v>
      </c>
      <c r="DO19" s="0" t="e">
        <f aca="false">Ben!160:160-";7#![`"</f>
        <v>#VALUE!</v>
      </c>
      <c r="DP19" s="0" t="e">
        <f aca="false">Ben!161:161-";7#![a"</f>
        <v>#VALUE!</v>
      </c>
      <c r="DQ19" s="0" t="e">
        <f aca="false">Ben!162:162-";7#![b"</f>
        <v>#VALUE!</v>
      </c>
      <c r="DR19" s="0" t="e">
        <f aca="false">Ben!163:163-";7#![c"</f>
        <v>#VALUE!</v>
      </c>
      <c r="DS19" s="0" t="e">
        <f aca="false">Ben!164:164-";7#![d"</f>
        <v>#VALUE!</v>
      </c>
      <c r="DT19" s="0" t="e">
        <f aca="false">Ben!165:165-";7#![e"</f>
        <v>#VALUE!</v>
      </c>
      <c r="DU19" s="0" t="e">
        <f aca="false">Ben!166:166-";7#![f"</f>
        <v>#VALUE!</v>
      </c>
      <c r="DV19" s="0" t="e">
        <f aca="false">Ben!167:167-";7#![g"</f>
        <v>#VALUE!</v>
      </c>
      <c r="DW19" s="0" t="e">
        <f aca="false">Ben!168:168-";7#![h"</f>
        <v>#VALUE!</v>
      </c>
      <c r="DX19" s="0" t="e">
        <f aca="false">Ben!169:169-";7#![i"</f>
        <v>#VALUE!</v>
      </c>
      <c r="DY19" s="0" t="e">
        <f aca="false">Ben!170:170-";7#![j"</f>
        <v>#VALUE!</v>
      </c>
      <c r="DZ19" s="0" t="e">
        <f aca="false">Ben!171:171-";7#![k"</f>
        <v>#VALUE!</v>
      </c>
      <c r="EA19" s="0" t="e">
        <f aca="false">Ben!172:172-";7#![l"</f>
        <v>#VALUE!</v>
      </c>
      <c r="EB19" s="0" t="e">
        <f aca="false">Ben!173:173-";7#![m"</f>
        <v>#VALUE!</v>
      </c>
      <c r="EC19" s="0" t="e">
        <f aca="false">Ben!174:174-";7#![n"</f>
        <v>#VALUE!</v>
      </c>
      <c r="ED19" s="0" t="e">
        <f aca="false">Ben!175:175-";7#![o"</f>
        <v>#VALUE!</v>
      </c>
      <c r="EE19" s="0" t="e">
        <f aca="false">Ben!176:176-";7#![p"</f>
        <v>#VALUE!</v>
      </c>
      <c r="EF19" s="0" t="e">
        <f aca="false">Ben!177:177-";7#![q"</f>
        <v>#VALUE!</v>
      </c>
      <c r="EG19" s="0" t="e">
        <f aca="false">Ben!178:178-";7#![r"</f>
        <v>#VALUE!</v>
      </c>
      <c r="EH19" s="0" t="e">
        <f aca="false">Ben!179:179-";7#![s"</f>
        <v>#VALUE!</v>
      </c>
      <c r="EI19" s="0" t="e">
        <f aca="false">Ben!180:180-";7#![t"</f>
        <v>#VALUE!</v>
      </c>
      <c r="EJ19" s="0" t="e">
        <f aca="false">Ben!181:181-";7#![u"</f>
        <v>#VALUE!</v>
      </c>
      <c r="EK19" s="0" t="e">
        <f aca="false">Ben!182:182-";7#![v"</f>
        <v>#VALUE!</v>
      </c>
      <c r="EL19" s="0" t="e">
        <f aca="false">Ben!183:183-";7#![w"</f>
        <v>#VALUE!</v>
      </c>
      <c r="EM19" s="0" t="e">
        <f aca="false">Ben!184:184-";7#![x"</f>
        <v>#VALUE!</v>
      </c>
      <c r="EN19" s="0" t="e">
        <f aca="false">Ben!185:185-";7#![y"</f>
        <v>#VALUE!</v>
      </c>
      <c r="EO19" s="0" t="e">
        <f aca="false">Ben!186:186-";7#![z"</f>
        <v>#VALUE!</v>
      </c>
      <c r="EP19" s="0" t="e">
        <f aca="false">Ben!187:187-";7#![{"</f>
        <v>#VALUE!</v>
      </c>
      <c r="EQ19" s="0" t="e">
        <f aca="false">Ben!188:188-";7#![|"</f>
        <v>#VALUE!</v>
      </c>
      <c r="ER19" s="0" t="e">
        <f aca="false">Ben!189:189-";7#![}"</f>
        <v>#VALUE!</v>
      </c>
      <c r="ES19" s="0" t="e">
        <f aca="false">Ben!190:190-";7#![~"</f>
        <v>#VALUE!</v>
      </c>
      <c r="ET19" s="0" t="e">
        <f aca="false">Ben!191:191-";7#!\#"</f>
        <v>#VALUE!</v>
      </c>
      <c r="EU19" s="0" t="e">
        <f aca="false">Ben!192:192-";7#!\$"</f>
        <v>#VALUE!</v>
      </c>
      <c r="EV19" s="0" t="e">
        <f aca="false">Ben!193:193-";7#!\%"</f>
        <v>#VALUE!</v>
      </c>
      <c r="EW19" s="0" t="e">
        <f aca="false">Ben!194:194-";7#!\&amp;"</f>
        <v>#VALUE!</v>
      </c>
      <c r="EX19" s="0" t="e">
        <f aca="false">Ben!195:195-";7#!\'"</f>
        <v>#VALUE!</v>
      </c>
      <c r="EY19" s="0" t="e">
        <f aca="false">Ben!196:196-";7#!\("</f>
        <v>#VALUE!</v>
      </c>
      <c r="EZ19" s="0" t="e">
        <f aca="false">Ben!197:197-";7#!\)"</f>
        <v>#VALUE!</v>
      </c>
      <c r="FA19" s="0" t="e">
        <f aca="false">Ben!198:198-";7#!\."</f>
        <v>#VALUE!</v>
      </c>
      <c r="FB19" s="0" t="e">
        <f aca="false">Ben!199:199-";7#!\/"</f>
        <v>#VALUE!</v>
      </c>
      <c r="FC19" s="0" t="e">
        <f aca="false">Ben!200:200-";7#!\0"</f>
        <v>#VALUE!</v>
      </c>
      <c r="FD19" s="0" t="e">
        <f aca="false">Ben!201:201-";7#!\1"</f>
        <v>#VALUE!</v>
      </c>
      <c r="FE19" s="0" t="e">
        <f aca="false">Ben!202:202-";7#!\2"</f>
        <v>#VALUE!</v>
      </c>
      <c r="FF19" s="0" t="e">
        <f aca="false">Ben!203:203-";7#!\3"</f>
        <v>#VALUE!</v>
      </c>
      <c r="FG19" s="0" t="e">
        <f aca="false">Ben!204:204-";7#!\4"</f>
        <v>#VALUE!</v>
      </c>
      <c r="FH19" s="0" t="e">
        <f aca="false">Ben!205:205-";7#!\5"</f>
        <v>#VALUE!</v>
      </c>
      <c r="FI19" s="0" t="e">
        <f aca="false">Ben!206:206-";7#!\6"</f>
        <v>#VALUE!</v>
      </c>
      <c r="FJ19" s="0" t="e">
        <f aca="false">Ben!207:207-";7#!\7"</f>
        <v>#VALUE!</v>
      </c>
      <c r="FK19" s="0" t="e">
        <f aca="false">Ben!208:208-";7#!\8"</f>
        <v>#VALUE!</v>
      </c>
      <c r="FL19" s="0" t="e">
        <f aca="false">Ben!209:209-";7#!\9"</f>
        <v>#VALUE!</v>
      </c>
      <c r="FM19" s="0" t="e">
        <f aca="false">Ben!210:210-";7#!\:"</f>
        <v>#VALUE!</v>
      </c>
      <c r="FN19" s="0" t="e">
        <f aca="false">Ben!211:211-";7#!\;"</f>
        <v>#VALUE!</v>
      </c>
      <c r="FO19" s="0" t="e">
        <f aca="false">Ben!212:212-";7#!\&lt;"</f>
        <v>#VALUE!</v>
      </c>
      <c r="FP19" s="0" t="e">
        <f aca="false">Ben!213:213-";7#!\="</f>
        <v>#VALUE!</v>
      </c>
      <c r="FQ19" s="0" t="e">
        <f aca="false">Ben!214:214-";7#!\&gt;"</f>
        <v>#VALUE!</v>
      </c>
      <c r="FR19" s="0" t="e">
        <f aca="false">Ben!215:215-";7#!\?"</f>
        <v>#VALUE!</v>
      </c>
      <c r="FS19" s="0" t="e">
        <f aca="false">Ben!216:216-";7#!\@"</f>
        <v>#VALUE!</v>
      </c>
      <c r="FT19" s="0" t="e">
        <f aca="false">Ben!217:217-";7#!\A"</f>
        <v>#VALUE!</v>
      </c>
      <c r="FU19" s="0" t="e">
        <f aca="false">Ben!218:218-";7#!\B"</f>
        <v>#VALUE!</v>
      </c>
      <c r="FV19" s="0" t="e">
        <f aca="false">Ben!219:219-";7#!\C"</f>
        <v>#VALUE!</v>
      </c>
      <c r="FW19" s="0" t="e">
        <f aca="false">Ben!220:220-";7#!\D"</f>
        <v>#VALUE!</v>
      </c>
      <c r="FX19" s="0" t="e">
        <f aca="false">Ben!221:221-";7#!\E"</f>
        <v>#VALUE!</v>
      </c>
      <c r="FY19" s="0" t="e">
        <f aca="false">Ben!222:222-";7#!\F"</f>
        <v>#VALUE!</v>
      </c>
      <c r="FZ19" s="0" t="e">
        <f aca="false">Ben!223:223-";7#!\G"</f>
        <v>#VALUE!</v>
      </c>
      <c r="GA19" s="0" t="e">
        <f aca="false">Ben!224:224-";7#!\H"</f>
        <v>#VALUE!</v>
      </c>
      <c r="GB19" s="0" t="e">
        <f aca="false">Ben!225:225-";7#!\I"</f>
        <v>#VALUE!</v>
      </c>
      <c r="GC19" s="0" t="e">
        <f aca="false">Ben!226:226-";7#!\J"</f>
        <v>#VALUE!</v>
      </c>
      <c r="GD19" s="0" t="e">
        <f aca="false">Ben!227:227-";7#!\K"</f>
        <v>#VALUE!</v>
      </c>
      <c r="GE19" s="0" t="e">
        <f aca="false">Ben!228:228-";7#!\L"</f>
        <v>#VALUE!</v>
      </c>
      <c r="GF19" s="0" t="e">
        <f aca="false">Ben!229:229-";7#!\M"</f>
        <v>#VALUE!</v>
      </c>
      <c r="GG19" s="0" t="e">
        <f aca="false">Ben!230:230-";7#!\N"</f>
        <v>#VALUE!</v>
      </c>
      <c r="GH19" s="0" t="e">
        <f aca="false">Ben!231:231-";7#!\O"</f>
        <v>#VALUE!</v>
      </c>
      <c r="GI19" s="0" t="e">
        <f aca="false">Ben!A1+";7#!\P"</f>
        <v>#VALUE!</v>
      </c>
      <c r="GJ19" s="0" t="e">
        <f aca="false">Ben!B1+";7#!\Q"</f>
        <v>#VALUE!</v>
      </c>
      <c r="GK19" s="0" t="e">
        <f aca="false">Ben!C1+";7#!\R"</f>
        <v>#VALUE!</v>
      </c>
      <c r="GL19" s="0" t="e">
        <f aca="false">Ben!D1+";7#!\S"</f>
        <v>#VALUE!</v>
      </c>
      <c r="GM19" s="0" t="e">
        <f aca="false">Ben!E1+";7#!\T"</f>
        <v>#VALUE!</v>
      </c>
      <c r="GN19" s="0" t="e">
        <f aca="false">Ben!F1+";7#!\U"</f>
        <v>#VALUE!</v>
      </c>
      <c r="GO19" s="0" t="e">
        <f aca="false">Ben!G1+";7#!\V"</f>
        <v>#VALUE!</v>
      </c>
      <c r="GP19" s="0" t="e">
        <f aca="false">Ben!H1+";7#!\W"</f>
        <v>#VALUE!</v>
      </c>
      <c r="GQ19" s="0" t="e">
        <f aca="false">Ben!I1+";7#!\X"</f>
        <v>#VALUE!</v>
      </c>
      <c r="GR19" s="0" t="e">
        <f aca="false">Ben!J1+";7#!\Y"</f>
        <v>#VALUE!</v>
      </c>
      <c r="GS19" s="0" t="e">
        <f aca="false">Ben!K1+";7#!\Z"</f>
        <v>#VALUE!</v>
      </c>
      <c r="GT19" s="0" t="e">
        <f aca="false">Ben!L1+";7#!\["</f>
        <v>#VALUE!</v>
      </c>
      <c r="GU19" s="0" t="e">
        <f aca="false">Ben!M1+";7#!\\"</f>
        <v>#VALUE!</v>
      </c>
      <c r="GV19" s="0" t="e">
        <f aca="false">Ben!N1+";7#!\]"</f>
        <v>#VALUE!</v>
      </c>
      <c r="GW19" s="0" t="e">
        <f aca="false">Ben!O1+";7#!\^"</f>
        <v>#VALUE!</v>
      </c>
      <c r="GX19" s="0" t="e">
        <f aca="false">Ben!P1+";7#!\_"</f>
        <v>#VALUE!</v>
      </c>
      <c r="GY19" s="0" t="e">
        <f aca="false">Ben!A2+";7#!\`"</f>
        <v>#VALUE!</v>
      </c>
      <c r="GZ19" s="0" t="e">
        <f aca="false">Ben!B2+";7#!\a"</f>
        <v>#VALUE!</v>
      </c>
      <c r="HA19" s="0" t="e">
        <f aca="false">Ben!C2+";7#!\b"</f>
        <v>#VALUE!</v>
      </c>
      <c r="HB19" s="0" t="e">
        <f aca="false">Ben!D2+";7#!\c"</f>
        <v>#VALUE!</v>
      </c>
      <c r="HC19" s="0" t="e">
        <f aca="false">Ben!E2+";7#!\d"</f>
        <v>#VALUE!</v>
      </c>
      <c r="HD19" s="0" t="e">
        <f aca="false">Ben!F2+";7#!\e"</f>
        <v>#VALUE!</v>
      </c>
      <c r="HE19" s="0" t="e">
        <f aca="false">Ben!G2+";7#!\f"</f>
        <v>#VALUE!</v>
      </c>
      <c r="HF19" s="0" t="e">
        <f aca="false">Ben!H2+";7#!\g"</f>
        <v>#VALUE!</v>
      </c>
      <c r="HG19" s="0" t="e">
        <f aca="false">Ben!I2+";7#!\h"</f>
        <v>#VALUE!</v>
      </c>
      <c r="HH19" s="0" t="e">
        <f aca="false">Ben!J2+";7#!\i"</f>
        <v>#VALUE!</v>
      </c>
      <c r="HI19" s="0" t="e">
        <f aca="false">Ben!K2+";7#!\j"</f>
        <v>#VALUE!</v>
      </c>
      <c r="HJ19" s="0" t="e">
        <f aca="false">Ben!L2+";7#!\k"</f>
        <v>#VALUE!</v>
      </c>
      <c r="HK19" s="0" t="e">
        <f aca="false">Ben!M2+";7#!\l"</f>
        <v>#VALUE!</v>
      </c>
      <c r="HL19" s="0" t="e">
        <f aca="false">Ben!N2+";7#!\m"</f>
        <v>#VALUE!</v>
      </c>
      <c r="HM19" s="0" t="e">
        <f aca="false">Ben!O2+";7#!\n"</f>
        <v>#VALUE!</v>
      </c>
      <c r="HN19" s="0" t="e">
        <f aca="false">Ben!P2+";7#!\o"</f>
        <v>#VALUE!</v>
      </c>
      <c r="HO19" s="0" t="e">
        <f aca="false">Ben!Q2+";7#!\p"</f>
        <v>#VALUE!</v>
      </c>
      <c r="HP19" s="0" t="e">
        <f aca="false">Ben!A3+";7#!\q"</f>
        <v>#VALUE!</v>
      </c>
      <c r="HQ19" s="0" t="e">
        <f aca="false">Ben!B3+";7#!\r"</f>
        <v>#VALUE!</v>
      </c>
      <c r="HR19" s="0" t="e">
        <f aca="false">Ben!C3+";7#!\s"</f>
        <v>#VALUE!</v>
      </c>
      <c r="HS19" s="0" t="e">
        <f aca="false">Ben!D3+";7#!\t"</f>
        <v>#VALUE!</v>
      </c>
      <c r="HT19" s="0" t="e">
        <f aca="false">Ben!E3+";7#!\u"</f>
        <v>#VALUE!</v>
      </c>
      <c r="HU19" s="0" t="e">
        <f aca="false">Ben!F3+";7#!\v"</f>
        <v>#VALUE!</v>
      </c>
      <c r="HV19" s="0" t="e">
        <f aca="false">Ben!G3+";7#!\w"</f>
        <v>#VALUE!</v>
      </c>
      <c r="HW19" s="0" t="e">
        <f aca="false">Ben!H3+";7#!\x"</f>
        <v>#VALUE!</v>
      </c>
      <c r="HX19" s="0" t="e">
        <f aca="false">Ben!I3+";7#!\y"</f>
        <v>#VALUE!</v>
      </c>
      <c r="HY19" s="0" t="e">
        <f aca="false">Ben!J3+";7#!\z"</f>
        <v>#VALUE!</v>
      </c>
      <c r="HZ19" s="0" t="e">
        <f aca="false">Ben!K3+";7#!\{"</f>
        <v>#VALUE!</v>
      </c>
      <c r="IA19" s="0" t="e">
        <f aca="false">Ben!L3+";7#!\|"</f>
        <v>#VALUE!</v>
      </c>
      <c r="IB19" s="0" t="e">
        <f aca="false">Ben!M3+";7#!\}"</f>
        <v>#VALUE!</v>
      </c>
      <c r="IC19" s="0" t="e">
        <f aca="false">Ben!N3+";7#!\~"</f>
        <v>#VALUE!</v>
      </c>
      <c r="ID19" s="0" t="e">
        <f aca="false">Ben!O3+";7#!]#"</f>
        <v>#VALUE!</v>
      </c>
      <c r="IE19" s="0" t="e">
        <f aca="false">Ben!P3+";7#!]$"</f>
        <v>#VALUE!</v>
      </c>
      <c r="IF19" s="0" t="e">
        <f aca="false">Ben!Q3+";7#!]%"</f>
        <v>#VALUE!</v>
      </c>
      <c r="IG19" s="0" t="e">
        <f aca="false">Ben!A4+";7#!]&amp;"</f>
        <v>#VALUE!</v>
      </c>
      <c r="IH19" s="0" t="e">
        <f aca="false">Ben!B4+";7#!]'"</f>
        <v>#VALUE!</v>
      </c>
      <c r="II19" s="0" t="e">
        <f aca="false">Ben!C4+";7#!]("</f>
        <v>#VALUE!</v>
      </c>
      <c r="IJ19" s="0" t="e">
        <f aca="false">Ben!D4+";7#!])"</f>
        <v>#VALUE!</v>
      </c>
      <c r="IK19" s="0" t="e">
        <f aca="false">Ben!E4+";7#!]."</f>
        <v>#VALUE!</v>
      </c>
      <c r="IL19" s="0" t="e">
        <f aca="false">Ben!F4+";7#!]/"</f>
        <v>#VALUE!</v>
      </c>
      <c r="IM19" s="0" t="e">
        <f aca="false">Ben!G4+";7#!]0"</f>
        <v>#VALUE!</v>
      </c>
      <c r="IN19" s="0" t="e">
        <f aca="false">Ben!H4+";7#!]1"</f>
        <v>#VALUE!</v>
      </c>
      <c r="IO19" s="0" t="e">
        <f aca="false">Ben!I4+";7#!]2"</f>
        <v>#VALUE!</v>
      </c>
      <c r="IP19" s="0" t="e">
        <f aca="false">Ben!J4+";7#!]3"</f>
        <v>#VALUE!</v>
      </c>
      <c r="IQ19" s="0" t="e">
        <f aca="false">Ben!K4+";7#!]4"</f>
        <v>#VALUE!</v>
      </c>
      <c r="IR19" s="0" t="e">
        <f aca="false">Ben!L4+";7#!]5"</f>
        <v>#VALUE!</v>
      </c>
      <c r="IS19" s="0" t="e">
        <f aca="false">Ben!M4+";7#!]6"</f>
        <v>#VALUE!</v>
      </c>
      <c r="IT19" s="0" t="e">
        <f aca="false">Ben!N4+";7#!]7"</f>
        <v>#VALUE!</v>
      </c>
      <c r="IU19" s="0" t="e">
        <f aca="false">Ben!O4+";7#!]8"</f>
        <v>#VALUE!</v>
      </c>
      <c r="IV19" s="0" t="e">
        <f aca="false">Ben!P4+";7#!]9"</f>
        <v>#VALUE!</v>
      </c>
    </row>
    <row r="20" customFormat="false" ht="15" hidden="false" customHeight="false" outlineLevel="0" collapsed="false">
      <c r="F20" s="0" t="e">
        <f aca="false">Ben!Q4+";7#!]:"</f>
        <v>#VALUE!</v>
      </c>
      <c r="G20" s="0" t="e">
        <f aca="false">Ben!A5+";7#!];"</f>
        <v>#VALUE!</v>
      </c>
      <c r="H20" s="0" t="e">
        <f aca="false">Ben!B5+";7#!]&lt;"</f>
        <v>#VALUE!</v>
      </c>
      <c r="I20" s="0" t="e">
        <f aca="false">Ben!C5+";7#!]="</f>
        <v>#VALUE!</v>
      </c>
      <c r="J20" s="0" t="e">
        <f aca="false">Ben!D5+";7#!]&gt;"</f>
        <v>#VALUE!</v>
      </c>
      <c r="K20" s="0" t="e">
        <f aca="false">Ben!E5+";7#!]?"</f>
        <v>#VALUE!</v>
      </c>
      <c r="L20" s="0" t="e">
        <f aca="false">Ben!F5+";7#!]@"</f>
        <v>#VALUE!</v>
      </c>
      <c r="M20" s="0" t="e">
        <f aca="false">Ben!G5+";7#!]A"</f>
        <v>#VALUE!</v>
      </c>
      <c r="N20" s="0" t="e">
        <f aca="false">Ben!H5+";7#!]B"</f>
        <v>#VALUE!</v>
      </c>
      <c r="O20" s="0" t="e">
        <f aca="false">Ben!I5+";7#!]C"</f>
        <v>#VALUE!</v>
      </c>
      <c r="P20" s="0" t="e">
        <f aca="false">Ben!J5+";7#!]D"</f>
        <v>#VALUE!</v>
      </c>
      <c r="Q20" s="0" t="e">
        <f aca="false">Ben!K5+";7#!]E"</f>
        <v>#VALUE!</v>
      </c>
      <c r="R20" s="0" t="e">
        <f aca="false">Ben!L5+";7#!]F"</f>
        <v>#VALUE!</v>
      </c>
      <c r="S20" s="0" t="e">
        <f aca="false">Ben!M5+";7#!]G"</f>
        <v>#VALUE!</v>
      </c>
      <c r="T20" s="0" t="e">
        <f aca="false">Ben!N5+";7#!]H"</f>
        <v>#VALUE!</v>
      </c>
      <c r="U20" s="0" t="e">
        <f aca="false">Ben!O5+";7#!]I"</f>
        <v>#VALUE!</v>
      </c>
      <c r="V20" s="0" t="e">
        <f aca="false">Ben!P5+";7#!]J"</f>
        <v>#VALUE!</v>
      </c>
      <c r="W20" s="0" t="e">
        <f aca="false">Ben!A6+";7#!]K"</f>
        <v>#VALUE!</v>
      </c>
      <c r="X20" s="0" t="e">
        <f aca="false">Ben!B6+";7#!]L"</f>
        <v>#VALUE!</v>
      </c>
      <c r="Y20" s="0" t="e">
        <f aca="false">Ben!C6+";7#!]M"</f>
        <v>#VALUE!</v>
      </c>
      <c r="Z20" s="0" t="e">
        <f aca="false">Ben!D6+";7#!]N"</f>
        <v>#VALUE!</v>
      </c>
      <c r="AA20" s="0" t="e">
        <f aca="false">Ben!E6+";7#!]O"</f>
        <v>#VALUE!</v>
      </c>
      <c r="AB20" s="0" t="e">
        <f aca="false">Ben!F6+";7#!]P"</f>
        <v>#VALUE!</v>
      </c>
      <c r="AC20" s="0" t="e">
        <f aca="false">Ben!G6+";7#!]Q"</f>
        <v>#VALUE!</v>
      </c>
      <c r="AD20" s="0" t="e">
        <f aca="false">Ben!H6+";7#!]R"</f>
        <v>#VALUE!</v>
      </c>
      <c r="AE20" s="0" t="e">
        <f aca="false">Ben!I6+";7#!]S"</f>
        <v>#VALUE!</v>
      </c>
      <c r="AF20" s="0" t="e">
        <f aca="false">Ben!J6+";7#!]T"</f>
        <v>#VALUE!</v>
      </c>
      <c r="AG20" s="0" t="e">
        <f aca="false">Ben!K6+";7#!]U"</f>
        <v>#VALUE!</v>
      </c>
      <c r="AH20" s="0" t="e">
        <f aca="false">Ben!L6+";7#!]V"</f>
        <v>#VALUE!</v>
      </c>
      <c r="AI20" s="0" t="e">
        <f aca="false">Ben!M6+";7#!]W"</f>
        <v>#VALUE!</v>
      </c>
      <c r="AJ20" s="0" t="e">
        <f aca="false">Ben!N6+";7#!]X"</f>
        <v>#VALUE!</v>
      </c>
      <c r="AK20" s="0" t="e">
        <f aca="false">Ben!O6+";7#!]Y"</f>
        <v>#VALUE!</v>
      </c>
      <c r="AL20" s="0" t="e">
        <f aca="false">Ben!P6+";7#!]Z"</f>
        <v>#VALUE!</v>
      </c>
      <c r="AM20" s="0" t="e">
        <f aca="false">Ben!A7+";7#!]["</f>
        <v>#VALUE!</v>
      </c>
      <c r="AN20" s="0" t="e">
        <f aca="false">Ben!B7+";7#!]\"</f>
        <v>#VALUE!</v>
      </c>
      <c r="AO20" s="0" t="e">
        <f aca="false">Ben!C7+";7#!]]"</f>
        <v>#VALUE!</v>
      </c>
      <c r="AP20" s="0" t="e">
        <f aca="false">Ben!D7+";7#!]^"</f>
        <v>#VALUE!</v>
      </c>
      <c r="AQ20" s="0" t="e">
        <f aca="false">Ben!E7+";7#!]_"</f>
        <v>#VALUE!</v>
      </c>
      <c r="AR20" s="0" t="e">
        <f aca="false">Ben!F7+";7#!]`"</f>
        <v>#VALUE!</v>
      </c>
      <c r="AS20" s="0" t="e">
        <f aca="false">Ben!G7+";7#!]a"</f>
        <v>#VALUE!</v>
      </c>
      <c r="AT20" s="0" t="e">
        <f aca="false">Ben!H7+";7#!]b"</f>
        <v>#VALUE!</v>
      </c>
      <c r="AU20" s="0" t="e">
        <f aca="false">Ben!I7+";7#!]c"</f>
        <v>#VALUE!</v>
      </c>
      <c r="AV20" s="0" t="e">
        <f aca="false">Ben!J7+";7#!]d"</f>
        <v>#VALUE!</v>
      </c>
      <c r="AW20" s="0" t="e">
        <f aca="false">Ben!K7+";7#!]e"</f>
        <v>#VALUE!</v>
      </c>
      <c r="AX20" s="0" t="e">
        <f aca="false">Ben!L7+";7#!]f"</f>
        <v>#VALUE!</v>
      </c>
      <c r="AY20" s="0" t="e">
        <f aca="false">Ben!M7+";7#!]g"</f>
        <v>#VALUE!</v>
      </c>
      <c r="AZ20" s="0" t="e">
        <f aca="false">Ben!N7+";7#!]h"</f>
        <v>#VALUE!</v>
      </c>
      <c r="BA20" s="0" t="e">
        <f aca="false">Ben!O7+";7#!]i"</f>
        <v>#VALUE!</v>
      </c>
      <c r="BB20" s="0" t="e">
        <f aca="false">Ben!P7+";7#!]j"</f>
        <v>#VALUE!</v>
      </c>
      <c r="BC20" s="0" t="e">
        <f aca="false">Ben!A8+";7#!]k"</f>
        <v>#VALUE!</v>
      </c>
      <c r="BD20" s="0" t="e">
        <f aca="false">Ben!B8+";7#!]l"</f>
        <v>#VALUE!</v>
      </c>
      <c r="BE20" s="0" t="e">
        <f aca="false">Ben!C8+";7#!]m"</f>
        <v>#VALUE!</v>
      </c>
      <c r="BF20" s="0" t="e">
        <f aca="false">Ben!D8+";7#!]n"</f>
        <v>#VALUE!</v>
      </c>
      <c r="BG20" s="0" t="e">
        <f aca="false">Ben!E8+";7#!]o"</f>
        <v>#VALUE!</v>
      </c>
      <c r="BH20" s="0" t="e">
        <f aca="false">Ben!F8+";7#!]p"</f>
        <v>#VALUE!</v>
      </c>
      <c r="BI20" s="0" t="e">
        <f aca="false">Ben!G8+";7#!]q"</f>
        <v>#VALUE!</v>
      </c>
      <c r="BJ20" s="0" t="e">
        <f aca="false">Ben!H8+";7#!]r"</f>
        <v>#VALUE!</v>
      </c>
      <c r="BK20" s="0" t="e">
        <f aca="false">Ben!I8+";7#!]s"</f>
        <v>#VALUE!</v>
      </c>
      <c r="BL20" s="0" t="e">
        <f aca="false">Ben!J8+";7#!]t"</f>
        <v>#VALUE!</v>
      </c>
      <c r="BM20" s="0" t="e">
        <f aca="false">Ben!K8+";7#!]u"</f>
        <v>#VALUE!</v>
      </c>
      <c r="BN20" s="0" t="e">
        <f aca="false">Ben!L8+";7#!]v"</f>
        <v>#VALUE!</v>
      </c>
      <c r="BO20" s="0" t="e">
        <f aca="false">Ben!M8+";7#!]w"</f>
        <v>#VALUE!</v>
      </c>
      <c r="BP20" s="0" t="e">
        <f aca="false">Ben!N8+";7#!]x"</f>
        <v>#VALUE!</v>
      </c>
      <c r="BQ20" s="0" t="e">
        <f aca="false">Ben!O8+";7#!]y"</f>
        <v>#VALUE!</v>
      </c>
      <c r="BR20" s="0" t="e">
        <f aca="false">Ben!P8+";7#!]z"</f>
        <v>#VALUE!</v>
      </c>
      <c r="BS20" s="0" t="e">
        <f aca="false">Ben!A9+";7#!]{"</f>
        <v>#VALUE!</v>
      </c>
      <c r="BT20" s="0" t="e">
        <f aca="false">Ben!B9+";7#!]|"</f>
        <v>#VALUE!</v>
      </c>
      <c r="BU20" s="0" t="e">
        <f aca="false">Ben!C9+";7#!]}"</f>
        <v>#VALUE!</v>
      </c>
      <c r="BV20" s="0" t="e">
        <f aca="false">Ben!D9+";7#!]~"</f>
        <v>#VALUE!</v>
      </c>
      <c r="BW20" s="0" t="e">
        <f aca="false">Ben!E9+";7#!^#"</f>
        <v>#VALUE!</v>
      </c>
      <c r="BX20" s="0" t="e">
        <f aca="false">Ben!F9+";7#!^$"</f>
        <v>#VALUE!</v>
      </c>
      <c r="BY20" s="0" t="e">
        <f aca="false">Ben!G9+";7#!^%"</f>
        <v>#VALUE!</v>
      </c>
      <c r="BZ20" s="0" t="e">
        <f aca="false">Ben!H9+";7#!^&amp;"</f>
        <v>#VALUE!</v>
      </c>
      <c r="CA20" s="35" t="e">
        <f aca="false">Ben!I9+";7#!^'"</f>
        <v>#VALUE!</v>
      </c>
      <c r="CB20" s="0" t="e">
        <f aca="false">Ben!J9+";7#!^("</f>
        <v>#VALUE!</v>
      </c>
      <c r="CC20" s="0" t="e">
        <f aca="false">Ben!K9+";7#!^)"</f>
        <v>#VALUE!</v>
      </c>
      <c r="CD20" s="0" t="e">
        <f aca="false">Ben!L9+";7#!^."</f>
        <v>#VALUE!</v>
      </c>
      <c r="CE20" s="0" t="e">
        <f aca="false">Ben!M9+";7#!^/"</f>
        <v>#VALUE!</v>
      </c>
      <c r="CF20" s="0" t="e">
        <f aca="false">Ben!N9+";7#!^0"</f>
        <v>#VALUE!</v>
      </c>
      <c r="CG20" s="0" t="e">
        <f aca="false">Ben!O9+";7#!^1"</f>
        <v>#VALUE!</v>
      </c>
      <c r="CH20" s="0" t="e">
        <f aca="false">Ben!P9+";7#!^2"</f>
        <v>#VALUE!</v>
      </c>
      <c r="CI20" s="0" t="e">
        <f aca="false">Ben!A10+";7#!^3"</f>
        <v>#VALUE!</v>
      </c>
      <c r="CJ20" s="0" t="e">
        <f aca="false">Ben!B10+";7#!^4"</f>
        <v>#VALUE!</v>
      </c>
      <c r="CK20" s="0" t="e">
        <f aca="false">Ben!C10+";7#!^5"</f>
        <v>#VALUE!</v>
      </c>
      <c r="CL20" s="0" t="e">
        <f aca="false">Ben!D10+";7#!^6"</f>
        <v>#VALUE!</v>
      </c>
      <c r="CM20" s="0" t="e">
        <f aca="false">Ben!E10+";7#!^7"</f>
        <v>#VALUE!</v>
      </c>
      <c r="CN20" s="0" t="e">
        <f aca="false">Ben!F10+";7#!^8"</f>
        <v>#VALUE!</v>
      </c>
      <c r="CO20" s="0" t="e">
        <f aca="false">Ben!G10+";7#!^9"</f>
        <v>#VALUE!</v>
      </c>
      <c r="CP20" s="0" t="e">
        <f aca="false">Ben!H10+";7#!^:"</f>
        <v>#VALUE!</v>
      </c>
      <c r="CQ20" s="35" t="e">
        <f aca="false">Ben!I10+";7#!^;"</f>
        <v>#VALUE!</v>
      </c>
      <c r="CR20" s="0" t="e">
        <f aca="false">Ben!J10+";7#!^&lt;"</f>
        <v>#VALUE!</v>
      </c>
      <c r="CS20" s="0" t="e">
        <f aca="false">Ben!K10+";7#!^="</f>
        <v>#VALUE!</v>
      </c>
      <c r="CT20" s="0" t="e">
        <f aca="false">Ben!L10+";7#!^&gt;"</f>
        <v>#VALUE!</v>
      </c>
      <c r="CU20" s="0" t="e">
        <f aca="false">Ben!M10+";7#!^?"</f>
        <v>#VALUE!</v>
      </c>
      <c r="CV20" s="0" t="e">
        <f aca="false">Ben!N10+";7#!^@"</f>
        <v>#VALUE!</v>
      </c>
      <c r="CW20" s="0" t="e">
        <f aca="false">Ben!O10+";7#!^A"</f>
        <v>#VALUE!</v>
      </c>
      <c r="CX20" s="0" t="e">
        <f aca="false">Ben!P10+";7#!^B"</f>
        <v>#VALUE!</v>
      </c>
      <c r="CY20" s="0" t="e">
        <f aca="false">Ben!A11+";7#!^C"</f>
        <v>#VALUE!</v>
      </c>
      <c r="CZ20" s="0" t="e">
        <f aca="false">Ben!B11+";7#!^D"</f>
        <v>#VALUE!</v>
      </c>
      <c r="DA20" s="0" t="e">
        <f aca="false">Ben!C11+";7#!^E"</f>
        <v>#VALUE!</v>
      </c>
      <c r="DB20" s="0" t="e">
        <f aca="false">Ben!D11+";7#!^F"</f>
        <v>#VALUE!</v>
      </c>
      <c r="DC20" s="0" t="e">
        <f aca="false">Ben!E11+";7#!^G"</f>
        <v>#VALUE!</v>
      </c>
      <c r="DD20" s="0" t="e">
        <f aca="false">Ben!F11+";7#!^H"</f>
        <v>#VALUE!</v>
      </c>
      <c r="DE20" s="0" t="e">
        <f aca="false">Ben!G11+";7#!^I"</f>
        <v>#VALUE!</v>
      </c>
      <c r="DF20" s="0" t="e">
        <f aca="false">Ben!H11+";7#!^J"</f>
        <v>#VALUE!</v>
      </c>
      <c r="DG20" s="0" t="e">
        <f aca="false">Ben!I11+";7#!^K"</f>
        <v>#VALUE!</v>
      </c>
      <c r="DH20" s="0" t="e">
        <f aca="false">Ben!J11+";7#!^L"</f>
        <v>#VALUE!</v>
      </c>
      <c r="DI20" s="0" t="e">
        <f aca="false">Ben!K11+";7#!^M"</f>
        <v>#VALUE!</v>
      </c>
      <c r="DJ20" s="0" t="e">
        <f aca="false">Ben!L11+";7#!^N"</f>
        <v>#VALUE!</v>
      </c>
      <c r="DK20" s="0" t="e">
        <f aca="false">Ben!M11+";7#!^O"</f>
        <v>#VALUE!</v>
      </c>
      <c r="DL20" s="0" t="e">
        <f aca="false">Ben!N11+";7#!^P"</f>
        <v>#VALUE!</v>
      </c>
      <c r="DM20" s="0" t="e">
        <f aca="false">Ben!O11+";7#!^Q"</f>
        <v>#VALUE!</v>
      </c>
      <c r="DN20" s="0" t="e">
        <f aca="false">Ben!P11+";7#!^R"</f>
        <v>#VALUE!</v>
      </c>
      <c r="DO20" s="0" t="e">
        <f aca="false">Ben!A12+";7#!^S"</f>
        <v>#VALUE!</v>
      </c>
      <c r="DP20" s="0" t="e">
        <f aca="false">Ben!B12+";7#!^T"</f>
        <v>#VALUE!</v>
      </c>
      <c r="DQ20" s="0" t="e">
        <f aca="false">Ben!C12+";7#!^U"</f>
        <v>#VALUE!</v>
      </c>
      <c r="DR20" s="0" t="e">
        <f aca="false">Ben!D12+";7#!^V"</f>
        <v>#VALUE!</v>
      </c>
      <c r="DS20" s="0" t="e">
        <f aca="false">Ben!E12+";7#!^W"</f>
        <v>#VALUE!</v>
      </c>
      <c r="DT20" s="0" t="e">
        <f aca="false">Ben!F12+";7#!^X"</f>
        <v>#VALUE!</v>
      </c>
      <c r="DU20" s="0" t="e">
        <f aca="false">Ben!G12+";7#!^Y"</f>
        <v>#VALUE!</v>
      </c>
      <c r="DV20" s="0" t="e">
        <f aca="false">Ben!H12+";7#!^Z"</f>
        <v>#VALUE!</v>
      </c>
      <c r="DW20" s="0" t="e">
        <f aca="false">Ben!I12+";7#!^["</f>
        <v>#VALUE!</v>
      </c>
      <c r="DX20" s="0" t="e">
        <f aca="false">Ben!J12+";7#!^\"</f>
        <v>#VALUE!</v>
      </c>
      <c r="DY20" s="0" t="e">
        <f aca="false">Ben!K12+";7#!^]"</f>
        <v>#VALUE!</v>
      </c>
      <c r="DZ20" s="0" t="e">
        <f aca="false">Ben!L12+";7#!^^"</f>
        <v>#VALUE!</v>
      </c>
      <c r="EA20" s="0" t="e">
        <f aca="false">Ben!M12+";7#!^_"</f>
        <v>#VALUE!</v>
      </c>
      <c r="EB20" s="0" t="e">
        <f aca="false">Ben!N12+";7#!^`"</f>
        <v>#VALUE!</v>
      </c>
      <c r="EC20" s="0" t="e">
        <f aca="false">Ben!O12+";7#!^a"</f>
        <v>#VALUE!</v>
      </c>
      <c r="ED20" s="0" t="e">
        <f aca="false">Ben!P12+";7#!^b"</f>
        <v>#VALUE!</v>
      </c>
      <c r="EE20" s="0" t="e">
        <f aca="false">Ben!A13+";7#!^c"</f>
        <v>#VALUE!</v>
      </c>
      <c r="EF20" s="0" t="e">
        <f aca="false">Ben!B13+";7#!^d"</f>
        <v>#VALUE!</v>
      </c>
      <c r="EG20" s="0" t="e">
        <f aca="false">Ben!C13+";7#!^e"</f>
        <v>#VALUE!</v>
      </c>
      <c r="EH20" s="0" t="e">
        <f aca="false">Ben!D13+";7#!^f"</f>
        <v>#VALUE!</v>
      </c>
      <c r="EI20" s="0" t="e">
        <f aca="false">Ben!E13+";7#!^g"</f>
        <v>#VALUE!</v>
      </c>
      <c r="EJ20" s="0" t="e">
        <f aca="false">Ben!F13+";7#!^h"</f>
        <v>#VALUE!</v>
      </c>
      <c r="EK20" s="0" t="e">
        <f aca="false">Ben!G13+";7#!^i"</f>
        <v>#VALUE!</v>
      </c>
      <c r="EL20" s="0" t="e">
        <f aca="false">Ben!H13+";7#!^j"</f>
        <v>#VALUE!</v>
      </c>
      <c r="EM20" s="0" t="e">
        <f aca="false">Ben!I13+";7#!^k"</f>
        <v>#VALUE!</v>
      </c>
      <c r="EN20" s="0" t="e">
        <f aca="false">Ben!J13+";7#!^l"</f>
        <v>#VALUE!</v>
      </c>
      <c r="EO20" s="0" t="e">
        <f aca="false">Ben!K13+";7#!^m"</f>
        <v>#VALUE!</v>
      </c>
      <c r="EP20" s="0" t="e">
        <f aca="false">Ben!L13+";7#!^n"</f>
        <v>#VALUE!</v>
      </c>
      <c r="EQ20" s="0" t="e">
        <f aca="false">Ben!M13+";7#!^o"</f>
        <v>#VALUE!</v>
      </c>
      <c r="ER20" s="0" t="e">
        <f aca="false">Ben!N13+";7#!^p"</f>
        <v>#VALUE!</v>
      </c>
      <c r="ES20" s="0" t="e">
        <f aca="false">Ben!O13+";7#!^q"</f>
        <v>#VALUE!</v>
      </c>
      <c r="ET20" s="0" t="e">
        <f aca="false">Ben!P13+";7#!^r"</f>
        <v>#VALUE!</v>
      </c>
      <c r="EU20" s="0" t="e">
        <f aca="false">Ben!A14+";7#!^s"</f>
        <v>#VALUE!</v>
      </c>
      <c r="EV20" s="0" t="e">
        <f aca="false">Ben!B14+";7#!^t"</f>
        <v>#VALUE!</v>
      </c>
      <c r="EW20" s="0" t="e">
        <f aca="false">Ben!C14+";7#!^u"</f>
        <v>#VALUE!</v>
      </c>
      <c r="EX20" s="0" t="e">
        <f aca="false">Ben!D14+";7#!^v"</f>
        <v>#VALUE!</v>
      </c>
      <c r="EY20" s="0" t="e">
        <f aca="false">Ben!E14+";7#!^w"</f>
        <v>#VALUE!</v>
      </c>
      <c r="EZ20" s="0" t="e">
        <f aca="false">Ben!F14+";7#!^x"</f>
        <v>#VALUE!</v>
      </c>
      <c r="FA20" s="0" t="e">
        <f aca="false">Ben!G14+";7#!^y"</f>
        <v>#VALUE!</v>
      </c>
      <c r="FB20" s="0" t="e">
        <f aca="false">Ben!H14+";7#!^z"</f>
        <v>#VALUE!</v>
      </c>
      <c r="FC20" s="0" t="e">
        <f aca="false">Ben!I14+";7#!^{"</f>
        <v>#VALUE!</v>
      </c>
      <c r="FD20" s="0" t="e">
        <f aca="false">Ben!J14+";7#!^|"</f>
        <v>#VALUE!</v>
      </c>
      <c r="FE20" s="0" t="e">
        <f aca="false">Ben!K14+";7#!^}"</f>
        <v>#VALUE!</v>
      </c>
      <c r="FF20" s="0" t="e">
        <f aca="false">Ben!L14+";7#!^~"</f>
        <v>#VALUE!</v>
      </c>
      <c r="FG20" s="0" t="e">
        <f aca="false">Ben!M14+";7#!_#"</f>
        <v>#VALUE!</v>
      </c>
      <c r="FH20" s="0" t="e">
        <f aca="false">Ben!N14+";7#!_$"</f>
        <v>#VALUE!</v>
      </c>
      <c r="FI20" s="0" t="e">
        <f aca="false">Ben!O14+";7#!_%"</f>
        <v>#VALUE!</v>
      </c>
      <c r="FJ20" s="0" t="e">
        <f aca="false">Ben!P14+";7#!_&amp;"</f>
        <v>#VALUE!</v>
      </c>
      <c r="FK20" s="0" t="e">
        <f aca="false">Ben!A15+";7#!_'"</f>
        <v>#VALUE!</v>
      </c>
      <c r="FL20" s="0" t="e">
        <f aca="false">Ben!B15+";7#!_("</f>
        <v>#VALUE!</v>
      </c>
      <c r="FM20" s="0" t="e">
        <f aca="false">Ben!C15+";7#!_)"</f>
        <v>#VALUE!</v>
      </c>
      <c r="FN20" s="0" t="e">
        <f aca="false">Ben!D15+";7#!_."</f>
        <v>#VALUE!</v>
      </c>
      <c r="FO20" s="0" t="e">
        <f aca="false">Ben!E15+";7#!_/"</f>
        <v>#VALUE!</v>
      </c>
      <c r="FP20" s="0" t="e">
        <f aca="false">Ben!F15+";7#!_0"</f>
        <v>#VALUE!</v>
      </c>
      <c r="FQ20" s="0" t="e">
        <f aca="false">Ben!G15+";7#!_1"</f>
        <v>#VALUE!</v>
      </c>
      <c r="FR20" s="0" t="e">
        <f aca="false">Ben!H15+";7#!_2"</f>
        <v>#VALUE!</v>
      </c>
      <c r="FS20" s="0" t="e">
        <f aca="false">Ben!I15+";7#!_3"</f>
        <v>#VALUE!</v>
      </c>
      <c r="FT20" s="0" t="e">
        <f aca="false">Ben!J15+";7#!_4"</f>
        <v>#VALUE!</v>
      </c>
      <c r="FU20" s="0" t="e">
        <f aca="false">Ben!K15+";7#!_5"</f>
        <v>#VALUE!</v>
      </c>
      <c r="FV20" s="0" t="e">
        <f aca="false">Ben!L15+";7#!_6"</f>
        <v>#VALUE!</v>
      </c>
      <c r="FW20" s="0" t="e">
        <f aca="false">Ben!M15+";7#!_7"</f>
        <v>#VALUE!</v>
      </c>
      <c r="FX20" s="0" t="e">
        <f aca="false">Ben!N15+";7#!_8"</f>
        <v>#VALUE!</v>
      </c>
      <c r="FY20" s="0" t="e">
        <f aca="false">Ben!O15+";7#!_9"</f>
        <v>#VALUE!</v>
      </c>
      <c r="FZ20" s="0" t="e">
        <f aca="false">Ben!P15+";7#!_:"</f>
        <v>#VALUE!</v>
      </c>
      <c r="GA20" s="0" t="e">
        <f aca="false">Ben!A16+";7#!_;"</f>
        <v>#VALUE!</v>
      </c>
      <c r="GB20" s="0" t="e">
        <f aca="false">Ben!B16+";7#!_&lt;"</f>
        <v>#VALUE!</v>
      </c>
      <c r="GC20" s="0" t="e">
        <f aca="false">Ben!C16+";7#!_="</f>
        <v>#VALUE!</v>
      </c>
      <c r="GD20" s="0" t="e">
        <f aca="false">Ben!D16+";7#!_&gt;"</f>
        <v>#VALUE!</v>
      </c>
      <c r="GE20" s="0" t="e">
        <f aca="false">Ben!E16+";7#!_?"</f>
        <v>#VALUE!</v>
      </c>
      <c r="GF20" s="0" t="e">
        <f aca="false">Ben!F16+";7#!_@"</f>
        <v>#VALUE!</v>
      </c>
      <c r="GG20" s="0" t="e">
        <f aca="false">Ben!G16+";7#!_A"</f>
        <v>#VALUE!</v>
      </c>
      <c r="GH20" s="0" t="e">
        <f aca="false">Ben!H16+";7#!_B"</f>
        <v>#VALUE!</v>
      </c>
      <c r="GI20" s="0" t="e">
        <f aca="false">Ben!I16+";7#!_C"</f>
        <v>#VALUE!</v>
      </c>
      <c r="GJ20" s="0" t="e">
        <f aca="false">Ben!J16+";7#!_D"</f>
        <v>#VALUE!</v>
      </c>
      <c r="GK20" s="0" t="e">
        <f aca="false">Ben!K16+";7#!_E"</f>
        <v>#VALUE!</v>
      </c>
      <c r="GL20" s="0" t="e">
        <f aca="false">Ben!L16+";7#!_F"</f>
        <v>#VALUE!</v>
      </c>
      <c r="GM20" s="0" t="e">
        <f aca="false">Ben!M16+";7#!_G"</f>
        <v>#VALUE!</v>
      </c>
      <c r="GN20" s="0" t="e">
        <f aca="false">Ben!N16+";7#!_H"</f>
        <v>#VALUE!</v>
      </c>
      <c r="GO20" s="0" t="e">
        <f aca="false">Ben!O16+";7#!_I"</f>
        <v>#VALUE!</v>
      </c>
      <c r="GP20" s="0" t="e">
        <f aca="false">Ben!P16+";7#!_J"</f>
        <v>#VALUE!</v>
      </c>
      <c r="GQ20" s="0" t="e">
        <f aca="false">Ben!A17+";7#!_K"</f>
        <v>#VALUE!</v>
      </c>
      <c r="GR20" s="0" t="e">
        <f aca="false">Ben!B17+";7#!_L"</f>
        <v>#VALUE!</v>
      </c>
      <c r="GS20" s="0" t="e">
        <f aca="false">Ben!C17+";7#!_M"</f>
        <v>#VALUE!</v>
      </c>
      <c r="GT20" s="0" t="e">
        <f aca="false">Ben!D17+";7#!_N"</f>
        <v>#VALUE!</v>
      </c>
      <c r="GU20" s="0" t="e">
        <f aca="false">Ben!E17+";7#!_O"</f>
        <v>#VALUE!</v>
      </c>
      <c r="GV20" s="0" t="e">
        <f aca="false">Ben!F17+";7#!_P"</f>
        <v>#VALUE!</v>
      </c>
      <c r="GW20" s="0" t="e">
        <f aca="false">Ben!G17+";7#!_Q"</f>
        <v>#VALUE!</v>
      </c>
      <c r="GX20" s="0" t="e">
        <f aca="false">Ben!H17+";7#!_R"</f>
        <v>#VALUE!</v>
      </c>
      <c r="GY20" s="0" t="e">
        <f aca="false">Ben!I17+";7#!_S"</f>
        <v>#VALUE!</v>
      </c>
      <c r="GZ20" s="0" t="e">
        <f aca="false">Ben!J17+";7#!_T"</f>
        <v>#VALUE!</v>
      </c>
      <c r="HA20" s="0" t="e">
        <f aca="false">Ben!K17+";7#!_U"</f>
        <v>#VALUE!</v>
      </c>
      <c r="HB20" s="0" t="e">
        <f aca="false">Ben!L17+";7#!_V"</f>
        <v>#VALUE!</v>
      </c>
      <c r="HC20" s="0" t="e">
        <f aca="false">Ben!M17+";7#!_W"</f>
        <v>#VALUE!</v>
      </c>
      <c r="HD20" s="0" t="e">
        <f aca="false">Ben!N17+";7#!_X"</f>
        <v>#VALUE!</v>
      </c>
      <c r="HE20" s="0" t="e">
        <f aca="false">Ben!O17+";7#!_Y"</f>
        <v>#VALUE!</v>
      </c>
      <c r="HF20" s="0" t="e">
        <f aca="false">Ben!P17+";7#!_Z"</f>
        <v>#VALUE!</v>
      </c>
      <c r="HG20" s="0" t="e">
        <f aca="false">Ben!A18+";7#!_["</f>
        <v>#VALUE!</v>
      </c>
      <c r="HH20" s="0" t="e">
        <f aca="false">Ben!B18+";7#!_\"</f>
        <v>#VALUE!</v>
      </c>
      <c r="HI20" s="0" t="e">
        <f aca="false">Ben!C18+";7#!_]"</f>
        <v>#VALUE!</v>
      </c>
      <c r="HJ20" s="0" t="e">
        <f aca="false">Ben!D18+";7#!_^"</f>
        <v>#VALUE!</v>
      </c>
      <c r="HK20" s="0" t="e">
        <f aca="false">Ben!E18+";7#!__"</f>
        <v>#VALUE!</v>
      </c>
      <c r="HL20" s="0" t="e">
        <f aca="false">Ben!F18+";7#!_`"</f>
        <v>#VALUE!</v>
      </c>
      <c r="HM20" s="0" t="e">
        <f aca="false">Ben!G18+";7#!_a"</f>
        <v>#VALUE!</v>
      </c>
      <c r="HN20" s="0" t="e">
        <f aca="false">Ben!H18+";7#!_b"</f>
        <v>#VALUE!</v>
      </c>
      <c r="HO20" s="0" t="e">
        <f aca="false">Ben!I18+";7#!_c"</f>
        <v>#VALUE!</v>
      </c>
      <c r="HP20" s="0" t="e">
        <f aca="false">Ben!J18+";7#!_d"</f>
        <v>#VALUE!</v>
      </c>
      <c r="HQ20" s="0" t="e">
        <f aca="false">Ben!K18+";7#!_e"</f>
        <v>#VALUE!</v>
      </c>
      <c r="HR20" s="0" t="e">
        <f aca="false">Ben!L18+";7#!_f"</f>
        <v>#VALUE!</v>
      </c>
      <c r="HS20" s="0" t="e">
        <f aca="false">Ben!M18+";7#!_g"</f>
        <v>#VALUE!</v>
      </c>
      <c r="HT20" s="0" t="e">
        <f aca="false">Ben!N18+";7#!_h"</f>
        <v>#VALUE!</v>
      </c>
      <c r="HU20" s="0" t="e">
        <f aca="false">Ben!O18+";7#!_i"</f>
        <v>#VALUE!</v>
      </c>
      <c r="HV20" s="0" t="e">
        <f aca="false">Ben!P18+";7#!_j"</f>
        <v>#VALUE!</v>
      </c>
      <c r="HW20" s="0" t="e">
        <f aca="false">Ben!A19+";7#!_k"</f>
        <v>#VALUE!</v>
      </c>
      <c r="HX20" s="0" t="e">
        <f aca="false">Ben!B19+";7#!_l"</f>
        <v>#VALUE!</v>
      </c>
      <c r="HY20" s="0" t="e">
        <f aca="false">Ben!C19+";7#!_m"</f>
        <v>#VALUE!</v>
      </c>
      <c r="HZ20" s="0" t="e">
        <f aca="false">Ben!D19+";7#!_n"</f>
        <v>#VALUE!</v>
      </c>
      <c r="IA20" s="0" t="e">
        <f aca="false">Ben!E19+";7#!_o"</f>
        <v>#VALUE!</v>
      </c>
      <c r="IB20" s="0" t="e">
        <f aca="false">Ben!F19+";7#!_p"</f>
        <v>#VALUE!</v>
      </c>
      <c r="IC20" s="0" t="e">
        <f aca="false">Ben!G19+";7#!_q"</f>
        <v>#VALUE!</v>
      </c>
      <c r="ID20" s="0" t="e">
        <f aca="false">Ben!H19+";7#!_r"</f>
        <v>#VALUE!</v>
      </c>
      <c r="IE20" s="0" t="e">
        <f aca="false">Ben!I19+";7#!_s"</f>
        <v>#VALUE!</v>
      </c>
      <c r="IF20" s="0" t="e">
        <f aca="false">Ben!J19+";7#!_t"</f>
        <v>#VALUE!</v>
      </c>
      <c r="IG20" s="0" t="e">
        <f aca="false">Ben!K19+";7#!_u"</f>
        <v>#VALUE!</v>
      </c>
      <c r="IH20" s="0" t="e">
        <f aca="false">Ben!L19+";7#!_v"</f>
        <v>#VALUE!</v>
      </c>
      <c r="II20" s="0" t="e">
        <f aca="false">Ben!M19+";7#!_w"</f>
        <v>#VALUE!</v>
      </c>
      <c r="IJ20" s="0" t="e">
        <f aca="false">Ben!N19+";7#!_x"</f>
        <v>#VALUE!</v>
      </c>
      <c r="IK20" s="0" t="e">
        <f aca="false">Ben!O19+";7#!_y"</f>
        <v>#VALUE!</v>
      </c>
      <c r="IL20" s="0" t="e">
        <f aca="false">Ben!P19+";7#!_z"</f>
        <v>#VALUE!</v>
      </c>
      <c r="IM20" s="0" t="e">
        <f aca="false">Ben!A20+";7#!_{"</f>
        <v>#VALUE!</v>
      </c>
      <c r="IN20" s="0" t="e">
        <f aca="false">Ben!B20+";7#!_|"</f>
        <v>#VALUE!</v>
      </c>
      <c r="IO20" s="0" t="e">
        <f aca="false">Ben!C20+";7#!_}"</f>
        <v>#N/A</v>
      </c>
      <c r="IP20" s="0" t="e">
        <f aca="false">Ben!D20+";7#!_~"</f>
        <v>#VALUE!</v>
      </c>
      <c r="IQ20" s="0" t="e">
        <f aca="false">Ben!E20+";7#!`#"</f>
        <v>#VALUE!</v>
      </c>
      <c r="IR20" s="0" t="e">
        <f aca="false">Ben!F20+";7#!`$"</f>
        <v>#VALUE!</v>
      </c>
      <c r="IS20" s="0" t="e">
        <f aca="false">Ben!G20+";7#!`%"</f>
        <v>#VALUE!</v>
      </c>
      <c r="IT20" s="0" t="e">
        <f aca="false">Ben!H20+";7#!`&amp;"</f>
        <v>#VALUE!</v>
      </c>
      <c r="IU20" s="0" t="e">
        <f aca="false">Ben!I20+";7#!`'"</f>
        <v>#VALUE!</v>
      </c>
      <c r="IV20" s="0" t="e">
        <f aca="false">Ben!J20+";7#!`("</f>
        <v>#VALUE!</v>
      </c>
    </row>
    <row r="21" customFormat="false" ht="15" hidden="false" customHeight="false" outlineLevel="0" collapsed="false">
      <c r="F21" s="0" t="e">
        <f aca="false">Ben!K20+";7#!`)"</f>
        <v>#VALUE!</v>
      </c>
      <c r="G21" s="0" t="e">
        <f aca="false">Ben!L20+";7#!`."</f>
        <v>#VALUE!</v>
      </c>
      <c r="H21" s="0" t="e">
        <f aca="false">Ben!M20+";7#!`/"</f>
        <v>#VALUE!</v>
      </c>
      <c r="I21" s="0" t="e">
        <f aca="false">Ben!N20+";7#!`0"</f>
        <v>#VALUE!</v>
      </c>
      <c r="J21" s="0" t="e">
        <f aca="false">Ben!O20+";7#!`1"</f>
        <v>#VALUE!</v>
      </c>
      <c r="K21" s="0" t="e">
        <f aca="false">Ben!P20+";7#!`2"</f>
        <v>#VALUE!</v>
      </c>
      <c r="L21" s="0" t="e">
        <f aca="false">Ben!A21+";7#!`3"</f>
        <v>#VALUE!</v>
      </c>
      <c r="M21" s="0" t="e">
        <f aca="false">Ben!B21+";7#!`4"</f>
        <v>#VALUE!</v>
      </c>
      <c r="N21" s="0" t="e">
        <f aca="false">Ben!C21+";7#!`5"</f>
        <v>#N/A</v>
      </c>
      <c r="O21" s="0" t="e">
        <f aca="false">Ben!D21+";7#!`6"</f>
        <v>#VALUE!</v>
      </c>
      <c r="P21" s="0" t="e">
        <f aca="false">Ben!E21+";7#!`7"</f>
        <v>#VALUE!</v>
      </c>
      <c r="Q21" s="0" t="e">
        <f aca="false">Ben!F21+";7#!`8"</f>
        <v>#VALUE!</v>
      </c>
      <c r="R21" s="0" t="e">
        <f aca="false">Ben!G21+";7#!`9"</f>
        <v>#VALUE!</v>
      </c>
      <c r="S21" s="0" t="e">
        <f aca="false">Ben!H21+";7#!`:"</f>
        <v>#VALUE!</v>
      </c>
      <c r="T21" s="0" t="e">
        <f aca="false">Ben!I21+";7#!`;"</f>
        <v>#VALUE!</v>
      </c>
      <c r="U21" s="0" t="e">
        <f aca="false">Ben!J21+";7#!`&lt;"</f>
        <v>#VALUE!</v>
      </c>
      <c r="V21" s="0" t="e">
        <f aca="false">Ben!K21+";7#!`="</f>
        <v>#VALUE!</v>
      </c>
      <c r="W21" s="0" t="e">
        <f aca="false">Ben!L21+";7#!`&gt;"</f>
        <v>#VALUE!</v>
      </c>
      <c r="X21" s="0" t="e">
        <f aca="false">Ben!M21+";7#!`?"</f>
        <v>#VALUE!</v>
      </c>
      <c r="Y21" s="0" t="e">
        <f aca="false">Ben!N21+";7#!`@"</f>
        <v>#VALUE!</v>
      </c>
      <c r="Z21" s="0" t="e">
        <f aca="false">Ben!O21+";7#!`A"</f>
        <v>#VALUE!</v>
      </c>
      <c r="AA21" s="0" t="e">
        <f aca="false">Ben!P21+";7#!`B"</f>
        <v>#VALUE!</v>
      </c>
      <c r="AB21" s="0" t="e">
        <f aca="false">Ben!A22+";7#!`C"</f>
        <v>#VALUE!</v>
      </c>
      <c r="AC21" s="0" t="e">
        <f aca="false">Ben!B22+";7#!`D"</f>
        <v>#VALUE!</v>
      </c>
      <c r="AD21" s="0" t="e">
        <f aca="false">Ben!C22+";7#!`E"</f>
        <v>#N/A</v>
      </c>
      <c r="AE21" s="0" t="e">
        <f aca="false">Ben!D22+";7#!`F"</f>
        <v>#VALUE!</v>
      </c>
      <c r="AF21" s="0" t="e">
        <f aca="false">Ben!E22+";7#!`G"</f>
        <v>#VALUE!</v>
      </c>
      <c r="AG21" s="0" t="e">
        <f aca="false">Ben!F22+";7#!`H"</f>
        <v>#VALUE!</v>
      </c>
      <c r="AH21" s="0" t="e">
        <f aca="false">Ben!G22+";7#!`I"</f>
        <v>#VALUE!</v>
      </c>
      <c r="AI21" s="0" t="e">
        <f aca="false">Ben!H22+";7#!`J"</f>
        <v>#VALUE!</v>
      </c>
      <c r="AJ21" s="0" t="e">
        <f aca="false">Ben!I22+";7#!`K"</f>
        <v>#VALUE!</v>
      </c>
      <c r="AK21" s="0" t="e">
        <f aca="false">Ben!J22+";7#!`L"</f>
        <v>#VALUE!</v>
      </c>
      <c r="AL21" s="0" t="e">
        <f aca="false">Ben!K22+";7#!`M"</f>
        <v>#VALUE!</v>
      </c>
      <c r="AM21" s="0" t="e">
        <f aca="false">Ben!L22+";7#!`N"</f>
        <v>#VALUE!</v>
      </c>
      <c r="AN21" s="0" t="e">
        <f aca="false">Ben!M22+";7#!`O"</f>
        <v>#VALUE!</v>
      </c>
      <c r="AO21" s="0" t="e">
        <f aca="false">Ben!N22+";7#!`P"</f>
        <v>#VALUE!</v>
      </c>
      <c r="AP21" s="0" t="e">
        <f aca="false">Ben!O22+";7#!`Q"</f>
        <v>#VALUE!</v>
      </c>
      <c r="AQ21" s="0" t="e">
        <f aca="false">Ben!P22+";7#!`R"</f>
        <v>#VALUE!</v>
      </c>
      <c r="AR21" s="0" t="e">
        <f aca="false">Ben!A23+";7#!`S"</f>
        <v>#VALUE!</v>
      </c>
      <c r="AS21" s="0" t="e">
        <f aca="false">Ben!B23+";7#!`T"</f>
        <v>#VALUE!</v>
      </c>
      <c r="AT21" s="0" t="e">
        <f aca="false">Ben!C23+";7#!`U"</f>
        <v>#VALUE!</v>
      </c>
      <c r="AU21" s="35" t="e">
        <f aca="false">Ben!D23+";7#!`V"</f>
        <v>#VALUE!</v>
      </c>
      <c r="AV21" s="35" t="e">
        <f aca="false">Ben!E23+";7#!`W"</f>
        <v>#VALUE!</v>
      </c>
      <c r="AW21" s="35" t="e">
        <f aca="false">Ben!F23+";7#!`X"</f>
        <v>#VALUE!</v>
      </c>
      <c r="AX21" s="35" t="e">
        <f aca="false">Ben!G23+";7#!`Y"</f>
        <v>#VALUE!</v>
      </c>
      <c r="AY21" s="35" t="e">
        <f aca="false">Ben!H23+";7#!`Z"</f>
        <v>#VALUE!</v>
      </c>
      <c r="AZ21" s="35" t="e">
        <f aca="false">Ben!I23+";7#!`["</f>
        <v>#VALUE!</v>
      </c>
      <c r="BA21" s="35" t="e">
        <f aca="false">Ben!J23+";7#!`\"</f>
        <v>#VALUE!</v>
      </c>
      <c r="BB21" s="35" t="e">
        <f aca="false">Ben!K23+";7#!`]"</f>
        <v>#VALUE!</v>
      </c>
      <c r="BC21" s="35" t="e">
        <f aca="false">Ben!L23+";7#!`^"</f>
        <v>#VALUE!</v>
      </c>
      <c r="BD21" s="35" t="e">
        <f aca="false">Ben!M23+";7#!`_"</f>
        <v>#VALUE!</v>
      </c>
      <c r="BE21" s="35" t="e">
        <f aca="false">Ben!N23+";7#!``"</f>
        <v>#VALUE!</v>
      </c>
      <c r="BF21" s="35" t="e">
        <f aca="false">Ben!O23+";7#!`a"</f>
        <v>#VALUE!</v>
      </c>
      <c r="BG21" s="35" t="e">
        <f aca="false">Ben!P23+";7#!`b"</f>
        <v>#VALUE!</v>
      </c>
      <c r="BH21" s="0" t="e">
        <f aca="false">Ben!A24+";7#!`c"</f>
        <v>#VALUE!</v>
      </c>
      <c r="BI21" s="0" t="e">
        <f aca="false">Ben!B24+";7#!`d"</f>
        <v>#VALUE!</v>
      </c>
      <c r="BJ21" s="0" t="e">
        <f aca="false">Ben!C24+";7#!`e"</f>
        <v>#VALUE!</v>
      </c>
      <c r="BK21" s="35" t="e">
        <f aca="false">Ben!D24+";7#!`f"</f>
        <v>#VALUE!</v>
      </c>
      <c r="BL21" s="35" t="e">
        <f aca="false">Ben!E24+";7#!`g"</f>
        <v>#VALUE!</v>
      </c>
      <c r="BM21" s="35" t="e">
        <f aca="false">Ben!F24+";7#!`h"</f>
        <v>#VALUE!</v>
      </c>
      <c r="BN21" s="35" t="e">
        <f aca="false">Ben!G24+";7#!`i"</f>
        <v>#VALUE!</v>
      </c>
      <c r="BO21" s="35" t="e">
        <f aca="false">Ben!H24+";7#!`j"</f>
        <v>#VALUE!</v>
      </c>
      <c r="BP21" s="35" t="e">
        <f aca="false">Ben!I24+";7#!`k"</f>
        <v>#VALUE!</v>
      </c>
      <c r="BQ21" s="35" t="e">
        <f aca="false">Ben!J24+";7#!`l"</f>
        <v>#VALUE!</v>
      </c>
      <c r="BR21" s="35" t="e">
        <f aca="false">Ben!K24+";7#!`m"</f>
        <v>#VALUE!</v>
      </c>
      <c r="BS21" s="35" t="e">
        <f aca="false">Ben!L24+";7#!`n"</f>
        <v>#VALUE!</v>
      </c>
      <c r="BT21" s="35" t="e">
        <f aca="false">Ben!M24+";7#!`o"</f>
        <v>#VALUE!</v>
      </c>
      <c r="BU21" s="35" t="e">
        <f aca="false">Ben!N24+";7#!`p"</f>
        <v>#VALUE!</v>
      </c>
      <c r="BV21" s="35" t="e">
        <f aca="false">Ben!O24+";7#!`q"</f>
        <v>#VALUE!</v>
      </c>
      <c r="BW21" s="35" t="e">
        <f aca="false">Ben!P24+";7#!`r"</f>
        <v>#VALUE!</v>
      </c>
      <c r="BX21" s="0" t="e">
        <f aca="false">Ben!A25+";7#!`s"</f>
        <v>#VALUE!</v>
      </c>
      <c r="BY21" s="0" t="e">
        <f aca="false">Ben!B25+";7#!`t"</f>
        <v>#VALUE!</v>
      </c>
      <c r="BZ21" s="0" t="e">
        <f aca="false">Ben!C25+";7#!`u"</f>
        <v>#VALUE!</v>
      </c>
      <c r="CA21" s="35" t="e">
        <f aca="false">Ben!D25+";7#!`v"</f>
        <v>#VALUE!</v>
      </c>
      <c r="CB21" s="35" t="e">
        <f aca="false">Ben!E25+";7#!`w"</f>
        <v>#VALUE!</v>
      </c>
      <c r="CC21" s="35" t="e">
        <f aca="false">Ben!F25+";7#!`x"</f>
        <v>#VALUE!</v>
      </c>
      <c r="CD21" s="35" t="e">
        <f aca="false">Ben!G25+";7#!`y"</f>
        <v>#VALUE!</v>
      </c>
      <c r="CE21" s="35" t="e">
        <f aca="false">Ben!H25+";7#!`z"</f>
        <v>#VALUE!</v>
      </c>
      <c r="CF21" s="35" t="e">
        <f aca="false">Ben!I25+";7#!`{"</f>
        <v>#VALUE!</v>
      </c>
      <c r="CG21" s="35" t="e">
        <f aca="false">Ben!J25+";7#!`|"</f>
        <v>#VALUE!</v>
      </c>
      <c r="CH21" s="35" t="e">
        <f aca="false">Ben!K25+";7#!`}"</f>
        <v>#VALUE!</v>
      </c>
      <c r="CI21" s="35" t="e">
        <f aca="false">Ben!L25+";7#!`~"</f>
        <v>#VALUE!</v>
      </c>
      <c r="CJ21" s="35" t="e">
        <f aca="false">Ben!M25+";7#!a#"</f>
        <v>#VALUE!</v>
      </c>
      <c r="CK21" s="35" t="e">
        <f aca="false">Ben!N25+";7#!a$"</f>
        <v>#VALUE!</v>
      </c>
      <c r="CL21" s="35" t="e">
        <f aca="false">Ben!O25+";7#!a%"</f>
        <v>#VALUE!</v>
      </c>
      <c r="CM21" s="35" t="e">
        <f aca="false">Ben!P25+";7#!a&amp;"</f>
        <v>#VALUE!</v>
      </c>
      <c r="CN21" s="0" t="e">
        <f aca="false">Ben!A26+";7#!a'"</f>
        <v>#VALUE!</v>
      </c>
      <c r="CO21" s="0" t="e">
        <f aca="false">Ben!B26+";7#!a("</f>
        <v>#VALUE!</v>
      </c>
      <c r="CP21" s="0" t="e">
        <f aca="false">Ben!C26+";7#!a)"</f>
        <v>#VALUE!</v>
      </c>
      <c r="CQ21" s="36" t="e">
        <f aca="false">Ben!D26+";7#!a."</f>
        <v>#VALUE!</v>
      </c>
      <c r="CR21" s="36" t="e">
        <f aca="false">Ben!E26+";7#!a/"</f>
        <v>#VALUE!</v>
      </c>
      <c r="CS21" s="36" t="e">
        <f aca="false">Ben!F26+";7#!a0"</f>
        <v>#VALUE!</v>
      </c>
      <c r="CT21" s="36" t="e">
        <f aca="false">Ben!G26+";7#!a1"</f>
        <v>#VALUE!</v>
      </c>
      <c r="CU21" s="36" t="e">
        <f aca="false">Ben!H26+";7#!a2"</f>
        <v>#DIV/0!</v>
      </c>
      <c r="CV21" s="36" t="e">
        <f aca="false">Ben!I26+";7#!a3"</f>
        <v>#DIV/0!</v>
      </c>
      <c r="CW21" s="36" t="e">
        <f aca="false">Ben!J26+";7#!a4"</f>
        <v>#DIV/0!</v>
      </c>
      <c r="CX21" s="36" t="e">
        <f aca="false">Ben!K26+";7#!a5"</f>
        <v>#DIV/0!</v>
      </c>
      <c r="CY21" s="36" t="e">
        <f aca="false">Ben!L26+";7#!a6"</f>
        <v>#DIV/0!</v>
      </c>
      <c r="CZ21" s="36" t="e">
        <f aca="false">Ben!M26+";7#!a7"</f>
        <v>#DIV/0!</v>
      </c>
      <c r="DA21" s="36" t="e">
        <f aca="false">Ben!N26+";7#!a8"</f>
        <v>#DIV/0!</v>
      </c>
      <c r="DB21" s="36" t="e">
        <f aca="false">Ben!O26+";7#!a9"</f>
        <v>#DIV/0!</v>
      </c>
      <c r="DC21" s="36" t="e">
        <f aca="false">Ben!P26+";7#!a:"</f>
        <v>#VALUE!</v>
      </c>
      <c r="DD21" s="0" t="e">
        <f aca="false">Tahir!A:A*";7#!a;"</f>
        <v>#VALUE!</v>
      </c>
      <c r="DE21" s="0" t="e">
        <f aca="false">Tahir!B:B*";7#!a&lt;"</f>
        <v>#VALUE!</v>
      </c>
      <c r="DF21" s="0" t="e">
        <f aca="false">Tahir!C:C*";7#!a="</f>
        <v>#VALUE!</v>
      </c>
      <c r="DG21" s="0" t="e">
        <f aca="false">Tahir!D:D*";7#!a&gt;"</f>
        <v>#VALUE!</v>
      </c>
      <c r="DH21" s="0" t="e">
        <f aca="false">Tahir!E:E*";7#!a?"</f>
        <v>#VALUE!</v>
      </c>
      <c r="DI21" s="0" t="e">
        <f aca="false">Tahir!F:F*";7#!a@"</f>
        <v>#VALUE!</v>
      </c>
      <c r="DJ21" s="0" t="e">
        <f aca="false">Tahir!G:G*";7#!aA"</f>
        <v>#VALUE!</v>
      </c>
      <c r="DK21" s="0" t="e">
        <f aca="false">Tahir!H:H*";7#!aB"</f>
        <v>#VALUE!</v>
      </c>
      <c r="DL21" s="0" t="e">
        <f aca="false">Tahir!I:I*";7#!aC"</f>
        <v>#VALUE!</v>
      </c>
      <c r="DM21" s="0" t="e">
        <f aca="false">Tahir!J:J*";7#!aD"</f>
        <v>#VALUE!</v>
      </c>
      <c r="DN21" s="0" t="e">
        <f aca="false">Tahir!K:K*";7#!aE"</f>
        <v>#VALUE!</v>
      </c>
      <c r="DO21" s="0" t="e">
        <f aca="false">Tahir!L:L*";7#!aF"</f>
        <v>#VALUE!</v>
      </c>
      <c r="DP21" s="0" t="e">
        <f aca="false">Tahir!M:M*";7#!aG"</f>
        <v>#VALUE!</v>
      </c>
      <c r="DQ21" s="0" t="e">
        <f aca="false">Tahir!N:N*";7#!aH"</f>
        <v>#VALUE!</v>
      </c>
      <c r="DR21" s="0" t="e">
        <f aca="false">Tahir!O:O*";7#!aI"</f>
        <v>#VALUE!</v>
      </c>
      <c r="DS21" s="0" t="e">
        <f aca="false">Tahir!P:P*";7#!aJ"</f>
        <v>#VALUE!</v>
      </c>
      <c r="DT21" s="0" t="e">
        <f aca="false">Tahir!Q:Q*";7#!aK"</f>
        <v>#VALUE!</v>
      </c>
      <c r="DU21" s="0" t="e">
        <f aca="false">Tahir!R:R*";7#!aL"</f>
        <v>#VALUE!</v>
      </c>
      <c r="DV21" s="0" t="e">
        <f aca="false">Tahir!S:S*";7#!aM"</f>
        <v>#VALUE!</v>
      </c>
      <c r="DW21" s="0" t="e">
        <f aca="false">Tahir!T:T*";7#!aN"</f>
        <v>#VALUE!</v>
      </c>
      <c r="DX21" s="0" t="e">
        <f aca="false">Tahir!U:U*";7#!aO"</f>
        <v>#VALUE!</v>
      </c>
      <c r="DY21" s="0" t="e">
        <f aca="false">Tahir!V:V*";7#!aP"</f>
        <v>#VALUE!</v>
      </c>
      <c r="DZ21" s="0" t="e">
        <f aca="false">Tahir!W:W*";7#!aQ"</f>
        <v>#VALUE!</v>
      </c>
      <c r="EA21" s="0" t="e">
        <f aca="false">Tahir!X:X*";7#!aR"</f>
        <v>#VALUE!</v>
      </c>
      <c r="EB21" s="0" t="e">
        <f aca="false">Tahir!Y:Y*";7#!aS"</f>
        <v>#VALUE!</v>
      </c>
      <c r="EC21" s="0" t="e">
        <f aca="false">Tahir!Z:Z*";7#!aT"</f>
        <v>#VALUE!</v>
      </c>
      <c r="ED21" s="0" t="e">
        <f aca="false">Tahir!AA:AA*";7#!aU"</f>
        <v>#VALUE!</v>
      </c>
      <c r="EE21" s="0" t="e">
        <f aca="false">Tahir!AB:AB*";7#!aV"</f>
        <v>#VALUE!</v>
      </c>
      <c r="EF21" s="0" t="e">
        <f aca="false">Tahir!AC:AC*";7#!aW"</f>
        <v>#VALUE!</v>
      </c>
      <c r="EG21" s="0" t="e">
        <f aca="false">Tahir!AD:AD*";7#!aX"</f>
        <v>#VALUE!</v>
      </c>
      <c r="EH21" s="0" t="e">
        <f aca="false">Tahir!AE:AE*";7#!aY"</f>
        <v>#VALUE!</v>
      </c>
      <c r="EI21" s="0" t="e">
        <f aca="false">Tahir!AF:AF*";7#!aZ"</f>
        <v>#VALUE!</v>
      </c>
      <c r="EJ21" s="0" t="e">
        <f aca="false">Tahir!AG:AG*";7#!a["</f>
        <v>#VALUE!</v>
      </c>
      <c r="EK21" s="0" t="e">
        <f aca="false">Tahir!AH:AH*";7#!a\"</f>
        <v>#VALUE!</v>
      </c>
      <c r="EL21" s="0" t="e">
        <f aca="false">Tahir!AI:AI*";7#!a]"</f>
        <v>#VALUE!</v>
      </c>
      <c r="EM21" s="0" t="e">
        <f aca="false">Tahir!AJ:AJ*";7#!a^"</f>
        <v>#VALUE!</v>
      </c>
      <c r="EN21" s="0" t="e">
        <f aca="false">Tahir!AK:AK*";7#!a_"</f>
        <v>#VALUE!</v>
      </c>
      <c r="EO21" s="0" t="e">
        <f aca="false">Tahir!AL:AL*";7#!a`"</f>
        <v>#VALUE!</v>
      </c>
      <c r="EP21" s="0" t="e">
        <f aca="false">Tahir!AM:AM*";7#!aa"</f>
        <v>#VALUE!</v>
      </c>
      <c r="EQ21" s="0" t="e">
        <f aca="false">Tahir!AN:AN*";7#!ab"</f>
        <v>#VALUE!</v>
      </c>
      <c r="ER21" s="0" t="e">
        <f aca="false">Tahir!AO:AO*";7#!ac"</f>
        <v>#VALUE!</v>
      </c>
      <c r="ES21" s="0" t="e">
        <f aca="false">Tahir!AP:AP*";7#!ad"</f>
        <v>#VALUE!</v>
      </c>
      <c r="ET21" s="0" t="e">
        <f aca="false">Tahir!AQ:AQ*";7#!ae"</f>
        <v>#VALUE!</v>
      </c>
      <c r="EU21" s="0" t="e">
        <f aca="false">Tahir!AR:AR*";7#!af"</f>
        <v>#VALUE!</v>
      </c>
      <c r="EV21" s="0" t="e">
        <f aca="false">Tahir!AS:AS*";7#!ag"</f>
        <v>#VALUE!</v>
      </c>
      <c r="EW21" s="0" t="e">
        <f aca="false">Tahir!AT:AT*";7#!ah"</f>
        <v>#VALUE!</v>
      </c>
      <c r="EX21" s="0" t="e">
        <f aca="false">Tahir!AU:AU*";7#!ai"</f>
        <v>#VALUE!</v>
      </c>
      <c r="EY21" s="0" t="e">
        <f aca="false">Tahir!AV:AV*";7#!aj"</f>
        <v>#VALUE!</v>
      </c>
      <c r="EZ21" s="0" t="e">
        <f aca="false">Tahir!AW:AW*";7#!ak"</f>
        <v>#VALUE!</v>
      </c>
      <c r="FA21" s="0" t="e">
        <f aca="false">Tahir!AX:AX*";7#!al"</f>
        <v>#VALUE!</v>
      </c>
      <c r="FB21" s="0" t="e">
        <f aca="false">Tahir!AY:AY*";7#!am"</f>
        <v>#VALUE!</v>
      </c>
      <c r="FC21" s="0" t="e">
        <f aca="false">Tahir!AZ:AZ*";7#!an"</f>
        <v>#VALUE!</v>
      </c>
      <c r="FD21" s="0" t="e">
        <f aca="false">Tahir!BA:BA*";7#!ao"</f>
        <v>#VALUE!</v>
      </c>
      <c r="FE21" s="0" t="e">
        <f aca="false">Tahir!BB:BB*";7#!ap"</f>
        <v>#VALUE!</v>
      </c>
      <c r="FF21" s="0" t="e">
        <f aca="false">Tahir!BC:BC*";7#!aq"</f>
        <v>#VALUE!</v>
      </c>
      <c r="FG21" s="0" t="e">
        <f aca="false">Tahir!BD:BD*";7#!ar"</f>
        <v>#VALUE!</v>
      </c>
      <c r="FH21" s="0" t="e">
        <f aca="false">Tahir!BE:BE*";7#!as"</f>
        <v>#VALUE!</v>
      </c>
      <c r="FI21" s="0" t="e">
        <f aca="false">Tahir!BF:BF*";7#!at"</f>
        <v>#VALUE!</v>
      </c>
      <c r="FJ21" s="0" t="e">
        <f aca="false">Tahir!BG:BG*";7#!au"</f>
        <v>#VALUE!</v>
      </c>
      <c r="FK21" s="0" t="e">
        <f aca="false">Tahir!BH:BH*";7#!av"</f>
        <v>#VALUE!</v>
      </c>
      <c r="FL21" s="0" t="e">
        <f aca="false">Tahir!BI:BI*";7#!aw"</f>
        <v>#VALUE!</v>
      </c>
      <c r="FM21" s="0" t="e">
        <f aca="false">Tahir!BJ:BJ*";7#!ax"</f>
        <v>#VALUE!</v>
      </c>
      <c r="FN21" s="0" t="e">
        <f aca="false">Tahir!BK:BK*";7#!ay"</f>
        <v>#VALUE!</v>
      </c>
      <c r="FO21" s="0" t="e">
        <f aca="false">Tahir!BL:BL*";7#!az"</f>
        <v>#VALUE!</v>
      </c>
      <c r="FP21" s="0" t="e">
        <f aca="false">Tahir!BM:BM*";7#!a{"</f>
        <v>#VALUE!</v>
      </c>
      <c r="FQ21" s="0" t="e">
        <f aca="false">Tahir!BN:BN*";7#!a|"</f>
        <v>#VALUE!</v>
      </c>
      <c r="FR21" s="0" t="e">
        <f aca="false">Tahir!BO:BO*";7#!a}"</f>
        <v>#VALUE!</v>
      </c>
      <c r="FS21" s="0" t="e">
        <f aca="false">Tahir!BP:BP*";7#!a~"</f>
        <v>#VALUE!</v>
      </c>
      <c r="FT21" s="0" t="e">
        <f aca="false">Tahir!BQ:BQ*";7#!b#"</f>
        <v>#VALUE!</v>
      </c>
      <c r="FU21" s="0" t="e">
        <f aca="false">Tahir!BR:BR*";7#!b$"</f>
        <v>#VALUE!</v>
      </c>
      <c r="FV21" s="0" t="e">
        <f aca="false">Tahir!BS:BS*";7#!b%"</f>
        <v>#VALUE!</v>
      </c>
      <c r="FW21" s="0" t="e">
        <f aca="false">Tahir!BT:BT*";7#!b&amp;"</f>
        <v>#VALUE!</v>
      </c>
      <c r="FX21" s="0" t="e">
        <f aca="false">Tahir!BU:BU*";7#!b'"</f>
        <v>#VALUE!</v>
      </c>
      <c r="FY21" s="0" t="e">
        <f aca="false">Tahir!BV:BV*";7#!b("</f>
        <v>#VALUE!</v>
      </c>
      <c r="FZ21" s="0" t="e">
        <f aca="false">Tahir!BW:BW*";7#!b)"</f>
        <v>#VALUE!</v>
      </c>
      <c r="GA21" s="0" t="e">
        <f aca="false">Tahir!BX:BX*";7#!b."</f>
        <v>#VALUE!</v>
      </c>
      <c r="GB21" s="0" t="e">
        <f aca="false">Tahir!BY:BY*";7#!b/"</f>
        <v>#VALUE!</v>
      </c>
      <c r="GC21" s="0" t="e">
        <f aca="false">Tahir!BZ:BZ*";7#!b0"</f>
        <v>#VALUE!</v>
      </c>
      <c r="GD21" s="0" t="e">
        <f aca="false">Tahir!CA:CA*";7#!b1"</f>
        <v>#VALUE!</v>
      </c>
      <c r="GE21" s="0" t="e">
        <f aca="false">Tahir!CB:CB*";7#!b2"</f>
        <v>#VALUE!</v>
      </c>
      <c r="GF21" s="0" t="e">
        <f aca="false">Tahir!CC:CC*";7#!b3"</f>
        <v>#VALUE!</v>
      </c>
      <c r="GG21" s="0" t="e">
        <f aca="false">Tahir!1:1-";7#!b4"</f>
        <v>#VALUE!</v>
      </c>
      <c r="GH21" s="0" t="e">
        <f aca="false">Tahir!2:2-";7#!b5"</f>
        <v>#VALUE!</v>
      </c>
      <c r="GI21" s="0" t="e">
        <f aca="false">Tahir!3:3-";7#!b6"</f>
        <v>#VALUE!</v>
      </c>
      <c r="GJ21" s="0" t="e">
        <f aca="false">Tahir!4:4-";7#!b7"</f>
        <v>#VALUE!</v>
      </c>
      <c r="GK21" s="0" t="e">
        <f aca="false">Tahir!5:5-";7#!b8"</f>
        <v>#VALUE!</v>
      </c>
      <c r="GL21" s="0" t="e">
        <f aca="false">Tahir!6:6-";7#!b9"</f>
        <v>#VALUE!</v>
      </c>
      <c r="GM21" s="0" t="e">
        <f aca="false">Tahir!7:7-";7#!b:"</f>
        <v>#VALUE!</v>
      </c>
      <c r="GN21" s="0" t="e">
        <f aca="false">Tahir!8:8-";7#!b;"</f>
        <v>#VALUE!</v>
      </c>
      <c r="GO21" s="0" t="e">
        <f aca="false">Tahir!9:9-";7#!b&lt;"</f>
        <v>#VALUE!</v>
      </c>
      <c r="GP21" s="0" t="e">
        <f aca="false">Tahir!10:10-";7#!b="</f>
        <v>#VALUE!</v>
      </c>
      <c r="GQ21" s="0" t="e">
        <f aca="false">Tahir!11:11-";7#!b&gt;"</f>
        <v>#VALUE!</v>
      </c>
      <c r="GR21" s="0" t="e">
        <f aca="false">Tahir!12:12-";7#!b?"</f>
        <v>#VALUE!</v>
      </c>
      <c r="GS21" s="0" t="e">
        <f aca="false">Tahir!13:13-";7#!b@"</f>
        <v>#VALUE!</v>
      </c>
      <c r="GT21" s="0" t="e">
        <f aca="false">Tahir!14:14-";7#!bA"</f>
        <v>#VALUE!</v>
      </c>
      <c r="GU21" s="0" t="e">
        <f aca="false">Tahir!15:15-";7#!bB"</f>
        <v>#VALUE!</v>
      </c>
      <c r="GV21" s="0" t="e">
        <f aca="false">Tahir!16:16-";7#!bC"</f>
        <v>#VALUE!</v>
      </c>
      <c r="GW21" s="0" t="e">
        <f aca="false">Tahir!17:17-";7#!bD"</f>
        <v>#VALUE!</v>
      </c>
      <c r="GX21" s="0" t="e">
        <f aca="false">Tahir!18:18-";7#!bE"</f>
        <v>#VALUE!</v>
      </c>
      <c r="GY21" s="0" t="e">
        <f aca="false">Tahir!19:19-";7#!bF"</f>
        <v>#VALUE!</v>
      </c>
      <c r="GZ21" s="0" t="e">
        <f aca="false">Tahir!20:20-";7#!bG"</f>
        <v>#VALUE!</v>
      </c>
      <c r="HA21" s="0" t="e">
        <f aca="false">Tahir!21:21-";7#!bH"</f>
        <v>#VALUE!</v>
      </c>
      <c r="HB21" s="0" t="e">
        <f aca="false">Tahir!22:22-";7#!bI"</f>
        <v>#VALUE!</v>
      </c>
      <c r="HC21" s="0" t="e">
        <f aca="false">Tahir!23:23-";7#!bJ"</f>
        <v>#VALUE!</v>
      </c>
      <c r="HD21" s="0" t="e">
        <f aca="false">Tahir!24:24-";7#!bK"</f>
        <v>#VALUE!</v>
      </c>
      <c r="HE21" s="0" t="e">
        <f aca="false">Tahir!25:25-";7#!bL"</f>
        <v>#VALUE!</v>
      </c>
      <c r="HF21" s="0" t="e">
        <f aca="false">Tahir!26:26-";7#!bM"</f>
        <v>#VALUE!</v>
      </c>
      <c r="HG21" s="0" t="e">
        <f aca="false">Tahir!27:27-";7#!bN"</f>
        <v>#VALUE!</v>
      </c>
      <c r="HH21" s="0" t="e">
        <f aca="false">Tahir!28:28-";7#!bO"</f>
        <v>#VALUE!</v>
      </c>
      <c r="HI21" s="0" t="e">
        <f aca="false">Tahir!29:29-";7#!bP"</f>
        <v>#VALUE!</v>
      </c>
      <c r="HJ21" s="0" t="e">
        <f aca="false">Tahir!30:30-";7#!bQ"</f>
        <v>#VALUE!</v>
      </c>
      <c r="HK21" s="0" t="e">
        <f aca="false">Tahir!31:31-";7#!bR"</f>
        <v>#VALUE!</v>
      </c>
      <c r="HL21" s="0" t="e">
        <f aca="false">Tahir!32:32-";7#!bS"</f>
        <v>#VALUE!</v>
      </c>
      <c r="HM21" s="0" t="e">
        <f aca="false">Tahir!33:33-";7#!bT"</f>
        <v>#VALUE!</v>
      </c>
      <c r="HN21" s="0" t="e">
        <f aca="false">Tahir!34:34-";7#!bU"</f>
        <v>#VALUE!</v>
      </c>
      <c r="HO21" s="0" t="e">
        <f aca="false">Tahir!35:35-";7#!bV"</f>
        <v>#VALUE!</v>
      </c>
      <c r="HP21" s="0" t="e">
        <f aca="false">Tahir!36:36-";7#!bW"</f>
        <v>#VALUE!</v>
      </c>
      <c r="HQ21" s="0" t="e">
        <f aca="false">Tahir!37:37-";7#!bX"</f>
        <v>#VALUE!</v>
      </c>
      <c r="HR21" s="0" t="e">
        <f aca="false">Tahir!38:38-";7#!bY"</f>
        <v>#VALUE!</v>
      </c>
      <c r="HS21" s="0" t="e">
        <f aca="false">Tahir!39:39-";7#!bZ"</f>
        <v>#VALUE!</v>
      </c>
      <c r="HT21" s="0" t="e">
        <f aca="false">Tahir!40:40-";7#!b["</f>
        <v>#VALUE!</v>
      </c>
      <c r="HU21" s="0" t="e">
        <f aca="false">Tahir!41:41-";7#!b\"</f>
        <v>#VALUE!</v>
      </c>
      <c r="HV21" s="0" t="e">
        <f aca="false">Tahir!42:42-";7#!b]"</f>
        <v>#VALUE!</v>
      </c>
      <c r="HW21" s="0" t="e">
        <f aca="false">Tahir!43:43-";7#!b^"</f>
        <v>#VALUE!</v>
      </c>
      <c r="HX21" s="0" t="e">
        <f aca="false">Tahir!44:44-";7#!b_"</f>
        <v>#VALUE!</v>
      </c>
      <c r="HY21" s="0" t="e">
        <f aca="false">Tahir!45:45-";7#!b`"</f>
        <v>#VALUE!</v>
      </c>
      <c r="HZ21" s="0" t="e">
        <f aca="false">Tahir!46:46-";7#!ba"</f>
        <v>#VALUE!</v>
      </c>
      <c r="IA21" s="0" t="e">
        <f aca="false">Tahir!47:47-";7#!bb"</f>
        <v>#VALUE!</v>
      </c>
      <c r="IB21" s="0" t="e">
        <f aca="false">Tahir!48:48-";7#!bc"</f>
        <v>#VALUE!</v>
      </c>
      <c r="IC21" s="0" t="e">
        <f aca="false">Tahir!49:49-";7#!bd"</f>
        <v>#VALUE!</v>
      </c>
      <c r="ID21" s="0" t="e">
        <f aca="false">Tahir!50:50-";7#!be"</f>
        <v>#VALUE!</v>
      </c>
      <c r="IE21" s="0" t="e">
        <f aca="false">Tahir!51:51-";7#!bf"</f>
        <v>#VALUE!</v>
      </c>
      <c r="IF21" s="0" t="e">
        <f aca="false">Tahir!52:52-";7#!bg"</f>
        <v>#VALUE!</v>
      </c>
      <c r="IG21" s="0" t="e">
        <f aca="false">Tahir!53:53-";7#!bh"</f>
        <v>#VALUE!</v>
      </c>
      <c r="IH21" s="0" t="e">
        <f aca="false">Tahir!54:54-";7#!bi"</f>
        <v>#VALUE!</v>
      </c>
      <c r="II21" s="0" t="e">
        <f aca="false">Tahir!55:55-";7#!bj"</f>
        <v>#VALUE!</v>
      </c>
      <c r="IJ21" s="0" t="e">
        <f aca="false">Tahir!56:56-";7#!bk"</f>
        <v>#VALUE!</v>
      </c>
      <c r="IK21" s="0" t="e">
        <f aca="false">Tahir!57:57-";7#!bl"</f>
        <v>#VALUE!</v>
      </c>
      <c r="IL21" s="0" t="e">
        <f aca="false">Tahir!58:58-";7#!bm"</f>
        <v>#VALUE!</v>
      </c>
      <c r="IM21" s="0" t="e">
        <f aca="false">Tahir!59:59-";7#!bn"</f>
        <v>#VALUE!</v>
      </c>
      <c r="IN21" s="0" t="e">
        <f aca="false">Tahir!60:60-";7#!bo"</f>
        <v>#VALUE!</v>
      </c>
      <c r="IO21" s="0" t="e">
        <f aca="false">Tahir!61:61-";7#!bp"</f>
        <v>#VALUE!</v>
      </c>
      <c r="IP21" s="0" t="e">
        <f aca="false">Tahir!62:62-";7#!bq"</f>
        <v>#VALUE!</v>
      </c>
      <c r="IQ21" s="0" t="e">
        <f aca="false">Tahir!63:63-";7#!br"</f>
        <v>#VALUE!</v>
      </c>
      <c r="IR21" s="0" t="e">
        <f aca="false">Tahir!64:64-";7#!bs"</f>
        <v>#VALUE!</v>
      </c>
      <c r="IS21" s="0" t="e">
        <f aca="false">Tahir!65:65-";7#!bt"</f>
        <v>#VALUE!</v>
      </c>
      <c r="IT21" s="0" t="e">
        <f aca="false">Tahir!66:66-";7#!bu"</f>
        <v>#VALUE!</v>
      </c>
      <c r="IU21" s="0" t="e">
        <f aca="false">Tahir!67:67-";7#!bv"</f>
        <v>#VALUE!</v>
      </c>
      <c r="IV21" s="0" t="e">
        <f aca="false">Tahir!68:68-";7#!bw"</f>
        <v>#VALUE!</v>
      </c>
    </row>
    <row r="22" customFormat="false" ht="15" hidden="false" customHeight="false" outlineLevel="0" collapsed="false">
      <c r="F22" s="0" t="e">
        <f aca="false">Tahir!69:69-";7#!bx"</f>
        <v>#VALUE!</v>
      </c>
      <c r="G22" s="0" t="e">
        <f aca="false">Tahir!70:70-";7#!by"</f>
        <v>#VALUE!</v>
      </c>
      <c r="H22" s="0" t="e">
        <f aca="false">Tahir!71:71-";7#!bz"</f>
        <v>#VALUE!</v>
      </c>
      <c r="I22" s="0" t="e">
        <f aca="false">Tahir!72:72-";7#!b{"</f>
        <v>#VALUE!</v>
      </c>
      <c r="J22" s="0" t="e">
        <f aca="false">Tahir!73:73-";7#!b|"</f>
        <v>#VALUE!</v>
      </c>
      <c r="K22" s="0" t="e">
        <f aca="false">Tahir!74:74-";7#!b}"</f>
        <v>#VALUE!</v>
      </c>
      <c r="L22" s="0" t="e">
        <f aca="false">Tahir!75:75-";7#!b~"</f>
        <v>#VALUE!</v>
      </c>
      <c r="M22" s="0" t="e">
        <f aca="false">Tahir!76:76-";7#!c#"</f>
        <v>#VALUE!</v>
      </c>
      <c r="N22" s="0" t="e">
        <f aca="false">Tahir!77:77-";7#!c$"</f>
        <v>#VALUE!</v>
      </c>
      <c r="O22" s="0" t="e">
        <f aca="false">Tahir!78:78-";7#!c%"</f>
        <v>#VALUE!</v>
      </c>
      <c r="P22" s="0" t="e">
        <f aca="false">Tahir!79:79-";7#!c&amp;"</f>
        <v>#VALUE!</v>
      </c>
      <c r="Q22" s="0" t="e">
        <f aca="false">Tahir!80:80-";7#!c'"</f>
        <v>#VALUE!</v>
      </c>
      <c r="R22" s="0" t="e">
        <f aca="false">Tahir!81:81-";7#!c("</f>
        <v>#VALUE!</v>
      </c>
      <c r="S22" s="0" t="e">
        <f aca="false">Tahir!82:82-";7#!c)"</f>
        <v>#VALUE!</v>
      </c>
      <c r="T22" s="0" t="e">
        <f aca="false">Tahir!83:83-";7#!c."</f>
        <v>#VALUE!</v>
      </c>
      <c r="U22" s="0" t="e">
        <f aca="false">Tahir!84:84-";7#!c/"</f>
        <v>#VALUE!</v>
      </c>
      <c r="V22" s="0" t="e">
        <f aca="false">Tahir!85:85-";7#!c0"</f>
        <v>#VALUE!</v>
      </c>
      <c r="W22" s="0" t="e">
        <f aca="false">Tahir!86:86-";7#!c1"</f>
        <v>#VALUE!</v>
      </c>
      <c r="X22" s="0" t="e">
        <f aca="false">Tahir!87:87-";7#!c2"</f>
        <v>#VALUE!</v>
      </c>
      <c r="Y22" s="0" t="e">
        <f aca="false">Tahir!88:88-";7#!c3"</f>
        <v>#VALUE!</v>
      </c>
      <c r="Z22" s="0" t="e">
        <f aca="false">Tahir!89:89-";7#!c4"</f>
        <v>#VALUE!</v>
      </c>
      <c r="AA22" s="0" t="e">
        <f aca="false">Tahir!90:90-";7#!c5"</f>
        <v>#VALUE!</v>
      </c>
      <c r="AB22" s="0" t="e">
        <f aca="false">Tahir!91:91-";7#!c6"</f>
        <v>#VALUE!</v>
      </c>
      <c r="AC22" s="0" t="e">
        <f aca="false">Tahir!92:92-";7#!c7"</f>
        <v>#VALUE!</v>
      </c>
      <c r="AD22" s="0" t="e">
        <f aca="false">Tahir!93:93-";7#!c8"</f>
        <v>#VALUE!</v>
      </c>
      <c r="AE22" s="0" t="e">
        <f aca="false">Tahir!94:94-";7#!c9"</f>
        <v>#VALUE!</v>
      </c>
      <c r="AF22" s="0" t="e">
        <f aca="false">Tahir!95:95-";7#!c:"</f>
        <v>#VALUE!</v>
      </c>
      <c r="AG22" s="0" t="e">
        <f aca="false">Tahir!96:96-";7#!c;"</f>
        <v>#VALUE!</v>
      </c>
      <c r="AH22" s="0" t="e">
        <f aca="false">Tahir!97:97-";7#!c&lt;"</f>
        <v>#VALUE!</v>
      </c>
      <c r="AI22" s="0" t="e">
        <f aca="false">Tahir!98:98-";7#!c="</f>
        <v>#VALUE!</v>
      </c>
      <c r="AJ22" s="0" t="e">
        <f aca="false">Tahir!99:99-";7#!c&gt;"</f>
        <v>#VALUE!</v>
      </c>
      <c r="AK22" s="0" t="e">
        <f aca="false">Tahir!100:100-";7#!c?"</f>
        <v>#VALUE!</v>
      </c>
      <c r="AL22" s="0" t="e">
        <f aca="false">Tahir!101:101-";7#!c@"</f>
        <v>#VALUE!</v>
      </c>
      <c r="AM22" s="0" t="e">
        <f aca="false">Tahir!102:102-";7#!cA"</f>
        <v>#VALUE!</v>
      </c>
      <c r="AN22" s="0" t="e">
        <f aca="false">Tahir!103:103-";7#!cB"</f>
        <v>#VALUE!</v>
      </c>
      <c r="AO22" s="0" t="e">
        <f aca="false">Tahir!104:104-";7#!cC"</f>
        <v>#VALUE!</v>
      </c>
      <c r="AP22" s="0" t="e">
        <f aca="false">Tahir!105:105-";7#!cD"</f>
        <v>#VALUE!</v>
      </c>
      <c r="AQ22" s="0" t="e">
        <f aca="false">Tahir!106:106-";7#!cE"</f>
        <v>#VALUE!</v>
      </c>
      <c r="AR22" s="0" t="e">
        <f aca="false">Tahir!107:107-";7#!cF"</f>
        <v>#VALUE!</v>
      </c>
      <c r="AS22" s="0" t="e">
        <f aca="false">Tahir!108:108-";7#!cG"</f>
        <v>#VALUE!</v>
      </c>
      <c r="AT22" s="0" t="e">
        <f aca="false">Tahir!109:109-";7#!cH"</f>
        <v>#VALUE!</v>
      </c>
      <c r="AU22" s="0" t="e">
        <f aca="false">Tahir!110:110-";7#!cI"</f>
        <v>#VALUE!</v>
      </c>
      <c r="AV22" s="0" t="e">
        <f aca="false">Tahir!111:111-";7#!cJ"</f>
        <v>#VALUE!</v>
      </c>
      <c r="AW22" s="0" t="e">
        <f aca="false">Tahir!112:112-";7#!cK"</f>
        <v>#VALUE!</v>
      </c>
      <c r="AX22" s="0" t="e">
        <f aca="false">Tahir!113:113-";7#!cL"</f>
        <v>#VALUE!</v>
      </c>
      <c r="AY22" s="0" t="e">
        <f aca="false">Tahir!114:114-";7#!cM"</f>
        <v>#VALUE!</v>
      </c>
      <c r="AZ22" s="0" t="e">
        <f aca="false">Tahir!115:115-";7#!cN"</f>
        <v>#VALUE!</v>
      </c>
      <c r="BA22" s="0" t="e">
        <f aca="false">Tahir!116:116-";7#!cO"</f>
        <v>#VALUE!</v>
      </c>
      <c r="BB22" s="0" t="e">
        <f aca="false">Tahir!117:117-";7#!cP"</f>
        <v>#VALUE!</v>
      </c>
      <c r="BC22" s="0" t="e">
        <f aca="false">Tahir!118:118-";7#!cQ"</f>
        <v>#VALUE!</v>
      </c>
      <c r="BD22" s="0" t="e">
        <f aca="false">Tahir!119:119-";7#!cR"</f>
        <v>#VALUE!</v>
      </c>
      <c r="BE22" s="0" t="e">
        <f aca="false">Tahir!120:120-";7#!cS"</f>
        <v>#VALUE!</v>
      </c>
      <c r="BF22" s="0" t="e">
        <f aca="false">Tahir!121:121-";7#!cT"</f>
        <v>#VALUE!</v>
      </c>
      <c r="BG22" s="0" t="e">
        <f aca="false">Tahir!122:122-";7#!cU"</f>
        <v>#VALUE!</v>
      </c>
      <c r="BH22" s="0" t="e">
        <f aca="false">Tahir!123:123-";7#!cV"</f>
        <v>#VALUE!</v>
      </c>
      <c r="BI22" s="0" t="e">
        <f aca="false">Tahir!124:124-";7#!cW"</f>
        <v>#VALUE!</v>
      </c>
      <c r="BJ22" s="0" t="e">
        <f aca="false">Tahir!125:125-";7#!cX"</f>
        <v>#VALUE!</v>
      </c>
      <c r="BK22" s="0" t="e">
        <f aca="false">Tahir!126:126-";7#!cY"</f>
        <v>#VALUE!</v>
      </c>
      <c r="BL22" s="0" t="e">
        <f aca="false">Tahir!127:127-";7#!cZ"</f>
        <v>#VALUE!</v>
      </c>
      <c r="BM22" s="0" t="e">
        <f aca="false">Tahir!128:128-";7#!c["</f>
        <v>#VALUE!</v>
      </c>
      <c r="BN22" s="0" t="e">
        <f aca="false">Tahir!129:129-";7#!c\"</f>
        <v>#VALUE!</v>
      </c>
      <c r="BO22" s="0" t="e">
        <f aca="false">Tahir!130:130-";7#!c]"</f>
        <v>#VALUE!</v>
      </c>
      <c r="BP22" s="0" t="e">
        <f aca="false">Tahir!131:131-";7#!c^"</f>
        <v>#VALUE!</v>
      </c>
      <c r="BQ22" s="0" t="e">
        <f aca="false">Tahir!132:132-";7#!c_"</f>
        <v>#VALUE!</v>
      </c>
      <c r="BR22" s="0" t="e">
        <f aca="false">Tahir!133:133-";7#!c`"</f>
        <v>#VALUE!</v>
      </c>
      <c r="BS22" s="0" t="e">
        <f aca="false">Tahir!134:134-";7#!ca"</f>
        <v>#VALUE!</v>
      </c>
      <c r="BT22" s="0" t="e">
        <f aca="false">Tahir!135:135-";7#!cb"</f>
        <v>#VALUE!</v>
      </c>
      <c r="BU22" s="0" t="e">
        <f aca="false">Tahir!136:136-";7#!cc"</f>
        <v>#VALUE!</v>
      </c>
      <c r="BV22" s="0" t="e">
        <f aca="false">Tahir!137:137-";7#!cd"</f>
        <v>#VALUE!</v>
      </c>
      <c r="BW22" s="0" t="e">
        <f aca="false">Tahir!138:138-";7#!ce"</f>
        <v>#VALUE!</v>
      </c>
      <c r="BX22" s="0" t="e">
        <f aca="false">Tahir!139:139-";7#!cf"</f>
        <v>#VALUE!</v>
      </c>
      <c r="BY22" s="0" t="e">
        <f aca="false">Tahir!140:140-";7#!cg"</f>
        <v>#VALUE!</v>
      </c>
      <c r="BZ22" s="0" t="e">
        <f aca="false">Tahir!141:141-";7#!ch"</f>
        <v>#VALUE!</v>
      </c>
      <c r="CA22" s="0" t="e">
        <f aca="false">Tahir!142:142-";7#!ci"</f>
        <v>#VALUE!</v>
      </c>
      <c r="CB22" s="0" t="e">
        <f aca="false">Tahir!143:143-";7#!cj"</f>
        <v>#VALUE!</v>
      </c>
      <c r="CC22" s="0" t="e">
        <f aca="false">Tahir!144:144-";7#!ck"</f>
        <v>#VALUE!</v>
      </c>
      <c r="CD22" s="0" t="e">
        <f aca="false">Tahir!145:145-";7#!cl"</f>
        <v>#VALUE!</v>
      </c>
      <c r="CE22" s="0" t="e">
        <f aca="false">Tahir!146:146-";7#!cm"</f>
        <v>#VALUE!</v>
      </c>
      <c r="CF22" s="0" t="e">
        <f aca="false">Tahir!147:147-";7#!cn"</f>
        <v>#VALUE!</v>
      </c>
      <c r="CG22" s="0" t="e">
        <f aca="false">Tahir!148:148-";7#!co"</f>
        <v>#VALUE!</v>
      </c>
      <c r="CH22" s="0" t="e">
        <f aca="false">Tahir!149:149-";7#!cp"</f>
        <v>#VALUE!</v>
      </c>
      <c r="CI22" s="0" t="e">
        <f aca="false">Tahir!150:150-";7#!cq"</f>
        <v>#VALUE!</v>
      </c>
      <c r="CJ22" s="0" t="e">
        <f aca="false">Tahir!151:151-";7#!cr"</f>
        <v>#VALUE!</v>
      </c>
      <c r="CK22" s="0" t="e">
        <f aca="false">Tahir!152:152-";7#!cs"</f>
        <v>#VALUE!</v>
      </c>
      <c r="CL22" s="0" t="e">
        <f aca="false">Tahir!153:153-";7#!ct"</f>
        <v>#VALUE!</v>
      </c>
      <c r="CM22" s="0" t="e">
        <f aca="false">Tahir!154:154-";7#!cu"</f>
        <v>#VALUE!</v>
      </c>
      <c r="CN22" s="0" t="e">
        <f aca="false">Tahir!155:155-";7#!cv"</f>
        <v>#VALUE!</v>
      </c>
      <c r="CO22" s="0" t="e">
        <f aca="false">Tahir!156:156-";7#!cw"</f>
        <v>#VALUE!</v>
      </c>
      <c r="CP22" s="0" t="e">
        <f aca="false">Tahir!157:157-";7#!cx"</f>
        <v>#VALUE!</v>
      </c>
      <c r="CQ22" s="0" t="e">
        <f aca="false">Tahir!158:158-";7#!cy"</f>
        <v>#VALUE!</v>
      </c>
      <c r="CR22" s="0" t="e">
        <f aca="false">Tahir!159:159-";7#!cz"</f>
        <v>#VALUE!</v>
      </c>
      <c r="CS22" s="0" t="e">
        <f aca="false">Tahir!160:160-";7#!c{"</f>
        <v>#VALUE!</v>
      </c>
      <c r="CT22" s="0" t="e">
        <f aca="false">Tahir!161:161-";7#!c|"</f>
        <v>#VALUE!</v>
      </c>
      <c r="CU22" s="0" t="e">
        <f aca="false">Tahir!162:162-";7#!c}"</f>
        <v>#VALUE!</v>
      </c>
      <c r="CV22" s="0" t="e">
        <f aca="false">Tahir!163:163-";7#!c~"</f>
        <v>#VALUE!</v>
      </c>
      <c r="CW22" s="0" t="e">
        <f aca="false">Tahir!164:164-";7#!d#"</f>
        <v>#VALUE!</v>
      </c>
      <c r="CX22" s="0" t="e">
        <f aca="false">Tahir!165:165-";7#!d$"</f>
        <v>#VALUE!</v>
      </c>
      <c r="CY22" s="0" t="e">
        <f aca="false">Tahir!166:166-";7#!d%"</f>
        <v>#VALUE!</v>
      </c>
      <c r="CZ22" s="0" t="e">
        <f aca="false">Tahir!167:167-";7#!d&amp;"</f>
        <v>#VALUE!</v>
      </c>
      <c r="DA22" s="0" t="e">
        <f aca="false">Tahir!168:168-";7#!d'"</f>
        <v>#VALUE!</v>
      </c>
      <c r="DB22" s="0" t="e">
        <f aca="false">Tahir!169:169-";7#!d("</f>
        <v>#VALUE!</v>
      </c>
      <c r="DC22" s="0" t="e">
        <f aca="false">Tahir!170:170-";7#!d)"</f>
        <v>#VALUE!</v>
      </c>
      <c r="DD22" s="0" t="e">
        <f aca="false">Tahir!171:171-";7#!d."</f>
        <v>#VALUE!</v>
      </c>
      <c r="DE22" s="0" t="e">
        <f aca="false">Tahir!172:172-";7#!d/"</f>
        <v>#VALUE!</v>
      </c>
      <c r="DF22" s="0" t="e">
        <f aca="false">Tahir!173:173-";7#!d0"</f>
        <v>#VALUE!</v>
      </c>
      <c r="DG22" s="0" t="e">
        <f aca="false">Tahir!174:174-";7#!d1"</f>
        <v>#VALUE!</v>
      </c>
      <c r="DH22" s="0" t="e">
        <f aca="false">Tahir!175:175-";7#!d2"</f>
        <v>#VALUE!</v>
      </c>
      <c r="DI22" s="0" t="e">
        <f aca="false">Tahir!176:176-";7#!d3"</f>
        <v>#VALUE!</v>
      </c>
      <c r="DJ22" s="0" t="e">
        <f aca="false">Tahir!177:177-";7#!d4"</f>
        <v>#VALUE!</v>
      </c>
      <c r="DK22" s="0" t="e">
        <f aca="false">Tahir!178:178-";7#!d5"</f>
        <v>#VALUE!</v>
      </c>
      <c r="DL22" s="0" t="e">
        <f aca="false">Tahir!179:179-";7#!d6"</f>
        <v>#VALUE!</v>
      </c>
      <c r="DM22" s="0" t="e">
        <f aca="false">Tahir!180:180-";7#!d7"</f>
        <v>#VALUE!</v>
      </c>
      <c r="DN22" s="0" t="e">
        <f aca="false">Tahir!181:181-";7#!d8"</f>
        <v>#VALUE!</v>
      </c>
      <c r="DO22" s="0" t="e">
        <f aca="false">Tahir!182:182-";7#!d9"</f>
        <v>#VALUE!</v>
      </c>
      <c r="DP22" s="0" t="e">
        <f aca="false">Tahir!183:183-";7#!d:"</f>
        <v>#VALUE!</v>
      </c>
      <c r="DQ22" s="0" t="e">
        <f aca="false">Tahir!184:184-";7#!d;"</f>
        <v>#VALUE!</v>
      </c>
      <c r="DR22" s="0" t="e">
        <f aca="false">Tahir!185:185-";7#!d&lt;"</f>
        <v>#VALUE!</v>
      </c>
      <c r="DS22" s="0" t="e">
        <f aca="false">Tahir!186:186-";7#!d="</f>
        <v>#VALUE!</v>
      </c>
      <c r="DT22" s="0" t="e">
        <f aca="false">Tahir!187:187-";7#!d&gt;"</f>
        <v>#VALUE!</v>
      </c>
      <c r="DU22" s="0" t="e">
        <f aca="false">Tahir!188:188-";7#!d?"</f>
        <v>#VALUE!</v>
      </c>
      <c r="DV22" s="0" t="e">
        <f aca="false">Tahir!189:189-";7#!d@"</f>
        <v>#VALUE!</v>
      </c>
      <c r="DW22" s="0" t="e">
        <f aca="false">Tahir!190:190-";7#!dA"</f>
        <v>#VALUE!</v>
      </c>
      <c r="DX22" s="0" t="e">
        <f aca="false">Tahir!191:191-";7#!dB"</f>
        <v>#VALUE!</v>
      </c>
      <c r="DY22" s="0" t="e">
        <f aca="false">Tahir!192:192-";7#!dC"</f>
        <v>#VALUE!</v>
      </c>
      <c r="DZ22" s="0" t="e">
        <f aca="false">Tahir!193:193-";7#!dD"</f>
        <v>#VALUE!</v>
      </c>
      <c r="EA22" s="0" t="e">
        <f aca="false">Tahir!194:194-";7#!dE"</f>
        <v>#VALUE!</v>
      </c>
      <c r="EB22" s="0" t="e">
        <f aca="false">Tahir!195:195-";7#!dF"</f>
        <v>#VALUE!</v>
      </c>
      <c r="EC22" s="0" t="e">
        <f aca="false">Tahir!196:196-";7#!dG"</f>
        <v>#VALUE!</v>
      </c>
      <c r="ED22" s="0" t="e">
        <f aca="false">Tahir!197:197-";7#!dH"</f>
        <v>#VALUE!</v>
      </c>
      <c r="EE22" s="0" t="e">
        <f aca="false">Tahir!198:198-";7#!dI"</f>
        <v>#VALUE!</v>
      </c>
      <c r="EF22" s="0" t="e">
        <f aca="false">Tahir!199:199-";7#!dJ"</f>
        <v>#VALUE!</v>
      </c>
      <c r="EG22" s="0" t="e">
        <f aca="false">Tahir!200:200-";7#!dK"</f>
        <v>#VALUE!</v>
      </c>
      <c r="EH22" s="0" t="e">
        <f aca="false">Tahir!201:201-";7#!dL"</f>
        <v>#VALUE!</v>
      </c>
      <c r="EI22" s="0" t="e">
        <f aca="false">Tahir!202:202-";7#!dM"</f>
        <v>#VALUE!</v>
      </c>
      <c r="EJ22" s="0" t="e">
        <f aca="false">Tahir!203:203-";7#!dN"</f>
        <v>#VALUE!</v>
      </c>
      <c r="EK22" s="0" t="e">
        <f aca="false">Tahir!204:204-";7#!dO"</f>
        <v>#VALUE!</v>
      </c>
      <c r="EL22" s="0" t="e">
        <f aca="false">Tahir!205:205-";7#!dP"</f>
        <v>#VALUE!</v>
      </c>
      <c r="EM22" s="0" t="e">
        <f aca="false">Tahir!206:206-";7#!dQ"</f>
        <v>#VALUE!</v>
      </c>
      <c r="EN22" s="0" t="e">
        <f aca="false">Tahir!207:207-";7#!dR"</f>
        <v>#VALUE!</v>
      </c>
      <c r="EO22" s="0" t="e">
        <f aca="false">Tahir!208:208-";7#!dS"</f>
        <v>#VALUE!</v>
      </c>
      <c r="EP22" s="0" t="e">
        <f aca="false">Tahir!209:209-";7#!dT"</f>
        <v>#VALUE!</v>
      </c>
      <c r="EQ22" s="0" t="e">
        <f aca="false">Tahir!210:210-";7#!dU"</f>
        <v>#VALUE!</v>
      </c>
      <c r="ER22" s="0" t="e">
        <f aca="false">Tahir!211:211-";7#!dV"</f>
        <v>#VALUE!</v>
      </c>
      <c r="ES22" s="0" t="e">
        <f aca="false">Tahir!212:212-";7#!dW"</f>
        <v>#VALUE!</v>
      </c>
      <c r="ET22" s="0" t="e">
        <f aca="false">Tahir!213:213-";7#!dX"</f>
        <v>#VALUE!</v>
      </c>
      <c r="EU22" s="0" t="e">
        <f aca="false">Tahir!214:214-";7#!dY"</f>
        <v>#VALUE!</v>
      </c>
      <c r="EV22" s="0" t="e">
        <f aca="false">Tahir!215:215-";7#!dZ"</f>
        <v>#VALUE!</v>
      </c>
      <c r="EW22" s="0" t="e">
        <f aca="false">Tahir!216:216-";7#!d["</f>
        <v>#VALUE!</v>
      </c>
      <c r="EX22" s="0" t="e">
        <f aca="false">Tahir!217:217-";7#!d\"</f>
        <v>#VALUE!</v>
      </c>
      <c r="EY22" s="0" t="e">
        <f aca="false">Tahir!218:218-";7#!d]"</f>
        <v>#VALUE!</v>
      </c>
      <c r="EZ22" s="0" t="e">
        <f aca="false">Tahir!219:219-";7#!d^"</f>
        <v>#VALUE!</v>
      </c>
      <c r="FA22" s="0" t="e">
        <f aca="false">Tahir!220:220-";7#!d_"</f>
        <v>#VALUE!</v>
      </c>
      <c r="FB22" s="0" t="e">
        <f aca="false">Tahir!221:221-";7#!d`"</f>
        <v>#VALUE!</v>
      </c>
      <c r="FC22" s="0" t="e">
        <f aca="false">Tahir!222:222-";7#!da"</f>
        <v>#VALUE!</v>
      </c>
      <c r="FD22" s="0" t="e">
        <f aca="false">Tahir!223:223-";7#!db"</f>
        <v>#VALUE!</v>
      </c>
      <c r="FE22" s="0" t="e">
        <f aca="false">Tahir!224:224-";7#!dc"</f>
        <v>#VALUE!</v>
      </c>
      <c r="FF22" s="0" t="e">
        <f aca="false">Tahir!225:225-";7#!dd"</f>
        <v>#VALUE!</v>
      </c>
      <c r="FG22" s="0" t="e">
        <f aca="false">Tahir!226:226-";7#!de"</f>
        <v>#VALUE!</v>
      </c>
      <c r="FH22" s="0" t="e">
        <f aca="false">Tahir!227:227-";7#!df"</f>
        <v>#VALUE!</v>
      </c>
      <c r="FI22" s="0" t="e">
        <f aca="false">Tahir!228:228-";7#!dg"</f>
        <v>#VALUE!</v>
      </c>
      <c r="FJ22" s="0" t="e">
        <f aca="false">Tahir!229:229-";7#!dh"</f>
        <v>#VALUE!</v>
      </c>
      <c r="FK22" s="0" t="e">
        <f aca="false">Tahir!230:230-";7#!di"</f>
        <v>#VALUE!</v>
      </c>
      <c r="FL22" s="0" t="e">
        <f aca="false">Tahir!231:231-";7#!dj"</f>
        <v>#VALUE!</v>
      </c>
      <c r="FM22" s="0" t="e">
        <f aca="false">Tahir!232:232-";7#!dk"</f>
        <v>#VALUE!</v>
      </c>
      <c r="FN22" s="0" t="e">
        <f aca="false">Tahir!233:233-";7#!dl"</f>
        <v>#VALUE!</v>
      </c>
      <c r="FO22" s="0" t="e">
        <f aca="false">Tahir!A1+";7#!dm"</f>
        <v>#VALUE!</v>
      </c>
      <c r="FP22" s="0" t="e">
        <f aca="false">Tahir!B1+";7#!dn"</f>
        <v>#VALUE!</v>
      </c>
      <c r="FQ22" s="0" t="e">
        <f aca="false">Tahir!C1+";7#!do"</f>
        <v>#VALUE!</v>
      </c>
      <c r="FR22" s="0" t="e">
        <f aca="false">Tahir!D1+";7#!dp"</f>
        <v>#VALUE!</v>
      </c>
      <c r="FS22" s="0" t="e">
        <f aca="false">Tahir!E1+";7#!dq"</f>
        <v>#VALUE!</v>
      </c>
      <c r="FT22" s="0" t="e">
        <f aca="false">Tahir!F1+";7#!dr"</f>
        <v>#VALUE!</v>
      </c>
      <c r="FU22" s="0" t="e">
        <f aca="false">Tahir!G1+";7#!ds"</f>
        <v>#VALUE!</v>
      </c>
      <c r="FV22" s="0" t="e">
        <f aca="false">Tahir!H1+";7#!dt"</f>
        <v>#VALUE!</v>
      </c>
      <c r="FW22" s="0" t="e">
        <f aca="false">Tahir!I1+";7#!du"</f>
        <v>#VALUE!</v>
      </c>
      <c r="FX22" s="0" t="e">
        <f aca="false">Tahir!J1+";7#!dv"</f>
        <v>#VALUE!</v>
      </c>
      <c r="FY22" s="0" t="e">
        <f aca="false">Tahir!K1+";7#!dw"</f>
        <v>#VALUE!</v>
      </c>
      <c r="FZ22" s="0" t="e">
        <f aca="false">Tahir!L1+";7#!dx"</f>
        <v>#VALUE!</v>
      </c>
      <c r="GA22" s="0" t="e">
        <f aca="false">Tahir!M1+";7#!dy"</f>
        <v>#VALUE!</v>
      </c>
      <c r="GB22" s="0" t="e">
        <f aca="false">Tahir!N1+";7#!dz"</f>
        <v>#VALUE!</v>
      </c>
      <c r="GC22" s="0" t="e">
        <f aca="false">Tahir!O1+";7#!d{"</f>
        <v>#VALUE!</v>
      </c>
      <c r="GD22" s="0" t="e">
        <f aca="false">Tahir!P1+";7#!d|"</f>
        <v>#VALUE!</v>
      </c>
      <c r="GE22" s="0" t="e">
        <f aca="false">Tahir!A2+";7#!d}"</f>
        <v>#VALUE!</v>
      </c>
      <c r="GF22" s="0" t="e">
        <f aca="false">Tahir!B2+";7#!d~"</f>
        <v>#VALUE!</v>
      </c>
      <c r="GG22" s="0" t="e">
        <f aca="false">Tahir!C2+";7#!e#"</f>
        <v>#VALUE!</v>
      </c>
      <c r="GH22" s="0" t="e">
        <f aca="false">Tahir!D2+";7#!e$"</f>
        <v>#VALUE!</v>
      </c>
      <c r="GI22" s="0" t="e">
        <f aca="false">Tahir!E2+";7#!e%"</f>
        <v>#VALUE!</v>
      </c>
      <c r="GJ22" s="0" t="e">
        <f aca="false">Tahir!F2+";7#!e&amp;"</f>
        <v>#VALUE!</v>
      </c>
      <c r="GK22" s="0" t="e">
        <f aca="false">Tahir!G2+";7#!e'"</f>
        <v>#VALUE!</v>
      </c>
      <c r="GL22" s="0" t="e">
        <f aca="false">Tahir!H2+";7#!e("</f>
        <v>#VALUE!</v>
      </c>
      <c r="GM22" s="0" t="e">
        <f aca="false">Tahir!I2+";7#!e)"</f>
        <v>#VALUE!</v>
      </c>
      <c r="GN22" s="0" t="e">
        <f aca="false">Tahir!J2+";7#!e."</f>
        <v>#VALUE!</v>
      </c>
      <c r="GO22" s="0" t="e">
        <f aca="false">Tahir!K2+";7#!e/"</f>
        <v>#VALUE!</v>
      </c>
      <c r="GP22" s="0" t="e">
        <f aca="false">Tahir!L2+";7#!e0"</f>
        <v>#VALUE!</v>
      </c>
      <c r="GQ22" s="0" t="e">
        <f aca="false">Tahir!M2+";7#!e1"</f>
        <v>#VALUE!</v>
      </c>
      <c r="GR22" s="0" t="e">
        <f aca="false">Tahir!N2+";7#!e2"</f>
        <v>#VALUE!</v>
      </c>
      <c r="GS22" s="0" t="e">
        <f aca="false">Tahir!O2+";7#!e3"</f>
        <v>#VALUE!</v>
      </c>
      <c r="GT22" s="0" t="e">
        <f aca="false">Tahir!P2+";7#!e4"</f>
        <v>#VALUE!</v>
      </c>
      <c r="GU22" s="0" t="e">
        <f aca="false">Tahir!Q2+";7#!e5"</f>
        <v>#VALUE!</v>
      </c>
      <c r="GV22" s="0" t="e">
        <f aca="false">Tahir!A3+";7#!e6"</f>
        <v>#VALUE!</v>
      </c>
      <c r="GW22" s="0" t="e">
        <f aca="false">Tahir!B3+";7#!e7"</f>
        <v>#VALUE!</v>
      </c>
      <c r="GX22" s="0" t="e">
        <f aca="false">Tahir!C3+";7#!e8"</f>
        <v>#VALUE!</v>
      </c>
      <c r="GY22" s="0" t="e">
        <f aca="false">Tahir!D3+";7#!e9"</f>
        <v>#VALUE!</v>
      </c>
      <c r="GZ22" s="0" t="e">
        <f aca="false">Tahir!E3+";7#!e:"</f>
        <v>#VALUE!</v>
      </c>
      <c r="HA22" s="0" t="e">
        <f aca="false">Tahir!F3+";7#!e;"</f>
        <v>#VALUE!</v>
      </c>
      <c r="HB22" s="0" t="e">
        <f aca="false">Tahir!G3+";7#!e&lt;"</f>
        <v>#VALUE!</v>
      </c>
      <c r="HC22" s="0" t="e">
        <f aca="false">Tahir!H3+";7#!e="</f>
        <v>#VALUE!</v>
      </c>
      <c r="HD22" s="0" t="e">
        <f aca="false">Tahir!I3+";7#!e&gt;"</f>
        <v>#VALUE!</v>
      </c>
      <c r="HE22" s="0" t="e">
        <f aca="false">Tahir!J3+";7#!e?"</f>
        <v>#VALUE!</v>
      </c>
      <c r="HF22" s="0" t="e">
        <f aca="false">Tahir!K3+";7#!e@"</f>
        <v>#VALUE!</v>
      </c>
      <c r="HG22" s="0" t="e">
        <f aca="false">Tahir!L3+";7#!eA"</f>
        <v>#VALUE!</v>
      </c>
      <c r="HH22" s="0" t="e">
        <f aca="false">Tahir!M3+";7#!eB"</f>
        <v>#VALUE!</v>
      </c>
      <c r="HI22" s="0" t="e">
        <f aca="false">Tahir!N3+";7#!eC"</f>
        <v>#VALUE!</v>
      </c>
      <c r="HJ22" s="0" t="e">
        <f aca="false">Tahir!O3+";7#!eD"</f>
        <v>#VALUE!</v>
      </c>
      <c r="HK22" s="0" t="e">
        <f aca="false">Tahir!P3+";7#!eE"</f>
        <v>#VALUE!</v>
      </c>
      <c r="HL22" s="0" t="e">
        <f aca="false">Tahir!Q3+";7#!eF"</f>
        <v>#VALUE!</v>
      </c>
      <c r="HM22" s="0" t="e">
        <f aca="false">Tahir!A4+";7#!eG"</f>
        <v>#VALUE!</v>
      </c>
      <c r="HN22" s="0" t="e">
        <f aca="false">Tahir!B4+";7#!eH"</f>
        <v>#VALUE!</v>
      </c>
      <c r="HO22" s="0" t="e">
        <f aca="false">Tahir!C4+";7#!eI"</f>
        <v>#VALUE!</v>
      </c>
      <c r="HP22" s="0" t="e">
        <f aca="false">Tahir!D4+";7#!eJ"</f>
        <v>#VALUE!</v>
      </c>
      <c r="HQ22" s="0" t="e">
        <f aca="false">Tahir!E4+";7#!eK"</f>
        <v>#VALUE!</v>
      </c>
      <c r="HR22" s="0" t="e">
        <f aca="false">Tahir!F4+";7#!eL"</f>
        <v>#VALUE!</v>
      </c>
      <c r="HS22" s="0" t="e">
        <f aca="false">Tahir!G4+";7#!eM"</f>
        <v>#VALUE!</v>
      </c>
      <c r="HT22" s="0" t="e">
        <f aca="false">Tahir!H4+";7#!eN"</f>
        <v>#VALUE!</v>
      </c>
      <c r="HU22" s="0" t="e">
        <f aca="false">Tahir!I4+";7#!eO"</f>
        <v>#VALUE!</v>
      </c>
      <c r="HV22" s="0" t="e">
        <f aca="false">Tahir!J4+";7#!eP"</f>
        <v>#VALUE!</v>
      </c>
      <c r="HW22" s="0" t="e">
        <f aca="false">Tahir!K4+";7#!eQ"</f>
        <v>#VALUE!</v>
      </c>
      <c r="HX22" s="0" t="e">
        <f aca="false">Tahir!L4+";7#!eR"</f>
        <v>#VALUE!</v>
      </c>
      <c r="HY22" s="0" t="e">
        <f aca="false">Tahir!M4+";7#!eS"</f>
        <v>#VALUE!</v>
      </c>
      <c r="HZ22" s="0" t="e">
        <f aca="false">Tahir!N4+";7#!eT"</f>
        <v>#VALUE!</v>
      </c>
      <c r="IA22" s="0" t="e">
        <f aca="false">Tahir!O4+";7#!eU"</f>
        <v>#VALUE!</v>
      </c>
      <c r="IB22" s="0" t="e">
        <f aca="false">Tahir!P4+";7#!eV"</f>
        <v>#VALUE!</v>
      </c>
      <c r="IC22" s="0" t="e">
        <f aca="false">Tahir!Q4+";7#!eW"</f>
        <v>#VALUE!</v>
      </c>
      <c r="ID22" s="0" t="e">
        <f aca="false">Tahir!A5+";7#!eX"</f>
        <v>#VALUE!</v>
      </c>
      <c r="IE22" s="0" t="e">
        <f aca="false">Tahir!B5+";7#!eY"</f>
        <v>#VALUE!</v>
      </c>
      <c r="IF22" s="0" t="e">
        <f aca="false">Tahir!C5+";7#!eZ"</f>
        <v>#VALUE!</v>
      </c>
      <c r="IG22" s="0" t="e">
        <f aca="false">Tahir!D5+";7#!e["</f>
        <v>#VALUE!</v>
      </c>
      <c r="IH22" s="0" t="e">
        <f aca="false">Tahir!E5+";7#!e\"</f>
        <v>#VALUE!</v>
      </c>
      <c r="II22" s="0" t="e">
        <f aca="false">Tahir!F5+";7#!e]"</f>
        <v>#VALUE!</v>
      </c>
      <c r="IJ22" s="0" t="e">
        <f aca="false">Tahir!G5+";7#!e^"</f>
        <v>#VALUE!</v>
      </c>
      <c r="IK22" s="0" t="e">
        <f aca="false">Tahir!H5+";7#!e_"</f>
        <v>#VALUE!</v>
      </c>
      <c r="IL22" s="0" t="e">
        <f aca="false">Tahir!I5+";7#!e`"</f>
        <v>#VALUE!</v>
      </c>
      <c r="IM22" s="0" t="e">
        <f aca="false">Tahir!J5+";7#!ea"</f>
        <v>#VALUE!</v>
      </c>
      <c r="IN22" s="0" t="e">
        <f aca="false">Tahir!K5+";7#!eb"</f>
        <v>#VALUE!</v>
      </c>
      <c r="IO22" s="0" t="e">
        <f aca="false">Tahir!L5+";7#!ec"</f>
        <v>#VALUE!</v>
      </c>
      <c r="IP22" s="0" t="e">
        <f aca="false">Tahir!M5+";7#!ed"</f>
        <v>#VALUE!</v>
      </c>
      <c r="IQ22" s="0" t="e">
        <f aca="false">Tahir!N5+";7#!ee"</f>
        <v>#VALUE!</v>
      </c>
      <c r="IR22" s="0" t="e">
        <f aca="false">Tahir!O5+";7#!ef"</f>
        <v>#VALUE!</v>
      </c>
      <c r="IS22" s="0" t="e">
        <f aca="false">Tahir!P5+";7#!eg"</f>
        <v>#VALUE!</v>
      </c>
      <c r="IT22" s="0" t="e">
        <f aca="false">Tahir!A6+";7#!eh"</f>
        <v>#VALUE!</v>
      </c>
      <c r="IU22" s="0" t="e">
        <f aca="false">Tahir!B6+";7#!ei"</f>
        <v>#VALUE!</v>
      </c>
      <c r="IV22" s="0" t="e">
        <f aca="false">Tahir!C6+";7#!ej"</f>
        <v>#VALUE!</v>
      </c>
    </row>
    <row r="23" customFormat="false" ht="15" hidden="false" customHeight="false" outlineLevel="0" collapsed="false">
      <c r="F23" s="0" t="e">
        <f aca="false">Tahir!D6+";7#!ek"</f>
        <v>#VALUE!</v>
      </c>
      <c r="G23" s="0" t="e">
        <f aca="false">Tahir!E6+";7#!el"</f>
        <v>#VALUE!</v>
      </c>
      <c r="H23" s="0" t="e">
        <f aca="false">Tahir!F6+";7#!em"</f>
        <v>#VALUE!</v>
      </c>
      <c r="I23" s="0" t="e">
        <f aca="false">Tahir!G6+";7#!en"</f>
        <v>#VALUE!</v>
      </c>
      <c r="J23" s="0" t="e">
        <f aca="false">Tahir!H6+";7#!eo"</f>
        <v>#VALUE!</v>
      </c>
      <c r="K23" s="0" t="e">
        <f aca="false">Tahir!I6+";7#!ep"</f>
        <v>#VALUE!</v>
      </c>
      <c r="L23" s="0" t="e">
        <f aca="false">Tahir!J6+";7#!eq"</f>
        <v>#VALUE!</v>
      </c>
      <c r="M23" s="0" t="e">
        <f aca="false">Tahir!K6+";7#!er"</f>
        <v>#VALUE!</v>
      </c>
      <c r="N23" s="0" t="e">
        <f aca="false">Tahir!L6+";7#!es"</f>
        <v>#VALUE!</v>
      </c>
      <c r="O23" s="0" t="e">
        <f aca="false">Tahir!M6+";7#!et"</f>
        <v>#VALUE!</v>
      </c>
      <c r="P23" s="0" t="e">
        <f aca="false">Tahir!N6+";7#!eu"</f>
        <v>#VALUE!</v>
      </c>
      <c r="Q23" s="0" t="e">
        <f aca="false">Tahir!O6+";7#!ev"</f>
        <v>#VALUE!</v>
      </c>
      <c r="R23" s="0" t="e">
        <f aca="false">Tahir!P6+";7#!ew"</f>
        <v>#VALUE!</v>
      </c>
      <c r="S23" s="0" t="e">
        <f aca="false">Tahir!A7+";7#!ex"</f>
        <v>#VALUE!</v>
      </c>
      <c r="T23" s="0" t="e">
        <f aca="false">Tahir!B7+";7#!ey"</f>
        <v>#VALUE!</v>
      </c>
      <c r="U23" s="0" t="e">
        <f aca="false">Tahir!C7+";7#!ez"</f>
        <v>#VALUE!</v>
      </c>
      <c r="V23" s="0" t="e">
        <f aca="false">Tahir!D7+";7#!e{"</f>
        <v>#VALUE!</v>
      </c>
      <c r="W23" s="0" t="e">
        <f aca="false">Tahir!E7+";7#!e|"</f>
        <v>#VALUE!</v>
      </c>
      <c r="X23" s="0" t="e">
        <f aca="false">Tahir!F7+";7#!e}"</f>
        <v>#VALUE!</v>
      </c>
      <c r="Y23" s="0" t="e">
        <f aca="false">Tahir!G7+";7#!e~"</f>
        <v>#VALUE!</v>
      </c>
      <c r="Z23" s="0" t="e">
        <f aca="false">Tahir!H7+";7#!f#"</f>
        <v>#VALUE!</v>
      </c>
      <c r="AA23" s="0" t="e">
        <f aca="false">Tahir!I7+";7#!f$"</f>
        <v>#VALUE!</v>
      </c>
      <c r="AB23" s="0" t="e">
        <f aca="false">Tahir!J7+";7#!f%"</f>
        <v>#VALUE!</v>
      </c>
      <c r="AC23" s="0" t="e">
        <f aca="false">Tahir!K7+";7#!f&amp;"</f>
        <v>#VALUE!</v>
      </c>
      <c r="AD23" s="0" t="e">
        <f aca="false">Tahir!L7+";7#!f'"</f>
        <v>#VALUE!</v>
      </c>
      <c r="AE23" s="0" t="e">
        <f aca="false">Tahir!M7+";7#!f("</f>
        <v>#VALUE!</v>
      </c>
      <c r="AF23" s="0" t="e">
        <f aca="false">Tahir!N7+";7#!f)"</f>
        <v>#VALUE!</v>
      </c>
      <c r="AG23" s="0" t="e">
        <f aca="false">Tahir!O7+";7#!f."</f>
        <v>#VALUE!</v>
      </c>
      <c r="AH23" s="0" t="e">
        <f aca="false">Tahir!P7+";7#!f/"</f>
        <v>#VALUE!</v>
      </c>
      <c r="AI23" s="0" t="e">
        <f aca="false">Tahir!A8+";7#!f0"</f>
        <v>#VALUE!</v>
      </c>
      <c r="AJ23" s="0" t="e">
        <f aca="false">Tahir!B8+";7#!f1"</f>
        <v>#VALUE!</v>
      </c>
      <c r="AK23" s="0" t="e">
        <f aca="false">Tahir!C8+";7#!f2"</f>
        <v>#VALUE!</v>
      </c>
      <c r="AL23" s="0" t="e">
        <f aca="false">Tahir!D8+";7#!f3"</f>
        <v>#VALUE!</v>
      </c>
      <c r="AM23" s="0" t="e">
        <f aca="false">Tahir!E8+";7#!f4"</f>
        <v>#VALUE!</v>
      </c>
      <c r="AN23" s="0" t="e">
        <f aca="false">Tahir!F8+";7#!f5"</f>
        <v>#VALUE!</v>
      </c>
      <c r="AO23" s="0" t="e">
        <f aca="false">Tahir!G8+";7#!f6"</f>
        <v>#VALUE!</v>
      </c>
      <c r="AP23" s="0" t="e">
        <f aca="false">Tahir!H8+";7#!f7"</f>
        <v>#VALUE!</v>
      </c>
      <c r="AQ23" s="0" t="e">
        <f aca="false">Tahir!I8+";7#!f8"</f>
        <v>#VALUE!</v>
      </c>
      <c r="AR23" s="0" t="e">
        <f aca="false">Tahir!J8+";7#!f9"</f>
        <v>#VALUE!</v>
      </c>
      <c r="AS23" s="0" t="e">
        <f aca="false">Tahir!K8+";7#!f:"</f>
        <v>#VALUE!</v>
      </c>
      <c r="AT23" s="0" t="e">
        <f aca="false">Tahir!L8+";7#!f;"</f>
        <v>#VALUE!</v>
      </c>
      <c r="AU23" s="0" t="e">
        <f aca="false">Tahir!M8+";7#!f&lt;"</f>
        <v>#VALUE!</v>
      </c>
      <c r="AV23" s="0" t="e">
        <f aca="false">Tahir!N8+";7#!f="</f>
        <v>#VALUE!</v>
      </c>
      <c r="AW23" s="0" t="e">
        <f aca="false">Tahir!O8+";7#!f&gt;"</f>
        <v>#VALUE!</v>
      </c>
      <c r="AX23" s="0" t="e">
        <f aca="false">Tahir!P8+";7#!f?"</f>
        <v>#VALUE!</v>
      </c>
      <c r="AY23" s="0" t="e">
        <f aca="false">Tahir!A9+";7#!f@"</f>
        <v>#VALUE!</v>
      </c>
      <c r="AZ23" s="0" t="e">
        <f aca="false">Tahir!B9+";7#!fA"</f>
        <v>#VALUE!</v>
      </c>
      <c r="BA23" s="0" t="e">
        <f aca="false">Tahir!C9+";7#!fB"</f>
        <v>#VALUE!</v>
      </c>
      <c r="BB23" s="0" t="e">
        <f aca="false">Tahir!D9+";7#!fC"</f>
        <v>#VALUE!</v>
      </c>
      <c r="BC23" s="0" t="e">
        <f aca="false">Tahir!E9+";7#!fD"</f>
        <v>#VALUE!</v>
      </c>
      <c r="BD23" s="0" t="e">
        <f aca="false">Tahir!F9+";7#!fE"</f>
        <v>#VALUE!</v>
      </c>
      <c r="BE23" s="0" t="e">
        <f aca="false">Tahir!G9+";7#!fF"</f>
        <v>#VALUE!</v>
      </c>
      <c r="BF23" s="0" t="e">
        <f aca="false">Tahir!H9+";7#!fG"</f>
        <v>#VALUE!</v>
      </c>
      <c r="BG23" s="35" t="e">
        <f aca="false">Tahir!I9+";7#!fH"</f>
        <v>#VALUE!</v>
      </c>
      <c r="BH23" s="0" t="e">
        <f aca="false">Tahir!J9+";7#!fI"</f>
        <v>#VALUE!</v>
      </c>
      <c r="BI23" s="0" t="e">
        <f aca="false">Tahir!K9+";7#!fJ"</f>
        <v>#VALUE!</v>
      </c>
      <c r="BJ23" s="0" t="e">
        <f aca="false">Tahir!L9+";7#!fK"</f>
        <v>#VALUE!</v>
      </c>
      <c r="BK23" s="0" t="e">
        <f aca="false">Tahir!M9+";7#!fL"</f>
        <v>#VALUE!</v>
      </c>
      <c r="BL23" s="0" t="e">
        <f aca="false">Tahir!N9+";7#!fM"</f>
        <v>#VALUE!</v>
      </c>
      <c r="BM23" s="0" t="e">
        <f aca="false">Tahir!O9+";7#!fN"</f>
        <v>#VALUE!</v>
      </c>
      <c r="BN23" s="0" t="e">
        <f aca="false">Tahir!P9+";7#!fO"</f>
        <v>#VALUE!</v>
      </c>
      <c r="BO23" s="0" t="e">
        <f aca="false">Tahir!A10+";7#!fP"</f>
        <v>#VALUE!</v>
      </c>
      <c r="BP23" s="0" t="e">
        <f aca="false">Tahir!B10+";7#!fQ"</f>
        <v>#VALUE!</v>
      </c>
      <c r="BQ23" s="0" t="e">
        <f aca="false">Tahir!C10+";7#!fR"</f>
        <v>#VALUE!</v>
      </c>
      <c r="BR23" s="0" t="e">
        <f aca="false">Tahir!D10+";7#!fS"</f>
        <v>#VALUE!</v>
      </c>
      <c r="BS23" s="0" t="e">
        <f aca="false">Tahir!E10+";7#!fT"</f>
        <v>#VALUE!</v>
      </c>
      <c r="BT23" s="0" t="e">
        <f aca="false">Tahir!F10+";7#!fU"</f>
        <v>#VALUE!</v>
      </c>
      <c r="BU23" s="0" t="e">
        <f aca="false">Tahir!G10+";7#!fV"</f>
        <v>#VALUE!</v>
      </c>
      <c r="BV23" s="0" t="e">
        <f aca="false">Tahir!H10+";7#!fW"</f>
        <v>#VALUE!</v>
      </c>
      <c r="BW23" s="35" t="e">
        <f aca="false">Tahir!I10+";7#!fX"</f>
        <v>#VALUE!</v>
      </c>
      <c r="BX23" s="0" t="e">
        <f aca="false">Tahir!J10+";7#!fY"</f>
        <v>#VALUE!</v>
      </c>
      <c r="BY23" s="0" t="e">
        <f aca="false">Tahir!K10+";7#!fZ"</f>
        <v>#VALUE!</v>
      </c>
      <c r="BZ23" s="0" t="e">
        <f aca="false">Tahir!L10+";7#!f["</f>
        <v>#VALUE!</v>
      </c>
      <c r="CA23" s="0" t="e">
        <f aca="false">Tahir!M10+";7#!f\"</f>
        <v>#VALUE!</v>
      </c>
      <c r="CB23" s="0" t="e">
        <f aca="false">Tahir!N10+";7#!f]"</f>
        <v>#VALUE!</v>
      </c>
      <c r="CC23" s="0" t="e">
        <f aca="false">Tahir!O10+";7#!f^"</f>
        <v>#VALUE!</v>
      </c>
      <c r="CD23" s="0" t="e">
        <f aca="false">Tahir!P10+";7#!f_"</f>
        <v>#VALUE!</v>
      </c>
      <c r="CE23" s="0" t="e">
        <f aca="false">Tahir!A11+";7#!f`"</f>
        <v>#VALUE!</v>
      </c>
      <c r="CF23" s="0" t="e">
        <f aca="false">Tahir!B11+";7#!fa"</f>
        <v>#VALUE!</v>
      </c>
      <c r="CG23" s="0" t="e">
        <f aca="false">Tahir!C11+";7#!fb"</f>
        <v>#VALUE!</v>
      </c>
      <c r="CH23" s="0" t="e">
        <f aca="false">Tahir!D11+";7#!fc"</f>
        <v>#VALUE!</v>
      </c>
      <c r="CI23" s="0" t="e">
        <f aca="false">Tahir!E11+";7#!fd"</f>
        <v>#VALUE!</v>
      </c>
      <c r="CJ23" s="0" t="e">
        <f aca="false">Tahir!F11+";7#!fe"</f>
        <v>#VALUE!</v>
      </c>
      <c r="CK23" s="0" t="e">
        <f aca="false">Tahir!G11+";7#!ff"</f>
        <v>#VALUE!</v>
      </c>
      <c r="CL23" s="0" t="e">
        <f aca="false">Tahir!H11+";7#!fg"</f>
        <v>#VALUE!</v>
      </c>
      <c r="CM23" s="0" t="e">
        <f aca="false">Tahir!I11+";7#!fh"</f>
        <v>#VALUE!</v>
      </c>
      <c r="CN23" s="0" t="e">
        <f aca="false">Tahir!J11+";7#!fi"</f>
        <v>#VALUE!</v>
      </c>
      <c r="CO23" s="0" t="e">
        <f aca="false">Tahir!K11+";7#!fj"</f>
        <v>#VALUE!</v>
      </c>
      <c r="CP23" s="0" t="e">
        <f aca="false">Tahir!L11+";7#!fk"</f>
        <v>#VALUE!</v>
      </c>
      <c r="CQ23" s="0" t="e">
        <f aca="false">Tahir!M11+";7#!fl"</f>
        <v>#VALUE!</v>
      </c>
      <c r="CR23" s="0" t="e">
        <f aca="false">Tahir!N11+";7#!fm"</f>
        <v>#VALUE!</v>
      </c>
      <c r="CS23" s="0" t="e">
        <f aca="false">Tahir!O11+";7#!fn"</f>
        <v>#VALUE!</v>
      </c>
      <c r="CT23" s="0" t="e">
        <f aca="false">Tahir!P11+";7#!fo"</f>
        <v>#VALUE!</v>
      </c>
      <c r="CU23" s="0" t="e">
        <f aca="false">Tahir!A12+";7#!fp"</f>
        <v>#VALUE!</v>
      </c>
      <c r="CV23" s="0" t="e">
        <f aca="false">Tahir!B12+";7#!fq"</f>
        <v>#VALUE!</v>
      </c>
      <c r="CW23" s="0" t="e">
        <f aca="false">Tahir!C12+";7#!fr"</f>
        <v>#VALUE!</v>
      </c>
      <c r="CX23" s="0" t="e">
        <f aca="false">Tahir!D12+";7#!fs"</f>
        <v>#VALUE!</v>
      </c>
      <c r="CY23" s="0" t="e">
        <f aca="false">Tahir!E12+";7#!ft"</f>
        <v>#VALUE!</v>
      </c>
      <c r="CZ23" s="0" t="e">
        <f aca="false">Tahir!F12+";7#!fu"</f>
        <v>#VALUE!</v>
      </c>
      <c r="DA23" s="0" t="e">
        <f aca="false">Tahir!G12+";7#!fv"</f>
        <v>#VALUE!</v>
      </c>
      <c r="DB23" s="0" t="e">
        <f aca="false">Tahir!H12+";7#!fw"</f>
        <v>#VALUE!</v>
      </c>
      <c r="DC23" s="0" t="e">
        <f aca="false">Tahir!I12+";7#!fx"</f>
        <v>#VALUE!</v>
      </c>
      <c r="DD23" s="0" t="e">
        <f aca="false">Tahir!J12+";7#!fy"</f>
        <v>#VALUE!</v>
      </c>
      <c r="DE23" s="0" t="e">
        <f aca="false">Tahir!K12+";7#!fz"</f>
        <v>#VALUE!</v>
      </c>
      <c r="DF23" s="0" t="e">
        <f aca="false">Tahir!L12+";7#!f{"</f>
        <v>#VALUE!</v>
      </c>
      <c r="DG23" s="0" t="e">
        <f aca="false">Tahir!M12+";7#!f|"</f>
        <v>#VALUE!</v>
      </c>
      <c r="DH23" s="0" t="e">
        <f aca="false">Tahir!N12+";7#!f}"</f>
        <v>#VALUE!</v>
      </c>
      <c r="DI23" s="0" t="e">
        <f aca="false">Tahir!O12+";7#!f~"</f>
        <v>#VALUE!</v>
      </c>
      <c r="DJ23" s="0" t="e">
        <f aca="false">Tahir!P12+";7#!g#"</f>
        <v>#VALUE!</v>
      </c>
      <c r="DK23" s="0" t="e">
        <f aca="false">Tahir!A13+";7#!g$"</f>
        <v>#VALUE!</v>
      </c>
      <c r="DL23" s="0" t="e">
        <f aca="false">Tahir!B13+";7#!g%"</f>
        <v>#VALUE!</v>
      </c>
      <c r="DM23" s="0" t="e">
        <f aca="false">Tahir!C13+";7#!g&amp;"</f>
        <v>#VALUE!</v>
      </c>
      <c r="DN23" s="0" t="e">
        <f aca="false">Tahir!D13+";7#!g'"</f>
        <v>#VALUE!</v>
      </c>
      <c r="DO23" s="0" t="e">
        <f aca="false">Tahir!E13+";7#!g("</f>
        <v>#VALUE!</v>
      </c>
      <c r="DP23" s="0" t="e">
        <f aca="false">Tahir!F13+";7#!g)"</f>
        <v>#VALUE!</v>
      </c>
      <c r="DQ23" s="0" t="e">
        <f aca="false">Tahir!G13+";7#!g."</f>
        <v>#VALUE!</v>
      </c>
      <c r="DR23" s="0" t="e">
        <f aca="false">Tahir!H13+";7#!g/"</f>
        <v>#VALUE!</v>
      </c>
      <c r="DS23" s="0" t="e">
        <f aca="false">Tahir!I13+";7#!g0"</f>
        <v>#VALUE!</v>
      </c>
      <c r="DT23" s="0" t="e">
        <f aca="false">Tahir!J13+";7#!g1"</f>
        <v>#VALUE!</v>
      </c>
      <c r="DU23" s="0" t="e">
        <f aca="false">Tahir!K13+";7#!g2"</f>
        <v>#VALUE!</v>
      </c>
      <c r="DV23" s="0" t="e">
        <f aca="false">Tahir!L13+";7#!g3"</f>
        <v>#VALUE!</v>
      </c>
      <c r="DW23" s="0" t="e">
        <f aca="false">Tahir!M13+";7#!g4"</f>
        <v>#VALUE!</v>
      </c>
      <c r="DX23" s="0" t="e">
        <f aca="false">Tahir!N13+";7#!g5"</f>
        <v>#VALUE!</v>
      </c>
      <c r="DY23" s="0" t="e">
        <f aca="false">Tahir!O13+";7#!g6"</f>
        <v>#VALUE!</v>
      </c>
      <c r="DZ23" s="0" t="e">
        <f aca="false">Tahir!P13+";7#!g7"</f>
        <v>#VALUE!</v>
      </c>
      <c r="EA23" s="0" t="e">
        <f aca="false">Tahir!A14+";7#!g8"</f>
        <v>#VALUE!</v>
      </c>
      <c r="EB23" s="0" t="e">
        <f aca="false">Tahir!B14+";7#!g9"</f>
        <v>#VALUE!</v>
      </c>
      <c r="EC23" s="0" t="e">
        <f aca="false">Tahir!C14+";7#!g:"</f>
        <v>#VALUE!</v>
      </c>
      <c r="ED23" s="0" t="e">
        <f aca="false">Tahir!D14+";7#!g;"</f>
        <v>#VALUE!</v>
      </c>
      <c r="EE23" s="0" t="e">
        <f aca="false">Tahir!E14+";7#!g&lt;"</f>
        <v>#VALUE!</v>
      </c>
      <c r="EF23" s="0" t="e">
        <f aca="false">Tahir!F14+";7#!g="</f>
        <v>#VALUE!</v>
      </c>
      <c r="EG23" s="0" t="e">
        <f aca="false">Tahir!G14+";7#!g&gt;"</f>
        <v>#VALUE!</v>
      </c>
      <c r="EH23" s="0" t="e">
        <f aca="false">Tahir!H14+";7#!g?"</f>
        <v>#VALUE!</v>
      </c>
      <c r="EI23" s="0" t="e">
        <f aca="false">Tahir!I14+";7#!g@"</f>
        <v>#VALUE!</v>
      </c>
      <c r="EJ23" s="0" t="e">
        <f aca="false">Tahir!J14+";7#!gA"</f>
        <v>#VALUE!</v>
      </c>
      <c r="EK23" s="0" t="e">
        <f aca="false">Tahir!K14+";7#!gB"</f>
        <v>#VALUE!</v>
      </c>
      <c r="EL23" s="0" t="e">
        <f aca="false">Tahir!L14+";7#!gC"</f>
        <v>#VALUE!</v>
      </c>
      <c r="EM23" s="0" t="e">
        <f aca="false">Tahir!M14+";7#!gD"</f>
        <v>#VALUE!</v>
      </c>
      <c r="EN23" s="0" t="e">
        <f aca="false">Tahir!N14+";7#!gE"</f>
        <v>#VALUE!</v>
      </c>
      <c r="EO23" s="0" t="e">
        <f aca="false">Tahir!O14+";7#!gF"</f>
        <v>#VALUE!</v>
      </c>
      <c r="EP23" s="0" t="e">
        <f aca="false">Tahir!P14+";7#!gG"</f>
        <v>#VALUE!</v>
      </c>
      <c r="EQ23" s="0" t="e">
        <f aca="false">Tahir!A15+";7#!gH"</f>
        <v>#VALUE!</v>
      </c>
      <c r="ER23" s="0" t="e">
        <f aca="false">Tahir!B15+";7#!gI"</f>
        <v>#VALUE!</v>
      </c>
      <c r="ES23" s="0" t="e">
        <f aca="false">Tahir!C15+";7#!gJ"</f>
        <v>#VALUE!</v>
      </c>
      <c r="ET23" s="0" t="e">
        <f aca="false">Tahir!D15+";7#!gK"</f>
        <v>#VALUE!</v>
      </c>
      <c r="EU23" s="0" t="e">
        <f aca="false">Tahir!E15+";7#!gL"</f>
        <v>#VALUE!</v>
      </c>
      <c r="EV23" s="0" t="e">
        <f aca="false">Tahir!F15+";7#!gM"</f>
        <v>#VALUE!</v>
      </c>
      <c r="EW23" s="0" t="e">
        <f aca="false">Tahir!G15+";7#!gN"</f>
        <v>#VALUE!</v>
      </c>
      <c r="EX23" s="0" t="e">
        <f aca="false">Tahir!H15+";7#!gO"</f>
        <v>#VALUE!</v>
      </c>
      <c r="EY23" s="0" t="e">
        <f aca="false">Tahir!I15+";7#!gP"</f>
        <v>#VALUE!</v>
      </c>
      <c r="EZ23" s="0" t="e">
        <f aca="false">Tahir!J15+";7#!gQ"</f>
        <v>#VALUE!</v>
      </c>
      <c r="FA23" s="0" t="e">
        <f aca="false">Tahir!K15+";7#!gR"</f>
        <v>#VALUE!</v>
      </c>
      <c r="FB23" s="0" t="e">
        <f aca="false">Tahir!L15+";7#!gS"</f>
        <v>#VALUE!</v>
      </c>
      <c r="FC23" s="0" t="e">
        <f aca="false">Tahir!M15+";7#!gT"</f>
        <v>#VALUE!</v>
      </c>
      <c r="FD23" s="0" t="e">
        <f aca="false">Tahir!N15+";7#!gU"</f>
        <v>#VALUE!</v>
      </c>
      <c r="FE23" s="0" t="e">
        <f aca="false">Tahir!O15+";7#!gV"</f>
        <v>#VALUE!</v>
      </c>
      <c r="FF23" s="0" t="e">
        <f aca="false">Tahir!P15+";7#!gW"</f>
        <v>#VALUE!</v>
      </c>
      <c r="FG23" s="0" t="e">
        <f aca="false">Tahir!A16+";7#!gX"</f>
        <v>#VALUE!</v>
      </c>
      <c r="FH23" s="0" t="e">
        <f aca="false">Tahir!B16+";7#!gY"</f>
        <v>#VALUE!</v>
      </c>
      <c r="FI23" s="0" t="e">
        <f aca="false">Tahir!C16+";7#!gZ"</f>
        <v>#VALUE!</v>
      </c>
      <c r="FJ23" s="0" t="e">
        <f aca="false">Tahir!D16+";7#!g["</f>
        <v>#VALUE!</v>
      </c>
      <c r="FK23" s="0" t="e">
        <f aca="false">Tahir!E16+";7#!g\"</f>
        <v>#VALUE!</v>
      </c>
      <c r="FL23" s="0" t="e">
        <f aca="false">Tahir!F16+";7#!g]"</f>
        <v>#VALUE!</v>
      </c>
      <c r="FM23" s="0" t="e">
        <f aca="false">Tahir!G16+";7#!g^"</f>
        <v>#VALUE!</v>
      </c>
      <c r="FN23" s="0" t="e">
        <f aca="false">Tahir!H16+";7#!g_"</f>
        <v>#VALUE!</v>
      </c>
      <c r="FO23" s="0" t="e">
        <f aca="false">Tahir!I16+";7#!g`"</f>
        <v>#VALUE!</v>
      </c>
      <c r="FP23" s="0" t="e">
        <f aca="false">Tahir!J16+";7#!ga"</f>
        <v>#VALUE!</v>
      </c>
      <c r="FQ23" s="0" t="e">
        <f aca="false">Tahir!K16+";7#!gb"</f>
        <v>#VALUE!</v>
      </c>
      <c r="FR23" s="0" t="e">
        <f aca="false">Tahir!L16+";7#!gc"</f>
        <v>#VALUE!</v>
      </c>
      <c r="FS23" s="0" t="e">
        <f aca="false">Tahir!M16+";7#!gd"</f>
        <v>#VALUE!</v>
      </c>
      <c r="FT23" s="0" t="e">
        <f aca="false">Tahir!N16+";7#!ge"</f>
        <v>#VALUE!</v>
      </c>
      <c r="FU23" s="0" t="e">
        <f aca="false">Tahir!O16+";7#!gf"</f>
        <v>#VALUE!</v>
      </c>
      <c r="FV23" s="0" t="e">
        <f aca="false">Tahir!P16+";7#!gg"</f>
        <v>#VALUE!</v>
      </c>
      <c r="FW23" s="0" t="e">
        <f aca="false">Tahir!A17+";7#!gh"</f>
        <v>#VALUE!</v>
      </c>
      <c r="FX23" s="0" t="e">
        <f aca="false">Tahir!B17+";7#!gi"</f>
        <v>#VALUE!</v>
      </c>
      <c r="FY23" s="0" t="e">
        <f aca="false">Tahir!C17+";7#!gj"</f>
        <v>#VALUE!</v>
      </c>
      <c r="FZ23" s="0" t="e">
        <f aca="false">Tahir!D17+";7#!gk"</f>
        <v>#VALUE!</v>
      </c>
      <c r="GA23" s="0" t="e">
        <f aca="false">Tahir!E17+";7#!gl"</f>
        <v>#VALUE!</v>
      </c>
      <c r="GB23" s="0" t="e">
        <f aca="false">Tahir!F17+";7#!gm"</f>
        <v>#VALUE!</v>
      </c>
      <c r="GC23" s="0" t="e">
        <f aca="false">Tahir!G17+";7#!gn"</f>
        <v>#VALUE!</v>
      </c>
      <c r="GD23" s="0" t="e">
        <f aca="false">Tahir!H17+";7#!go"</f>
        <v>#VALUE!</v>
      </c>
      <c r="GE23" s="0" t="e">
        <f aca="false">Tahir!I17+";7#!gp"</f>
        <v>#VALUE!</v>
      </c>
      <c r="GF23" s="0" t="e">
        <f aca="false">Tahir!J17+";7#!gq"</f>
        <v>#VALUE!</v>
      </c>
      <c r="GG23" s="0" t="e">
        <f aca="false">Tahir!K17+";7#!gr"</f>
        <v>#VALUE!</v>
      </c>
      <c r="GH23" s="0" t="e">
        <f aca="false">Tahir!L17+";7#!gs"</f>
        <v>#VALUE!</v>
      </c>
      <c r="GI23" s="0" t="e">
        <f aca="false">Tahir!M17+";7#!gt"</f>
        <v>#VALUE!</v>
      </c>
      <c r="GJ23" s="0" t="e">
        <f aca="false">Tahir!N17+";7#!gu"</f>
        <v>#VALUE!</v>
      </c>
      <c r="GK23" s="0" t="e">
        <f aca="false">Tahir!O17+";7#!gv"</f>
        <v>#VALUE!</v>
      </c>
      <c r="GL23" s="0" t="e">
        <f aca="false">Tahir!P17+";7#!gw"</f>
        <v>#VALUE!</v>
      </c>
      <c r="GM23" s="0" t="e">
        <f aca="false">Tahir!A18+";7#!gx"</f>
        <v>#VALUE!</v>
      </c>
      <c r="GN23" s="0" t="e">
        <f aca="false">Tahir!B18+";7#!gy"</f>
        <v>#VALUE!</v>
      </c>
      <c r="GO23" s="0" t="e">
        <f aca="false">Tahir!C18+";7#!gz"</f>
        <v>#VALUE!</v>
      </c>
      <c r="GP23" s="0" t="e">
        <f aca="false">Tahir!D18+";7#!g{"</f>
        <v>#VALUE!</v>
      </c>
      <c r="GQ23" s="0" t="e">
        <f aca="false">Tahir!E18+";7#!g|"</f>
        <v>#VALUE!</v>
      </c>
      <c r="GR23" s="0" t="e">
        <f aca="false">Tahir!F18+";7#!g}"</f>
        <v>#VALUE!</v>
      </c>
      <c r="GS23" s="0" t="e">
        <f aca="false">Tahir!G18+";7#!g~"</f>
        <v>#VALUE!</v>
      </c>
      <c r="GT23" s="0" t="e">
        <f aca="false">Tahir!H18+";7#!h#"</f>
        <v>#VALUE!</v>
      </c>
      <c r="GU23" s="0" t="e">
        <f aca="false">Tahir!I18+";7#!h$"</f>
        <v>#VALUE!</v>
      </c>
      <c r="GV23" s="0" t="e">
        <f aca="false">Tahir!J18+";7#!h%"</f>
        <v>#VALUE!</v>
      </c>
      <c r="GW23" s="0" t="e">
        <f aca="false">Tahir!K18+";7#!h&amp;"</f>
        <v>#VALUE!</v>
      </c>
      <c r="GX23" s="0" t="e">
        <f aca="false">Tahir!L18+";7#!h'"</f>
        <v>#VALUE!</v>
      </c>
      <c r="GY23" s="0" t="e">
        <f aca="false">Tahir!M18+";7#!h("</f>
        <v>#VALUE!</v>
      </c>
      <c r="GZ23" s="0" t="e">
        <f aca="false">Tahir!N18+";7#!h)"</f>
        <v>#VALUE!</v>
      </c>
      <c r="HA23" s="0" t="e">
        <f aca="false">Tahir!O18+";7#!h."</f>
        <v>#VALUE!</v>
      </c>
      <c r="HB23" s="0" t="e">
        <f aca="false">Tahir!P18+";7#!h/"</f>
        <v>#VALUE!</v>
      </c>
      <c r="HC23" s="0" t="e">
        <f aca="false">Tahir!A19+";7#!h0"</f>
        <v>#VALUE!</v>
      </c>
      <c r="HD23" s="0" t="e">
        <f aca="false">Tahir!B19+";7#!h1"</f>
        <v>#VALUE!</v>
      </c>
      <c r="HE23" s="0" t="e">
        <f aca="false">Tahir!C19+";7#!h2"</f>
        <v>#VALUE!</v>
      </c>
      <c r="HF23" s="0" t="e">
        <f aca="false">Tahir!D19+";7#!h3"</f>
        <v>#VALUE!</v>
      </c>
      <c r="HG23" s="0" t="e">
        <f aca="false">Tahir!E19+";7#!h4"</f>
        <v>#VALUE!</v>
      </c>
      <c r="HH23" s="0" t="e">
        <f aca="false">Tahir!F19+";7#!h5"</f>
        <v>#VALUE!</v>
      </c>
      <c r="HI23" s="0" t="e">
        <f aca="false">Tahir!G19+";7#!h6"</f>
        <v>#VALUE!</v>
      </c>
      <c r="HJ23" s="0" t="e">
        <f aca="false">Tahir!H19+";7#!h7"</f>
        <v>#VALUE!</v>
      </c>
      <c r="HK23" s="0" t="e">
        <f aca="false">Tahir!I19+";7#!h8"</f>
        <v>#VALUE!</v>
      </c>
      <c r="HL23" s="0" t="e">
        <f aca="false">Tahir!J19+";7#!h9"</f>
        <v>#VALUE!</v>
      </c>
      <c r="HM23" s="0" t="e">
        <f aca="false">Tahir!K19+";7#!h:"</f>
        <v>#VALUE!</v>
      </c>
      <c r="HN23" s="0" t="e">
        <f aca="false">Tahir!L19+";7#!h;"</f>
        <v>#VALUE!</v>
      </c>
      <c r="HO23" s="0" t="e">
        <f aca="false">Tahir!M19+";7#!h&lt;"</f>
        <v>#VALUE!</v>
      </c>
      <c r="HP23" s="0" t="e">
        <f aca="false">Tahir!N19+";7#!h="</f>
        <v>#VALUE!</v>
      </c>
      <c r="HQ23" s="0" t="e">
        <f aca="false">Tahir!O19+";7#!h&gt;"</f>
        <v>#VALUE!</v>
      </c>
      <c r="HR23" s="0" t="e">
        <f aca="false">Tahir!P19+";7#!h?"</f>
        <v>#VALUE!</v>
      </c>
      <c r="HS23" s="0" t="e">
        <f aca="false">Tahir!A20+";7#!h@"</f>
        <v>#VALUE!</v>
      </c>
      <c r="HT23" s="0" t="e">
        <f aca="false">Tahir!B20+";7#!hA"</f>
        <v>#VALUE!</v>
      </c>
      <c r="HU23" s="0" t="e">
        <f aca="false">Tahir!C20+";7#!hB"</f>
        <v>#N/A</v>
      </c>
      <c r="HV23" s="0" t="e">
        <f aca="false">Tahir!D20+";7#!hC"</f>
        <v>#VALUE!</v>
      </c>
      <c r="HW23" s="0" t="e">
        <f aca="false">Tahir!E20+";7#!hD"</f>
        <v>#VALUE!</v>
      </c>
      <c r="HX23" s="0" t="e">
        <f aca="false">Tahir!F20+";7#!hE"</f>
        <v>#VALUE!</v>
      </c>
      <c r="HY23" s="0" t="e">
        <f aca="false">Tahir!G20+";7#!hF"</f>
        <v>#VALUE!</v>
      </c>
      <c r="HZ23" s="0" t="e">
        <f aca="false">Tahir!H20+";7#!hG"</f>
        <v>#VALUE!</v>
      </c>
      <c r="IA23" s="0" t="e">
        <f aca="false">Tahir!I20+";7#!hH"</f>
        <v>#VALUE!</v>
      </c>
      <c r="IB23" s="0" t="e">
        <f aca="false">Tahir!J20+";7#!hI"</f>
        <v>#VALUE!</v>
      </c>
      <c r="IC23" s="0" t="e">
        <f aca="false">Tahir!K20+";7#!hJ"</f>
        <v>#VALUE!</v>
      </c>
      <c r="ID23" s="0" t="e">
        <f aca="false">Tahir!L20+";7#!hK"</f>
        <v>#VALUE!</v>
      </c>
      <c r="IE23" s="0" t="e">
        <f aca="false">Tahir!M20+";7#!hL"</f>
        <v>#VALUE!</v>
      </c>
      <c r="IF23" s="0" t="e">
        <f aca="false">Tahir!N20+";7#!hM"</f>
        <v>#VALUE!</v>
      </c>
      <c r="IG23" s="0" t="e">
        <f aca="false">Tahir!O20+";7#!hN"</f>
        <v>#VALUE!</v>
      </c>
      <c r="IH23" s="0" t="e">
        <f aca="false">Tahir!P20+";7#!hO"</f>
        <v>#VALUE!</v>
      </c>
      <c r="II23" s="0" t="e">
        <f aca="false">Tahir!A21+";7#!hP"</f>
        <v>#VALUE!</v>
      </c>
      <c r="IJ23" s="0" t="e">
        <f aca="false">Tahir!B21+";7#!hQ"</f>
        <v>#VALUE!</v>
      </c>
      <c r="IK23" s="0" t="e">
        <f aca="false">Tahir!C21+";7#!hR"</f>
        <v>#N/A</v>
      </c>
      <c r="IL23" s="0" t="e">
        <f aca="false">Tahir!D21+";7#!hS"</f>
        <v>#VALUE!</v>
      </c>
      <c r="IM23" s="0" t="e">
        <f aca="false">Tahir!E21+";7#!hT"</f>
        <v>#VALUE!</v>
      </c>
      <c r="IN23" s="0" t="e">
        <f aca="false">Tahir!F21+";7#!hU"</f>
        <v>#VALUE!</v>
      </c>
      <c r="IO23" s="0" t="e">
        <f aca="false">Tahir!G21+";7#!hV"</f>
        <v>#VALUE!</v>
      </c>
      <c r="IP23" s="0" t="e">
        <f aca="false">Tahir!H21+";7#!hW"</f>
        <v>#VALUE!</v>
      </c>
      <c r="IQ23" s="0" t="e">
        <f aca="false">Tahir!I21+";7#!hX"</f>
        <v>#VALUE!</v>
      </c>
      <c r="IR23" s="0" t="e">
        <f aca="false">Tahir!J21+";7#!hY"</f>
        <v>#VALUE!</v>
      </c>
      <c r="IS23" s="0" t="e">
        <f aca="false">Tahir!K21+";7#!hZ"</f>
        <v>#VALUE!</v>
      </c>
      <c r="IT23" s="0" t="e">
        <f aca="false">Tahir!L21+";7#!h["</f>
        <v>#VALUE!</v>
      </c>
      <c r="IU23" s="0" t="e">
        <f aca="false">Tahir!M21+";7#!h\"</f>
        <v>#VALUE!</v>
      </c>
      <c r="IV23" s="0" t="e">
        <f aca="false">Tahir!N21+";7#!h]"</f>
        <v>#VALUE!</v>
      </c>
    </row>
    <row r="24" customFormat="false" ht="15" hidden="false" customHeight="false" outlineLevel="0" collapsed="false">
      <c r="F24" s="0" t="e">
        <f aca="false">Tahir!O21+";7#!h^"</f>
        <v>#VALUE!</v>
      </c>
      <c r="G24" s="0" t="e">
        <f aca="false">Tahir!P21+";7#!h_"</f>
        <v>#VALUE!</v>
      </c>
      <c r="H24" s="0" t="e">
        <f aca="false">Tahir!A22+";7#!h`"</f>
        <v>#VALUE!</v>
      </c>
      <c r="I24" s="0" t="e">
        <f aca="false">Tahir!B22+";7#!ha"</f>
        <v>#VALUE!</v>
      </c>
      <c r="J24" s="0" t="e">
        <f aca="false">Tahir!C22+";7#!hb"</f>
        <v>#N/A</v>
      </c>
      <c r="K24" s="0" t="e">
        <f aca="false">Tahir!D22+";7#!hc"</f>
        <v>#VALUE!</v>
      </c>
      <c r="L24" s="0" t="e">
        <f aca="false">Tahir!E22+";7#!hd"</f>
        <v>#VALUE!</v>
      </c>
      <c r="M24" s="0" t="e">
        <f aca="false">Tahir!F22+";7#!he"</f>
        <v>#VALUE!</v>
      </c>
      <c r="N24" s="0" t="e">
        <f aca="false">Tahir!G22+";7#!hf"</f>
        <v>#VALUE!</v>
      </c>
      <c r="O24" s="0" t="e">
        <f aca="false">Tahir!H22+";7#!hg"</f>
        <v>#VALUE!</v>
      </c>
      <c r="P24" s="0" t="e">
        <f aca="false">Tahir!I22+";7#!hh"</f>
        <v>#VALUE!</v>
      </c>
      <c r="Q24" s="0" t="e">
        <f aca="false">Tahir!J22+";7#!hi"</f>
        <v>#VALUE!</v>
      </c>
      <c r="R24" s="0" t="e">
        <f aca="false">Tahir!K22+";7#!hj"</f>
        <v>#VALUE!</v>
      </c>
      <c r="S24" s="0" t="e">
        <f aca="false">Tahir!L22+";7#!hk"</f>
        <v>#VALUE!</v>
      </c>
      <c r="T24" s="0" t="e">
        <f aca="false">Tahir!M22+";7#!hl"</f>
        <v>#VALUE!</v>
      </c>
      <c r="U24" s="0" t="e">
        <f aca="false">Tahir!N22+";7#!hm"</f>
        <v>#VALUE!</v>
      </c>
      <c r="V24" s="0" t="e">
        <f aca="false">Tahir!O22+";7#!hn"</f>
        <v>#VALUE!</v>
      </c>
      <c r="W24" s="0" t="e">
        <f aca="false">Tahir!P22+";7#!ho"</f>
        <v>#VALUE!</v>
      </c>
      <c r="X24" s="0" t="e">
        <f aca="false">Tahir!A23+";7#!hp"</f>
        <v>#VALUE!</v>
      </c>
      <c r="Y24" s="0" t="e">
        <f aca="false">Tahir!B23+";7#!hq"</f>
        <v>#VALUE!</v>
      </c>
      <c r="Z24" s="0" t="e">
        <f aca="false">Tahir!C23+";7#!hr"</f>
        <v>#VALUE!</v>
      </c>
      <c r="AA24" s="35" t="e">
        <f aca="false">Tahir!D23+";7#!hs"</f>
        <v>#VALUE!</v>
      </c>
      <c r="AB24" s="35" t="e">
        <f aca="false">Tahir!E23+";7#!ht"</f>
        <v>#VALUE!</v>
      </c>
      <c r="AC24" s="35" t="e">
        <f aca="false">Tahir!F23+";7#!hu"</f>
        <v>#VALUE!</v>
      </c>
      <c r="AD24" s="35" t="e">
        <f aca="false">Tahir!G23+";7#!hv"</f>
        <v>#VALUE!</v>
      </c>
      <c r="AE24" s="35" t="e">
        <f aca="false">Tahir!H23+";7#!hw"</f>
        <v>#VALUE!</v>
      </c>
      <c r="AF24" s="35" t="e">
        <f aca="false">Tahir!I23+";7#!hx"</f>
        <v>#VALUE!</v>
      </c>
      <c r="AG24" s="35" t="e">
        <f aca="false">Tahir!J23+";7#!hy"</f>
        <v>#VALUE!</v>
      </c>
      <c r="AH24" s="35" t="e">
        <f aca="false">Tahir!K23+";7#!hz"</f>
        <v>#VALUE!</v>
      </c>
      <c r="AI24" s="35" t="e">
        <f aca="false">Tahir!L23+";7#!h{"</f>
        <v>#VALUE!</v>
      </c>
      <c r="AJ24" s="35" t="e">
        <f aca="false">Tahir!M23+";7#!h|"</f>
        <v>#VALUE!</v>
      </c>
      <c r="AK24" s="35" t="e">
        <f aca="false">Tahir!N23+";7#!h}"</f>
        <v>#VALUE!</v>
      </c>
      <c r="AL24" s="35" t="e">
        <f aca="false">Tahir!O23+";7#!h~"</f>
        <v>#VALUE!</v>
      </c>
      <c r="AM24" s="35" t="e">
        <f aca="false">Tahir!P23+";7#!i#"</f>
        <v>#VALUE!</v>
      </c>
      <c r="AN24" s="0" t="e">
        <f aca="false">Tahir!A24+";7#!i$"</f>
        <v>#VALUE!</v>
      </c>
      <c r="AO24" s="0" t="e">
        <f aca="false">Tahir!B24+";7#!i%"</f>
        <v>#VALUE!</v>
      </c>
      <c r="AP24" s="0" t="e">
        <f aca="false">Tahir!C24+";7#!i&amp;"</f>
        <v>#VALUE!</v>
      </c>
      <c r="AQ24" s="35" t="e">
        <f aca="false">Tahir!D24+";7#!i'"</f>
        <v>#VALUE!</v>
      </c>
      <c r="AR24" s="35" t="e">
        <f aca="false">Tahir!E24+";7#!i("</f>
        <v>#VALUE!</v>
      </c>
      <c r="AS24" s="35" t="e">
        <f aca="false">Tahir!F24+";7#!i)"</f>
        <v>#VALUE!</v>
      </c>
      <c r="AT24" s="35" t="e">
        <f aca="false">Tahir!G24+";7#!i."</f>
        <v>#VALUE!</v>
      </c>
      <c r="AU24" s="35" t="e">
        <f aca="false">Tahir!H24+";7#!i/"</f>
        <v>#VALUE!</v>
      </c>
      <c r="AV24" s="35" t="e">
        <f aca="false">Tahir!I24+";7#!i0"</f>
        <v>#VALUE!</v>
      </c>
      <c r="AW24" s="35" t="e">
        <f aca="false">Tahir!J24+";7#!i1"</f>
        <v>#VALUE!</v>
      </c>
      <c r="AX24" s="35" t="e">
        <f aca="false">Tahir!K24+";7#!i2"</f>
        <v>#VALUE!</v>
      </c>
      <c r="AY24" s="35" t="e">
        <f aca="false">Tahir!L24+";7#!i3"</f>
        <v>#VALUE!</v>
      </c>
      <c r="AZ24" s="35" t="e">
        <f aca="false">Tahir!M24+";7#!i4"</f>
        <v>#VALUE!</v>
      </c>
      <c r="BA24" s="35" t="e">
        <f aca="false">Tahir!N24+";7#!i5"</f>
        <v>#VALUE!</v>
      </c>
      <c r="BB24" s="35" t="e">
        <f aca="false">Tahir!O24+";7#!i6"</f>
        <v>#VALUE!</v>
      </c>
      <c r="BC24" s="35" t="e">
        <f aca="false">Tahir!P24+";7#!i7"</f>
        <v>#VALUE!</v>
      </c>
      <c r="BD24" s="0" t="e">
        <f aca="false">Tahir!A25+";7#!i8"</f>
        <v>#VALUE!</v>
      </c>
      <c r="BE24" s="0" t="e">
        <f aca="false">Tahir!B25+";7#!i9"</f>
        <v>#VALUE!</v>
      </c>
      <c r="BF24" s="0" t="e">
        <f aca="false">Tahir!C25+";7#!i:"</f>
        <v>#VALUE!</v>
      </c>
      <c r="BG24" s="35" t="e">
        <f aca="false">Tahir!D25+";7#!i;"</f>
        <v>#VALUE!</v>
      </c>
      <c r="BH24" s="35" t="e">
        <f aca="false">Tahir!E25+";7#!i&lt;"</f>
        <v>#VALUE!</v>
      </c>
      <c r="BI24" s="35" t="e">
        <f aca="false">Tahir!F25+";7#!i="</f>
        <v>#VALUE!</v>
      </c>
      <c r="BJ24" s="35" t="e">
        <f aca="false">Tahir!G25+";7#!i&gt;"</f>
        <v>#VALUE!</v>
      </c>
      <c r="BK24" s="35" t="e">
        <f aca="false">Tahir!H25+";7#!i?"</f>
        <v>#VALUE!</v>
      </c>
      <c r="BL24" s="35" t="e">
        <f aca="false">Tahir!I25+";7#!i@"</f>
        <v>#VALUE!</v>
      </c>
      <c r="BM24" s="35" t="e">
        <f aca="false">Tahir!J25+";7#!iA"</f>
        <v>#VALUE!</v>
      </c>
      <c r="BN24" s="35" t="e">
        <f aca="false">Tahir!K25+";7#!iB"</f>
        <v>#VALUE!</v>
      </c>
      <c r="BO24" s="35" t="e">
        <f aca="false">Tahir!L25+";7#!iC"</f>
        <v>#VALUE!</v>
      </c>
      <c r="BP24" s="35" t="e">
        <f aca="false">Tahir!M25+";7#!iD"</f>
        <v>#VALUE!</v>
      </c>
      <c r="BQ24" s="35" t="e">
        <f aca="false">Tahir!N25+";7#!iE"</f>
        <v>#VALUE!</v>
      </c>
      <c r="BR24" s="35" t="e">
        <f aca="false">Tahir!O25+";7#!iF"</f>
        <v>#VALUE!</v>
      </c>
      <c r="BS24" s="35" t="e">
        <f aca="false">Tahir!P25+";7#!iG"</f>
        <v>#VALUE!</v>
      </c>
      <c r="BT24" s="0" t="e">
        <f aca="false">Tahir!A26+";7#!iH"</f>
        <v>#VALUE!</v>
      </c>
      <c r="BU24" s="0" t="e">
        <f aca="false">Tahir!B26+";7#!iI"</f>
        <v>#VALUE!</v>
      </c>
      <c r="BV24" s="0" t="e">
        <f aca="false">Tahir!C26+";7#!iJ"</f>
        <v>#VALUE!</v>
      </c>
      <c r="BW24" s="36" t="e">
        <f aca="false">Tahir!D26+";7#!iK"</f>
        <v>#VALUE!</v>
      </c>
      <c r="BX24" s="36" t="e">
        <f aca="false">Tahir!E26+";7#!iL"</f>
        <v>#VALUE!</v>
      </c>
      <c r="BY24" s="36" t="e">
        <f aca="false">Tahir!F26+";7#!iM"</f>
        <v>#VALUE!</v>
      </c>
      <c r="BZ24" s="36" t="e">
        <f aca="false">Tahir!G26+";7#!iN"</f>
        <v>#VALUE!</v>
      </c>
      <c r="CA24" s="36" t="e">
        <f aca="false">Tahir!H26+";7#!iO"</f>
        <v>#DIV/0!</v>
      </c>
      <c r="CB24" s="36" t="e">
        <f aca="false">Tahir!I26+";7#!iP"</f>
        <v>#DIV/0!</v>
      </c>
      <c r="CC24" s="36" t="e">
        <f aca="false">Tahir!J26+";7#!iQ"</f>
        <v>#DIV/0!</v>
      </c>
      <c r="CD24" s="36" t="e">
        <f aca="false">Tahir!K26+";7#!iR"</f>
        <v>#DIV/0!</v>
      </c>
      <c r="CE24" s="36" t="e">
        <f aca="false">Tahir!L26+";7#!iS"</f>
        <v>#DIV/0!</v>
      </c>
      <c r="CF24" s="36" t="e">
        <f aca="false">Tahir!M26+";7#!iT"</f>
        <v>#DIV/0!</v>
      </c>
      <c r="CG24" s="36" t="e">
        <f aca="false">Tahir!N26+";7#!iU"</f>
        <v>#DIV/0!</v>
      </c>
      <c r="CH24" s="36" t="e">
        <f aca="false">Tahir!O26+";7#!iV"</f>
        <v>#DIV/0!</v>
      </c>
      <c r="CI24" s="36" t="e">
        <f aca="false">Tahir!P26+";7#!iW"</f>
        <v>#VALUE!</v>
      </c>
      <c r="CJ24" s="0" t="e">
        <f aca="false">Peng!A:A*";7#!iX"</f>
        <v>#VALUE!</v>
      </c>
      <c r="CK24" s="0" t="e">
        <f aca="false">Peng!B:B*";7#!iY"</f>
        <v>#VALUE!</v>
      </c>
      <c r="CL24" s="0" t="e">
        <f aca="false">Peng!C:C*";7#!iZ"</f>
        <v>#VALUE!</v>
      </c>
      <c r="CM24" s="0" t="e">
        <f aca="false">Peng!D:D*";7#!i["</f>
        <v>#VALUE!</v>
      </c>
      <c r="CN24" s="0" t="e">
        <f aca="false">Peng!E:E*";7#!i\"</f>
        <v>#VALUE!</v>
      </c>
      <c r="CO24" s="0" t="e">
        <f aca="false">Peng!F:F*";7#!i]"</f>
        <v>#VALUE!</v>
      </c>
      <c r="CP24" s="0" t="e">
        <f aca="false">Peng!G:G*";7#!i^"</f>
        <v>#VALUE!</v>
      </c>
      <c r="CQ24" s="0" t="e">
        <f aca="false">Peng!H:H*";7#!i_"</f>
        <v>#VALUE!</v>
      </c>
      <c r="CR24" s="0" t="e">
        <f aca="false">Peng!I:I*";7#!i`"</f>
        <v>#VALUE!</v>
      </c>
      <c r="CS24" s="0" t="e">
        <f aca="false">Peng!J:J*";7#!ia"</f>
        <v>#VALUE!</v>
      </c>
      <c r="CT24" s="0" t="e">
        <f aca="false">Peng!K:K*";7#!ib"</f>
        <v>#VALUE!</v>
      </c>
      <c r="CU24" s="0" t="e">
        <f aca="false">Peng!L:L*";7#!ic"</f>
        <v>#VALUE!</v>
      </c>
      <c r="CV24" s="0" t="e">
        <f aca="false">Peng!M:M*";7#!id"</f>
        <v>#VALUE!</v>
      </c>
      <c r="CW24" s="0" t="e">
        <f aca="false">Peng!N:N*";7#!ie"</f>
        <v>#VALUE!</v>
      </c>
      <c r="CX24" s="0" t="e">
        <f aca="false">Peng!O:O*";7#!if"</f>
        <v>#VALUE!</v>
      </c>
      <c r="CY24" s="0" t="e">
        <f aca="false">Peng!P:P*";7#!ig"</f>
        <v>#VALUE!</v>
      </c>
      <c r="CZ24" s="0" t="e">
        <f aca="false">Peng!Q:Q*";7#!ih"</f>
        <v>#VALUE!</v>
      </c>
      <c r="DA24" s="0" t="e">
        <f aca="false">Peng!R:R*";7#!ii"</f>
        <v>#VALUE!</v>
      </c>
      <c r="DB24" s="0" t="e">
        <f aca="false">Peng!S:S*";7#!ij"</f>
        <v>#VALUE!</v>
      </c>
      <c r="DC24" s="0" t="e">
        <f aca="false">Peng!T:T*";7#!ik"</f>
        <v>#VALUE!</v>
      </c>
      <c r="DD24" s="0" t="e">
        <f aca="false">Peng!U:U*";7#!il"</f>
        <v>#VALUE!</v>
      </c>
      <c r="DE24" s="0" t="e">
        <f aca="false">Peng!V:V*";7#!im"</f>
        <v>#VALUE!</v>
      </c>
      <c r="DF24" s="0" t="e">
        <f aca="false">Peng!W:W*";7#!in"</f>
        <v>#VALUE!</v>
      </c>
      <c r="DG24" s="0" t="e">
        <f aca="false">Peng!X:X*";7#!io"</f>
        <v>#VALUE!</v>
      </c>
      <c r="DH24" s="0" t="e">
        <f aca="false">Peng!Y:Y*";7#!ip"</f>
        <v>#VALUE!</v>
      </c>
      <c r="DI24" s="0" t="e">
        <f aca="false">Peng!Z:Z*";7#!iq"</f>
        <v>#VALUE!</v>
      </c>
      <c r="DJ24" s="0" t="e">
        <f aca="false">Peng!AA:AA*";7#!ir"</f>
        <v>#VALUE!</v>
      </c>
      <c r="DK24" s="0" t="e">
        <f aca="false">Peng!AB:AB*";7#!is"</f>
        <v>#VALUE!</v>
      </c>
      <c r="DL24" s="0" t="e">
        <f aca="false">Peng!AC:AC*";7#!it"</f>
        <v>#VALUE!</v>
      </c>
      <c r="DM24" s="0" t="e">
        <f aca="false">Peng!AD:AD*";7#!iu"</f>
        <v>#VALUE!</v>
      </c>
      <c r="DN24" s="0" t="e">
        <f aca="false">Peng!AE:AE*";7#!iv"</f>
        <v>#VALUE!</v>
      </c>
      <c r="DO24" s="0" t="e">
        <f aca="false">Peng!AF:AF*";7#!iw"</f>
        <v>#VALUE!</v>
      </c>
      <c r="DP24" s="0" t="e">
        <f aca="false">Peng!AG:AG*";7#!ix"</f>
        <v>#VALUE!</v>
      </c>
      <c r="DQ24" s="0" t="e">
        <f aca="false">Peng!AH:AH*";7#!iy"</f>
        <v>#VALUE!</v>
      </c>
      <c r="DR24" s="0" t="e">
        <f aca="false">Peng!AI:AI*";7#!iz"</f>
        <v>#VALUE!</v>
      </c>
      <c r="DS24" s="0" t="e">
        <f aca="false">Peng!AJ:AJ*";7#!i{"</f>
        <v>#VALUE!</v>
      </c>
      <c r="DT24" s="0" t="e">
        <f aca="false">Peng!AK:AK*";7#!i|"</f>
        <v>#VALUE!</v>
      </c>
      <c r="DU24" s="0" t="e">
        <f aca="false">Peng!AL:AL*";7#!i}"</f>
        <v>#VALUE!</v>
      </c>
      <c r="DV24" s="0" t="e">
        <f aca="false">Peng!AM:AM*";7#!i~"</f>
        <v>#VALUE!</v>
      </c>
      <c r="DW24" s="0" t="e">
        <f aca="false">Peng!AN:AN*";7#!j#"</f>
        <v>#VALUE!</v>
      </c>
      <c r="DX24" s="0" t="e">
        <f aca="false">Peng!AO:AO*";7#!j$"</f>
        <v>#VALUE!</v>
      </c>
      <c r="DY24" s="0" t="e">
        <f aca="false">Peng!AP:AP*";7#!j%"</f>
        <v>#VALUE!</v>
      </c>
      <c r="DZ24" s="0" t="e">
        <f aca="false">Peng!AQ:AQ*";7#!j&amp;"</f>
        <v>#VALUE!</v>
      </c>
      <c r="EA24" s="0" t="e">
        <f aca="false">Peng!AR:AR*";7#!j'"</f>
        <v>#VALUE!</v>
      </c>
      <c r="EB24" s="0" t="e">
        <f aca="false">Peng!AS:AS*";7#!j("</f>
        <v>#VALUE!</v>
      </c>
      <c r="EC24" s="0" t="e">
        <f aca="false">Peng!AT:AT*";7#!j)"</f>
        <v>#VALUE!</v>
      </c>
      <c r="ED24" s="0" t="e">
        <f aca="false">Peng!AU:AU*";7#!j."</f>
        <v>#VALUE!</v>
      </c>
      <c r="EE24" s="0" t="e">
        <f aca="false">Peng!AV:AV*";7#!j/"</f>
        <v>#VALUE!</v>
      </c>
      <c r="EF24" s="0" t="e">
        <f aca="false">Peng!AW:AW*";7#!j0"</f>
        <v>#VALUE!</v>
      </c>
      <c r="EG24" s="0" t="e">
        <f aca="false">Peng!AX:AX*";7#!j1"</f>
        <v>#VALUE!</v>
      </c>
      <c r="EH24" s="0" t="e">
        <f aca="false">Peng!AY:AY*";7#!j2"</f>
        <v>#VALUE!</v>
      </c>
      <c r="EI24" s="0" t="e">
        <f aca="false">Peng!AZ:AZ*";7#!j3"</f>
        <v>#VALUE!</v>
      </c>
      <c r="EJ24" s="0" t="e">
        <f aca="false">Peng!BA:BA*";7#!j4"</f>
        <v>#VALUE!</v>
      </c>
      <c r="EK24" s="0" t="e">
        <f aca="false">Peng!BB:BB*";7#!j5"</f>
        <v>#VALUE!</v>
      </c>
      <c r="EL24" s="0" t="e">
        <f aca="false">Peng!BC:BC*";7#!j6"</f>
        <v>#VALUE!</v>
      </c>
      <c r="EM24" s="0" t="e">
        <f aca="false">Peng!BD:BD*";7#!j7"</f>
        <v>#VALUE!</v>
      </c>
      <c r="EN24" s="0" t="e">
        <f aca="false">Peng!BE:BE*";7#!j8"</f>
        <v>#VALUE!</v>
      </c>
      <c r="EO24" s="0" t="e">
        <f aca="false">Peng!BF:BF*";7#!j9"</f>
        <v>#VALUE!</v>
      </c>
      <c r="EP24" s="0" t="e">
        <f aca="false">Peng!BG:BG*";7#!j:"</f>
        <v>#VALUE!</v>
      </c>
      <c r="EQ24" s="0" t="e">
        <f aca="false">Peng!BH:BH*";7#!j;"</f>
        <v>#VALUE!</v>
      </c>
      <c r="ER24" s="0" t="e">
        <f aca="false">Peng!BI:BI*";7#!j&lt;"</f>
        <v>#VALUE!</v>
      </c>
      <c r="ES24" s="0" t="e">
        <f aca="false">Peng!BJ:BJ*";7#!j="</f>
        <v>#VALUE!</v>
      </c>
      <c r="ET24" s="0" t="e">
        <f aca="false">Peng!BK:BK*";7#!j&gt;"</f>
        <v>#VALUE!</v>
      </c>
      <c r="EU24" s="0" t="e">
        <f aca="false">Peng!BL:BL*";7#!j?"</f>
        <v>#VALUE!</v>
      </c>
      <c r="EV24" s="0" t="e">
        <f aca="false">Peng!BM:BM*";7#!j@"</f>
        <v>#VALUE!</v>
      </c>
      <c r="EW24" s="0" t="e">
        <f aca="false">Peng!BN:BN*";7#!jA"</f>
        <v>#VALUE!</v>
      </c>
      <c r="EX24" s="0" t="e">
        <f aca="false">Peng!BO:BO*";7#!jB"</f>
        <v>#VALUE!</v>
      </c>
      <c r="EY24" s="0" t="e">
        <f aca="false">Peng!BP:BP*";7#!jC"</f>
        <v>#VALUE!</v>
      </c>
      <c r="EZ24" s="0" t="e">
        <f aca="false">Peng!BQ:BQ*";7#!jD"</f>
        <v>#VALUE!</v>
      </c>
      <c r="FA24" s="0" t="e">
        <f aca="false">Peng!BR:BR*";7#!jE"</f>
        <v>#VALUE!</v>
      </c>
      <c r="FB24" s="0" t="e">
        <f aca="false">Peng!BS:BS*";7#!jF"</f>
        <v>#VALUE!</v>
      </c>
      <c r="FC24" s="0" t="e">
        <f aca="false">Peng!BT:BT*";7#!jG"</f>
        <v>#VALUE!</v>
      </c>
      <c r="FD24" s="0" t="e">
        <f aca="false">Peng!BU:BU*";7#!jH"</f>
        <v>#VALUE!</v>
      </c>
      <c r="FE24" s="0" t="e">
        <f aca="false">Peng!BV:BV*";7#!jI"</f>
        <v>#VALUE!</v>
      </c>
      <c r="FF24" s="0" t="e">
        <f aca="false">Peng!BW:BW*";7#!jJ"</f>
        <v>#VALUE!</v>
      </c>
      <c r="FG24" s="0" t="e">
        <f aca="false">Peng!BX:BX*";7#!jK"</f>
        <v>#VALUE!</v>
      </c>
      <c r="FH24" s="0" t="e">
        <f aca="false">Peng!BY:BY*";7#!jL"</f>
        <v>#VALUE!</v>
      </c>
      <c r="FI24" s="0" t="e">
        <f aca="false">Peng!BZ:BZ*";7#!jM"</f>
        <v>#VALUE!</v>
      </c>
      <c r="FJ24" s="0" t="e">
        <f aca="false">Peng!CA:CA*";7#!jN"</f>
        <v>#VALUE!</v>
      </c>
      <c r="FK24" s="0" t="e">
        <f aca="false">Peng!CB:CB*";7#!jO"</f>
        <v>#VALUE!</v>
      </c>
      <c r="FL24" s="0" t="e">
        <f aca="false">Peng!CC:CC*";7#!jP"</f>
        <v>#VALUE!</v>
      </c>
      <c r="FM24" s="0" t="e">
        <f aca="false">Peng!1:1-";7#!jQ"</f>
        <v>#VALUE!</v>
      </c>
      <c r="FN24" s="0" t="e">
        <f aca="false">Peng!2:2-";7#!jR"</f>
        <v>#VALUE!</v>
      </c>
      <c r="FO24" s="0" t="e">
        <f aca="false">Peng!3:3-";7#!jS"</f>
        <v>#VALUE!</v>
      </c>
      <c r="FP24" s="0" t="e">
        <f aca="false">Peng!4:4-";7#!jT"</f>
        <v>#VALUE!</v>
      </c>
      <c r="FQ24" s="0" t="e">
        <f aca="false">Peng!5:5-";7#!jU"</f>
        <v>#VALUE!</v>
      </c>
      <c r="FR24" s="0" t="e">
        <f aca="false">Peng!6:6-";7#!jV"</f>
        <v>#VALUE!</v>
      </c>
      <c r="FS24" s="0" t="e">
        <f aca="false">Peng!7:7-";7#!jW"</f>
        <v>#VALUE!</v>
      </c>
      <c r="FT24" s="0" t="e">
        <f aca="false">Peng!8:8-";7#!jX"</f>
        <v>#VALUE!</v>
      </c>
      <c r="FU24" s="0" t="e">
        <f aca="false">Peng!9:9-";7#!jY"</f>
        <v>#VALUE!</v>
      </c>
      <c r="FV24" s="0" t="e">
        <f aca="false">Peng!10:10-";7#!jZ"</f>
        <v>#VALUE!</v>
      </c>
      <c r="FW24" s="0" t="e">
        <f aca="false">Peng!11:11-";7#!j["</f>
        <v>#VALUE!</v>
      </c>
      <c r="FX24" s="0" t="e">
        <f aca="false">Peng!12:12-";7#!j\"</f>
        <v>#VALUE!</v>
      </c>
      <c r="FY24" s="0" t="e">
        <f aca="false">Peng!13:13-";7#!j]"</f>
        <v>#VALUE!</v>
      </c>
      <c r="FZ24" s="0" t="e">
        <f aca="false">Peng!14:14-";7#!j^"</f>
        <v>#VALUE!</v>
      </c>
      <c r="GA24" s="0" t="e">
        <f aca="false">Peng!15:15-";7#!j_"</f>
        <v>#VALUE!</v>
      </c>
      <c r="GB24" s="0" t="e">
        <f aca="false">Peng!16:16-";7#!j`"</f>
        <v>#VALUE!</v>
      </c>
      <c r="GC24" s="0" t="e">
        <f aca="false">Peng!17:17-";7#!ja"</f>
        <v>#VALUE!</v>
      </c>
      <c r="GD24" s="0" t="e">
        <f aca="false">Peng!18:18-";7#!jb"</f>
        <v>#VALUE!</v>
      </c>
      <c r="GE24" s="0" t="e">
        <f aca="false">Peng!19:19-";7#!jc"</f>
        <v>#VALUE!</v>
      </c>
      <c r="GF24" s="0" t="e">
        <f aca="false">Peng!20:20-";7#!jd"</f>
        <v>#VALUE!</v>
      </c>
      <c r="GG24" s="0" t="e">
        <f aca="false">Peng!21:21-";7#!je"</f>
        <v>#VALUE!</v>
      </c>
      <c r="GH24" s="0" t="e">
        <f aca="false">Peng!22:22-";7#!jf"</f>
        <v>#VALUE!</v>
      </c>
      <c r="GI24" s="0" t="e">
        <f aca="false">Peng!23:23-";7#!jg"</f>
        <v>#VALUE!</v>
      </c>
      <c r="GJ24" s="0" t="e">
        <f aca="false">Peng!24:24-";7#!jh"</f>
        <v>#VALUE!</v>
      </c>
      <c r="GK24" s="0" t="e">
        <f aca="false">Peng!25:25-";7#!ji"</f>
        <v>#VALUE!</v>
      </c>
      <c r="GL24" s="0" t="e">
        <f aca="false">Peng!26:26-";7#!jj"</f>
        <v>#VALUE!</v>
      </c>
      <c r="GM24" s="0" t="e">
        <f aca="false">Peng!27:27-";7#!jk"</f>
        <v>#VALUE!</v>
      </c>
      <c r="GN24" s="0" t="e">
        <f aca="false">Peng!28:28-";7#!jl"</f>
        <v>#VALUE!</v>
      </c>
      <c r="GO24" s="0" t="e">
        <f aca="false">Peng!29:29-";7#!jm"</f>
        <v>#VALUE!</v>
      </c>
      <c r="GP24" s="0" t="e">
        <f aca="false">Peng!30:30-";7#!jn"</f>
        <v>#VALUE!</v>
      </c>
      <c r="GQ24" s="0" t="e">
        <f aca="false">Peng!31:31-";7#!jo"</f>
        <v>#VALUE!</v>
      </c>
      <c r="GR24" s="0" t="e">
        <f aca="false">Peng!32:32-";7#!jp"</f>
        <v>#VALUE!</v>
      </c>
      <c r="GS24" s="0" t="e">
        <f aca="false">Peng!33:33-";7#!jq"</f>
        <v>#VALUE!</v>
      </c>
      <c r="GT24" s="0" t="e">
        <f aca="false">Peng!34:34-";7#!jr"</f>
        <v>#VALUE!</v>
      </c>
      <c r="GU24" s="0" t="e">
        <f aca="false">Peng!35:35-";7#!js"</f>
        <v>#VALUE!</v>
      </c>
      <c r="GV24" s="0" t="e">
        <f aca="false">Peng!36:36-";7#!jt"</f>
        <v>#VALUE!</v>
      </c>
      <c r="GW24" s="0" t="e">
        <f aca="false">Peng!37:37-";7#!ju"</f>
        <v>#VALUE!</v>
      </c>
      <c r="GX24" s="0" t="e">
        <f aca="false">Peng!38:38-";7#!jv"</f>
        <v>#VALUE!</v>
      </c>
      <c r="GY24" s="0" t="e">
        <f aca="false">Peng!39:39-";7#!jw"</f>
        <v>#VALUE!</v>
      </c>
      <c r="GZ24" s="0" t="e">
        <f aca="false">Peng!40:40-";7#!jx"</f>
        <v>#VALUE!</v>
      </c>
      <c r="HA24" s="0" t="e">
        <f aca="false">Peng!41:41-";7#!jy"</f>
        <v>#VALUE!</v>
      </c>
      <c r="HB24" s="0" t="e">
        <f aca="false">Peng!42:42-";7#!jz"</f>
        <v>#VALUE!</v>
      </c>
      <c r="HC24" s="0" t="e">
        <f aca="false">Peng!43:43-";7#!j{"</f>
        <v>#VALUE!</v>
      </c>
      <c r="HD24" s="0" t="e">
        <f aca="false">Peng!44:44-";7#!j|"</f>
        <v>#VALUE!</v>
      </c>
      <c r="HE24" s="0" t="e">
        <f aca="false">Peng!45:45-";7#!j}"</f>
        <v>#VALUE!</v>
      </c>
      <c r="HF24" s="0" t="e">
        <f aca="false">Peng!46:46-";7#!j~"</f>
        <v>#VALUE!</v>
      </c>
      <c r="HG24" s="0" t="e">
        <f aca="false">Peng!47:47-";7#!k#"</f>
        <v>#VALUE!</v>
      </c>
      <c r="HH24" s="0" t="e">
        <f aca="false">Peng!48:48-";7#!k$"</f>
        <v>#VALUE!</v>
      </c>
      <c r="HI24" s="0" t="e">
        <f aca="false">Peng!49:49-";7#!k%"</f>
        <v>#VALUE!</v>
      </c>
      <c r="HJ24" s="0" t="e">
        <f aca="false">Peng!50:50-";7#!k&amp;"</f>
        <v>#VALUE!</v>
      </c>
      <c r="HK24" s="0" t="e">
        <f aca="false">Peng!51:51-";7#!k'"</f>
        <v>#VALUE!</v>
      </c>
      <c r="HL24" s="0" t="e">
        <f aca="false">Peng!52:52-";7#!k("</f>
        <v>#VALUE!</v>
      </c>
      <c r="HM24" s="0" t="e">
        <f aca="false">Peng!53:53-";7#!k)"</f>
        <v>#VALUE!</v>
      </c>
      <c r="HN24" s="0" t="e">
        <f aca="false">Peng!54:54-";7#!k."</f>
        <v>#VALUE!</v>
      </c>
      <c r="HO24" s="0" t="e">
        <f aca="false">Peng!55:55-";7#!k/"</f>
        <v>#VALUE!</v>
      </c>
      <c r="HP24" s="0" t="e">
        <f aca="false">Peng!56:56-";7#!k0"</f>
        <v>#VALUE!</v>
      </c>
      <c r="HQ24" s="0" t="e">
        <f aca="false">Peng!57:57-";7#!k1"</f>
        <v>#VALUE!</v>
      </c>
      <c r="HR24" s="0" t="e">
        <f aca="false">Peng!58:58-";7#!k2"</f>
        <v>#VALUE!</v>
      </c>
      <c r="HS24" s="0" t="e">
        <f aca="false">Peng!59:59-";7#!k3"</f>
        <v>#VALUE!</v>
      </c>
      <c r="HT24" s="0" t="e">
        <f aca="false">Peng!60:60-";7#!k4"</f>
        <v>#VALUE!</v>
      </c>
      <c r="HU24" s="0" t="e">
        <f aca="false">Peng!61:61-";7#!k5"</f>
        <v>#VALUE!</v>
      </c>
      <c r="HV24" s="0" t="e">
        <f aca="false">Peng!62:62-";7#!k6"</f>
        <v>#VALUE!</v>
      </c>
      <c r="HW24" s="0" t="e">
        <f aca="false">Peng!63:63-";7#!k7"</f>
        <v>#VALUE!</v>
      </c>
      <c r="HX24" s="0" t="e">
        <f aca="false">Peng!64:64-";7#!k8"</f>
        <v>#VALUE!</v>
      </c>
      <c r="HY24" s="0" t="e">
        <f aca="false">Peng!65:65-";7#!k9"</f>
        <v>#VALUE!</v>
      </c>
      <c r="HZ24" s="0" t="e">
        <f aca="false">Peng!66:66-";7#!k:"</f>
        <v>#VALUE!</v>
      </c>
      <c r="IA24" s="0" t="e">
        <f aca="false">Peng!67:67-";7#!k;"</f>
        <v>#VALUE!</v>
      </c>
      <c r="IB24" s="0" t="e">
        <f aca="false">Peng!68:68-";7#!k&lt;"</f>
        <v>#VALUE!</v>
      </c>
      <c r="IC24" s="0" t="e">
        <f aca="false">Peng!69:69-";7#!k="</f>
        <v>#VALUE!</v>
      </c>
      <c r="ID24" s="0" t="e">
        <f aca="false">Peng!70:70-";7#!k&gt;"</f>
        <v>#VALUE!</v>
      </c>
      <c r="IE24" s="0" t="e">
        <f aca="false">Peng!71:71-";7#!k?"</f>
        <v>#VALUE!</v>
      </c>
      <c r="IF24" s="0" t="e">
        <f aca="false">Peng!72:72-";7#!k@"</f>
        <v>#VALUE!</v>
      </c>
      <c r="IG24" s="0" t="e">
        <f aca="false">Peng!73:73-";7#!kA"</f>
        <v>#VALUE!</v>
      </c>
      <c r="IH24" s="0" t="e">
        <f aca="false">Peng!74:74-";7#!kB"</f>
        <v>#VALUE!</v>
      </c>
      <c r="II24" s="0" t="e">
        <f aca="false">Peng!75:75-";7#!kC"</f>
        <v>#VALUE!</v>
      </c>
      <c r="IJ24" s="0" t="e">
        <f aca="false">Peng!76:76-";7#!kD"</f>
        <v>#VALUE!</v>
      </c>
      <c r="IK24" s="0" t="e">
        <f aca="false">Peng!77:77-";7#!kE"</f>
        <v>#VALUE!</v>
      </c>
      <c r="IL24" s="0" t="e">
        <f aca="false">Peng!78:78-";7#!kF"</f>
        <v>#VALUE!</v>
      </c>
      <c r="IM24" s="0" t="e">
        <f aca="false">Peng!79:79-";7#!kG"</f>
        <v>#VALUE!</v>
      </c>
      <c r="IN24" s="0" t="e">
        <f aca="false">Peng!80:80-";7#!kH"</f>
        <v>#VALUE!</v>
      </c>
      <c r="IO24" s="0" t="e">
        <f aca="false">Peng!81:81-";7#!kI"</f>
        <v>#VALUE!</v>
      </c>
      <c r="IP24" s="0" t="e">
        <f aca="false">Peng!82:82-";7#!kJ"</f>
        <v>#VALUE!</v>
      </c>
      <c r="IQ24" s="0" t="e">
        <f aca="false">Peng!83:83-";7#!kK"</f>
        <v>#VALUE!</v>
      </c>
      <c r="IR24" s="0" t="e">
        <f aca="false">Peng!84:84-";7#!kL"</f>
        <v>#VALUE!</v>
      </c>
      <c r="IS24" s="0" t="e">
        <f aca="false">Peng!85:85-";7#!kM"</f>
        <v>#VALUE!</v>
      </c>
      <c r="IT24" s="0" t="e">
        <f aca="false">Peng!86:86-";7#!kN"</f>
        <v>#VALUE!</v>
      </c>
      <c r="IU24" s="0" t="e">
        <f aca="false">Peng!87:87-";7#!kO"</f>
        <v>#VALUE!</v>
      </c>
      <c r="IV24" s="0" t="e">
        <f aca="false">Peng!88:88-";7#!kP"</f>
        <v>#VALUE!</v>
      </c>
    </row>
    <row r="25" customFormat="false" ht="15" hidden="false" customHeight="false" outlineLevel="0" collapsed="false">
      <c r="F25" s="0" t="e">
        <f aca="false">Peng!89:89-";7#!kQ"</f>
        <v>#VALUE!</v>
      </c>
      <c r="G25" s="0" t="e">
        <f aca="false">Peng!90:90-";7#!kR"</f>
        <v>#VALUE!</v>
      </c>
      <c r="H25" s="0" t="e">
        <f aca="false">Peng!91:91-";7#!kS"</f>
        <v>#VALUE!</v>
      </c>
      <c r="I25" s="0" t="e">
        <f aca="false">Peng!92:92-";7#!kT"</f>
        <v>#VALUE!</v>
      </c>
      <c r="J25" s="0" t="e">
        <f aca="false">Peng!93:93-";7#!kU"</f>
        <v>#VALUE!</v>
      </c>
      <c r="K25" s="0" t="e">
        <f aca="false">Peng!94:94-";7#!kV"</f>
        <v>#VALUE!</v>
      </c>
      <c r="L25" s="0" t="e">
        <f aca="false">Peng!95:95-";7#!kW"</f>
        <v>#VALUE!</v>
      </c>
      <c r="M25" s="0" t="e">
        <f aca="false">Peng!96:96-";7#!kX"</f>
        <v>#VALUE!</v>
      </c>
      <c r="N25" s="0" t="e">
        <f aca="false">Peng!97:97-";7#!kY"</f>
        <v>#VALUE!</v>
      </c>
      <c r="O25" s="0" t="e">
        <f aca="false">Peng!98:98-";7#!kZ"</f>
        <v>#VALUE!</v>
      </c>
      <c r="P25" s="0" t="e">
        <f aca="false">Peng!99:99-";7#!k["</f>
        <v>#VALUE!</v>
      </c>
      <c r="Q25" s="0" t="e">
        <f aca="false">Peng!100:100-";7#!k\"</f>
        <v>#VALUE!</v>
      </c>
      <c r="R25" s="0" t="e">
        <f aca="false">Peng!101:101-";7#!k]"</f>
        <v>#VALUE!</v>
      </c>
      <c r="S25" s="0" t="e">
        <f aca="false">Peng!102:102-";7#!k^"</f>
        <v>#VALUE!</v>
      </c>
      <c r="T25" s="0" t="e">
        <f aca="false">Peng!103:103-";7#!k_"</f>
        <v>#VALUE!</v>
      </c>
      <c r="U25" s="0" t="e">
        <f aca="false">Peng!104:104-";7#!k`"</f>
        <v>#VALUE!</v>
      </c>
      <c r="V25" s="0" t="e">
        <f aca="false">Peng!105:105-";7#!ka"</f>
        <v>#VALUE!</v>
      </c>
      <c r="W25" s="0" t="e">
        <f aca="false">Peng!106:106-";7#!kb"</f>
        <v>#VALUE!</v>
      </c>
      <c r="X25" s="0" t="e">
        <f aca="false">Peng!107:107-";7#!kc"</f>
        <v>#VALUE!</v>
      </c>
      <c r="Y25" s="0" t="e">
        <f aca="false">Peng!108:108-";7#!kd"</f>
        <v>#VALUE!</v>
      </c>
      <c r="Z25" s="0" t="e">
        <f aca="false">Peng!109:109-";7#!ke"</f>
        <v>#VALUE!</v>
      </c>
      <c r="AA25" s="0" t="e">
        <f aca="false">Peng!110:110-";7#!kf"</f>
        <v>#VALUE!</v>
      </c>
      <c r="AB25" s="0" t="e">
        <f aca="false">Peng!111:111-";7#!kg"</f>
        <v>#VALUE!</v>
      </c>
      <c r="AC25" s="0" t="e">
        <f aca="false">Peng!112:112-";7#!kh"</f>
        <v>#VALUE!</v>
      </c>
      <c r="AD25" s="0" t="e">
        <f aca="false">Peng!113:113-";7#!ki"</f>
        <v>#VALUE!</v>
      </c>
      <c r="AE25" s="0" t="e">
        <f aca="false">Peng!114:114-";7#!kj"</f>
        <v>#VALUE!</v>
      </c>
      <c r="AF25" s="0" t="e">
        <f aca="false">Peng!115:115-";7#!kk"</f>
        <v>#VALUE!</v>
      </c>
      <c r="AG25" s="0" t="e">
        <f aca="false">Peng!116:116-";7#!kl"</f>
        <v>#VALUE!</v>
      </c>
      <c r="AH25" s="0" t="e">
        <f aca="false">Peng!117:117-";7#!km"</f>
        <v>#VALUE!</v>
      </c>
      <c r="AI25" s="0" t="e">
        <f aca="false">Peng!118:118-";7#!kn"</f>
        <v>#VALUE!</v>
      </c>
      <c r="AJ25" s="0" t="e">
        <f aca="false">Peng!119:119-";7#!ko"</f>
        <v>#VALUE!</v>
      </c>
      <c r="AK25" s="0" t="e">
        <f aca="false">Peng!120:120-";7#!kp"</f>
        <v>#VALUE!</v>
      </c>
      <c r="AL25" s="0" t="e">
        <f aca="false">Peng!121:121-";7#!kq"</f>
        <v>#VALUE!</v>
      </c>
      <c r="AM25" s="0" t="e">
        <f aca="false">Peng!122:122-";7#!kr"</f>
        <v>#VALUE!</v>
      </c>
      <c r="AN25" s="0" t="e">
        <f aca="false">Peng!123:123-";7#!ks"</f>
        <v>#VALUE!</v>
      </c>
      <c r="AO25" s="0" t="e">
        <f aca="false">Peng!124:124-";7#!kt"</f>
        <v>#VALUE!</v>
      </c>
      <c r="AP25" s="0" t="e">
        <f aca="false">Peng!125:125-";7#!ku"</f>
        <v>#VALUE!</v>
      </c>
      <c r="AQ25" s="0" t="e">
        <f aca="false">Peng!126:126-";7#!kv"</f>
        <v>#VALUE!</v>
      </c>
      <c r="AR25" s="0" t="e">
        <f aca="false">Peng!127:127-";7#!kw"</f>
        <v>#VALUE!</v>
      </c>
      <c r="AS25" s="0" t="e">
        <f aca="false">Peng!128:128-";7#!kx"</f>
        <v>#VALUE!</v>
      </c>
      <c r="AT25" s="0" t="e">
        <f aca="false">Peng!129:129-";7#!ky"</f>
        <v>#VALUE!</v>
      </c>
      <c r="AU25" s="0" t="e">
        <f aca="false">Peng!130:130-";7#!kz"</f>
        <v>#VALUE!</v>
      </c>
      <c r="AV25" s="0" t="e">
        <f aca="false">Peng!131:131-";7#!k{"</f>
        <v>#VALUE!</v>
      </c>
      <c r="AW25" s="0" t="e">
        <f aca="false">Peng!132:132-";7#!k|"</f>
        <v>#VALUE!</v>
      </c>
      <c r="AX25" s="0" t="e">
        <f aca="false">Peng!133:133-";7#!k}"</f>
        <v>#VALUE!</v>
      </c>
      <c r="AY25" s="0" t="e">
        <f aca="false">Peng!134:134-";7#!k~"</f>
        <v>#VALUE!</v>
      </c>
      <c r="AZ25" s="0" t="e">
        <f aca="false">Peng!135:135-";7#!l#"</f>
        <v>#VALUE!</v>
      </c>
      <c r="BA25" s="0" t="e">
        <f aca="false">Peng!136:136-";7#!l$"</f>
        <v>#VALUE!</v>
      </c>
      <c r="BB25" s="0" t="e">
        <f aca="false">Peng!137:137-";7#!l%"</f>
        <v>#VALUE!</v>
      </c>
      <c r="BC25" s="0" t="e">
        <f aca="false">Peng!138:138-";7#!l&amp;"</f>
        <v>#VALUE!</v>
      </c>
      <c r="BD25" s="0" t="e">
        <f aca="false">Peng!139:139-";7#!l'"</f>
        <v>#VALUE!</v>
      </c>
      <c r="BE25" s="0" t="e">
        <f aca="false">Peng!140:140-";7#!l("</f>
        <v>#VALUE!</v>
      </c>
      <c r="BF25" s="0" t="e">
        <f aca="false">Peng!141:141-";7#!l)"</f>
        <v>#VALUE!</v>
      </c>
      <c r="BG25" s="0" t="e">
        <f aca="false">Peng!142:142-";7#!l."</f>
        <v>#VALUE!</v>
      </c>
      <c r="BH25" s="0" t="e">
        <f aca="false">Peng!143:143-";7#!l/"</f>
        <v>#VALUE!</v>
      </c>
      <c r="BI25" s="0" t="e">
        <f aca="false">Peng!144:144-";7#!l0"</f>
        <v>#VALUE!</v>
      </c>
      <c r="BJ25" s="0" t="e">
        <f aca="false">Peng!145:145-";7#!l1"</f>
        <v>#VALUE!</v>
      </c>
      <c r="BK25" s="0" t="e">
        <f aca="false">Peng!146:146-";7#!l2"</f>
        <v>#VALUE!</v>
      </c>
      <c r="BL25" s="0" t="e">
        <f aca="false">Peng!147:147-";7#!l3"</f>
        <v>#VALUE!</v>
      </c>
      <c r="BM25" s="0" t="e">
        <f aca="false">Peng!148:148-";7#!l4"</f>
        <v>#VALUE!</v>
      </c>
      <c r="BN25" s="0" t="e">
        <f aca="false">Peng!149:149-";7#!l5"</f>
        <v>#VALUE!</v>
      </c>
      <c r="BO25" s="0" t="e">
        <f aca="false">Peng!150:150-";7#!l6"</f>
        <v>#VALUE!</v>
      </c>
      <c r="BP25" s="0" t="e">
        <f aca="false">Peng!151:151-";7#!l7"</f>
        <v>#VALUE!</v>
      </c>
      <c r="BQ25" s="0" t="e">
        <f aca="false">Peng!152:152-";7#!l8"</f>
        <v>#VALUE!</v>
      </c>
      <c r="BR25" s="0" t="e">
        <f aca="false">Peng!153:153-";7#!l9"</f>
        <v>#VALUE!</v>
      </c>
      <c r="BS25" s="0" t="e">
        <f aca="false">Peng!154:154-";7#!l:"</f>
        <v>#VALUE!</v>
      </c>
      <c r="BT25" s="0" t="e">
        <f aca="false">Peng!155:155-";7#!l;"</f>
        <v>#VALUE!</v>
      </c>
      <c r="BU25" s="0" t="e">
        <f aca="false">Peng!156:156-";7#!l&lt;"</f>
        <v>#VALUE!</v>
      </c>
      <c r="BV25" s="0" t="e">
        <f aca="false">Peng!157:157-";7#!l="</f>
        <v>#VALUE!</v>
      </c>
      <c r="BW25" s="0" t="e">
        <f aca="false">Peng!158:158-";7#!l&gt;"</f>
        <v>#VALUE!</v>
      </c>
      <c r="BX25" s="0" t="e">
        <f aca="false">Peng!159:159-";7#!l?"</f>
        <v>#VALUE!</v>
      </c>
      <c r="BY25" s="0" t="e">
        <f aca="false">Peng!160:160-";7#!l@"</f>
        <v>#VALUE!</v>
      </c>
      <c r="BZ25" s="0" t="e">
        <f aca="false">Peng!161:161-";7#!lA"</f>
        <v>#VALUE!</v>
      </c>
      <c r="CA25" s="0" t="e">
        <f aca="false">Peng!162:162-";7#!lB"</f>
        <v>#VALUE!</v>
      </c>
      <c r="CB25" s="0" t="e">
        <f aca="false">Peng!163:163-";7#!lC"</f>
        <v>#VALUE!</v>
      </c>
      <c r="CC25" s="0" t="e">
        <f aca="false">Peng!164:164-";7#!lD"</f>
        <v>#VALUE!</v>
      </c>
      <c r="CD25" s="0" t="e">
        <f aca="false">Peng!165:165-";7#!lE"</f>
        <v>#VALUE!</v>
      </c>
      <c r="CE25" s="0" t="e">
        <f aca="false">Peng!166:166-";7#!lF"</f>
        <v>#VALUE!</v>
      </c>
      <c r="CF25" s="0" t="e">
        <f aca="false">Peng!167:167-";7#!lG"</f>
        <v>#VALUE!</v>
      </c>
      <c r="CG25" s="0" t="e">
        <f aca="false">Peng!168:168-";7#!lH"</f>
        <v>#VALUE!</v>
      </c>
      <c r="CH25" s="0" t="e">
        <f aca="false">Peng!169:169-";7#!lI"</f>
        <v>#VALUE!</v>
      </c>
      <c r="CI25" s="0" t="e">
        <f aca="false">Peng!170:170-";7#!lJ"</f>
        <v>#VALUE!</v>
      </c>
      <c r="CJ25" s="0" t="e">
        <f aca="false">Peng!171:171-";7#!lK"</f>
        <v>#VALUE!</v>
      </c>
      <c r="CK25" s="0" t="e">
        <f aca="false">Peng!172:172-";7#!lL"</f>
        <v>#VALUE!</v>
      </c>
      <c r="CL25" s="0" t="e">
        <f aca="false">Peng!173:173-";7#!lM"</f>
        <v>#VALUE!</v>
      </c>
      <c r="CM25" s="0" t="e">
        <f aca="false">Peng!174:174-";7#!lN"</f>
        <v>#VALUE!</v>
      </c>
      <c r="CN25" s="0" t="e">
        <f aca="false">Peng!175:175-";7#!lO"</f>
        <v>#VALUE!</v>
      </c>
      <c r="CO25" s="0" t="e">
        <f aca="false">Peng!176:176-";7#!lP"</f>
        <v>#VALUE!</v>
      </c>
      <c r="CP25" s="0" t="e">
        <f aca="false">Peng!177:177-";7#!lQ"</f>
        <v>#VALUE!</v>
      </c>
      <c r="CQ25" s="0" t="e">
        <f aca="false">Peng!178:178-";7#!lR"</f>
        <v>#VALUE!</v>
      </c>
      <c r="CR25" s="0" t="e">
        <f aca="false">Peng!179:179-";7#!lS"</f>
        <v>#VALUE!</v>
      </c>
      <c r="CS25" s="0" t="e">
        <f aca="false">Peng!180:180-";7#!lT"</f>
        <v>#VALUE!</v>
      </c>
      <c r="CT25" s="0" t="e">
        <f aca="false">Peng!181:181-";7#!lU"</f>
        <v>#VALUE!</v>
      </c>
      <c r="CU25" s="0" t="e">
        <f aca="false">Peng!182:182-";7#!lV"</f>
        <v>#VALUE!</v>
      </c>
      <c r="CV25" s="0" t="e">
        <f aca="false">Peng!183:183-";7#!lW"</f>
        <v>#VALUE!</v>
      </c>
      <c r="CW25" s="0" t="e">
        <f aca="false">Peng!184:184-";7#!lX"</f>
        <v>#VALUE!</v>
      </c>
      <c r="CX25" s="0" t="e">
        <f aca="false">Peng!185:185-";7#!lY"</f>
        <v>#VALUE!</v>
      </c>
      <c r="CY25" s="0" t="e">
        <f aca="false">Peng!186:186-";7#!lZ"</f>
        <v>#VALUE!</v>
      </c>
      <c r="CZ25" s="0" t="e">
        <f aca="false">Peng!187:187-";7#!l["</f>
        <v>#VALUE!</v>
      </c>
      <c r="DA25" s="0" t="e">
        <f aca="false">Peng!188:188-";7#!l\"</f>
        <v>#VALUE!</v>
      </c>
      <c r="DB25" s="0" t="e">
        <f aca="false">Peng!189:189-";7#!l]"</f>
        <v>#VALUE!</v>
      </c>
      <c r="DC25" s="0" t="e">
        <f aca="false">Peng!190:190-";7#!l^"</f>
        <v>#VALUE!</v>
      </c>
      <c r="DD25" s="0" t="e">
        <f aca="false">Peng!191:191-";7#!l_"</f>
        <v>#VALUE!</v>
      </c>
      <c r="DE25" s="0" t="e">
        <f aca="false">Peng!192:192-";7#!l`"</f>
        <v>#VALUE!</v>
      </c>
      <c r="DF25" s="0" t="e">
        <f aca="false">Peng!193:193-";7#!la"</f>
        <v>#VALUE!</v>
      </c>
      <c r="DG25" s="0" t="e">
        <f aca="false">Peng!194:194-";7#!lb"</f>
        <v>#VALUE!</v>
      </c>
      <c r="DH25" s="0" t="e">
        <f aca="false">Peng!195:195-";7#!lc"</f>
        <v>#VALUE!</v>
      </c>
      <c r="DI25" s="0" t="e">
        <f aca="false">Peng!196:196-";7#!ld"</f>
        <v>#VALUE!</v>
      </c>
      <c r="DJ25" s="0" t="e">
        <f aca="false">Peng!197:197-";7#!le"</f>
        <v>#VALUE!</v>
      </c>
      <c r="DK25" s="0" t="e">
        <f aca="false">Peng!198:198-";7#!lf"</f>
        <v>#VALUE!</v>
      </c>
      <c r="DL25" s="0" t="e">
        <f aca="false">Peng!199:199-";7#!lg"</f>
        <v>#VALUE!</v>
      </c>
      <c r="DM25" s="0" t="e">
        <f aca="false">Peng!200:200-";7#!lh"</f>
        <v>#VALUE!</v>
      </c>
      <c r="DN25" s="0" t="e">
        <f aca="false">Peng!201:201-";7#!li"</f>
        <v>#VALUE!</v>
      </c>
      <c r="DO25" s="0" t="e">
        <f aca="false">Peng!202:202-";7#!lj"</f>
        <v>#VALUE!</v>
      </c>
      <c r="DP25" s="0" t="e">
        <f aca="false">Peng!203:203-";7#!lk"</f>
        <v>#VALUE!</v>
      </c>
      <c r="DQ25" s="0" t="e">
        <f aca="false">Peng!204:204-";7#!ll"</f>
        <v>#VALUE!</v>
      </c>
      <c r="DR25" s="0" t="e">
        <f aca="false">Peng!205:205-";7#!lm"</f>
        <v>#VALUE!</v>
      </c>
      <c r="DS25" s="0" t="e">
        <f aca="false">Peng!206:206-";7#!ln"</f>
        <v>#VALUE!</v>
      </c>
      <c r="DT25" s="0" t="e">
        <f aca="false">Peng!207:207-";7#!lo"</f>
        <v>#VALUE!</v>
      </c>
      <c r="DU25" s="0" t="e">
        <f aca="false">Peng!208:208-";7#!lp"</f>
        <v>#VALUE!</v>
      </c>
      <c r="DV25" s="0" t="e">
        <f aca="false">Peng!209:209-";7#!lq"</f>
        <v>#VALUE!</v>
      </c>
      <c r="DW25" s="0" t="e">
        <f aca="false">Peng!210:210-";7#!lr"</f>
        <v>#VALUE!</v>
      </c>
      <c r="DX25" s="0" t="e">
        <f aca="false">Peng!211:211-";7#!ls"</f>
        <v>#VALUE!</v>
      </c>
      <c r="DY25" s="0" t="e">
        <f aca="false">Peng!212:212-";7#!lt"</f>
        <v>#VALUE!</v>
      </c>
      <c r="DZ25" s="0" t="e">
        <f aca="false">Peng!213:213-";7#!lu"</f>
        <v>#VALUE!</v>
      </c>
      <c r="EA25" s="0" t="e">
        <f aca="false">Peng!214:214-";7#!lv"</f>
        <v>#VALUE!</v>
      </c>
      <c r="EB25" s="0" t="e">
        <f aca="false">Peng!215:215-";7#!lw"</f>
        <v>#VALUE!</v>
      </c>
      <c r="EC25" s="0" t="e">
        <f aca="false">Peng!216:216-";7#!lx"</f>
        <v>#VALUE!</v>
      </c>
      <c r="ED25" s="0" t="e">
        <f aca="false">Peng!217:217-";7#!ly"</f>
        <v>#VALUE!</v>
      </c>
      <c r="EE25" s="0" t="e">
        <f aca="false">Peng!218:218-";7#!lz"</f>
        <v>#VALUE!</v>
      </c>
      <c r="EF25" s="0" t="e">
        <f aca="false">Peng!219:219-";7#!l{"</f>
        <v>#VALUE!</v>
      </c>
      <c r="EG25" s="0" t="e">
        <f aca="false">Peng!220:220-";7#!l|"</f>
        <v>#VALUE!</v>
      </c>
      <c r="EH25" s="0" t="e">
        <f aca="false">Peng!221:221-";7#!l}"</f>
        <v>#VALUE!</v>
      </c>
      <c r="EI25" s="0" t="e">
        <f aca="false">Peng!222:222-";7#!l~"</f>
        <v>#VALUE!</v>
      </c>
      <c r="EJ25" s="0" t="e">
        <f aca="false">Peng!223:223-";7#!m#"</f>
        <v>#VALUE!</v>
      </c>
      <c r="EK25" s="0" t="e">
        <f aca="false">Peng!224:224-";7#!m$"</f>
        <v>#VALUE!</v>
      </c>
      <c r="EL25" s="0" t="e">
        <f aca="false">Peng!225:225-";7#!m%"</f>
        <v>#VALUE!</v>
      </c>
      <c r="EM25" s="0" t="e">
        <f aca="false">Peng!226:226-";7#!m&amp;"</f>
        <v>#VALUE!</v>
      </c>
      <c r="EN25" s="0" t="e">
        <f aca="false">Peng!227:227-";7#!m'"</f>
        <v>#VALUE!</v>
      </c>
      <c r="EO25" s="0" t="e">
        <f aca="false">Peng!228:228-";7#!m("</f>
        <v>#VALUE!</v>
      </c>
      <c r="EP25" s="0" t="e">
        <f aca="false">Peng!229:229-";7#!m)"</f>
        <v>#VALUE!</v>
      </c>
      <c r="EQ25" s="0" t="e">
        <f aca="false">Peng!230:230-";7#!m."</f>
        <v>#VALUE!</v>
      </c>
      <c r="ER25" s="0" t="e">
        <f aca="false">Peng!231:231-";7#!m/"</f>
        <v>#VALUE!</v>
      </c>
      <c r="ES25" s="0" t="e">
        <f aca="false">Peng!232:232-";7#!m0"</f>
        <v>#VALUE!</v>
      </c>
      <c r="ET25" s="0" t="e">
        <f aca="false">Peng!A1+";7#!m1"</f>
        <v>#VALUE!</v>
      </c>
      <c r="EU25" s="0" t="e">
        <f aca="false">Peng!B1+";7#!m2"</f>
        <v>#VALUE!</v>
      </c>
      <c r="EV25" s="0" t="e">
        <f aca="false">Peng!C1+";7#!m3"</f>
        <v>#VALUE!</v>
      </c>
      <c r="EW25" s="0" t="e">
        <f aca="false">Peng!D1+";7#!m4"</f>
        <v>#VALUE!</v>
      </c>
      <c r="EX25" s="0" t="e">
        <f aca="false">Peng!E1+";7#!m5"</f>
        <v>#VALUE!</v>
      </c>
      <c r="EY25" s="0" t="e">
        <f aca="false">Peng!F1+";7#!m6"</f>
        <v>#VALUE!</v>
      </c>
      <c r="EZ25" s="0" t="e">
        <f aca="false">Peng!G1+";7#!m7"</f>
        <v>#VALUE!</v>
      </c>
      <c r="FA25" s="0" t="e">
        <f aca="false">Peng!H1+";7#!m8"</f>
        <v>#VALUE!</v>
      </c>
      <c r="FB25" s="0" t="e">
        <f aca="false">Peng!I1+";7#!m9"</f>
        <v>#VALUE!</v>
      </c>
      <c r="FC25" s="0" t="e">
        <f aca="false">Peng!J1+";7#!m:"</f>
        <v>#VALUE!</v>
      </c>
      <c r="FD25" s="0" t="e">
        <f aca="false">Peng!K1+";7#!m;"</f>
        <v>#VALUE!</v>
      </c>
      <c r="FE25" s="0" t="e">
        <f aca="false">Peng!L1+";7#!m&lt;"</f>
        <v>#VALUE!</v>
      </c>
      <c r="FF25" s="0" t="e">
        <f aca="false">Peng!M1+";7#!m="</f>
        <v>#VALUE!</v>
      </c>
      <c r="FG25" s="0" t="e">
        <f aca="false">Peng!N1+";7#!m&gt;"</f>
        <v>#VALUE!</v>
      </c>
      <c r="FH25" s="0" t="e">
        <f aca="false">Peng!O1+";7#!m?"</f>
        <v>#VALUE!</v>
      </c>
      <c r="FI25" s="0" t="e">
        <f aca="false">Peng!P1+";7#!m@"</f>
        <v>#VALUE!</v>
      </c>
      <c r="FJ25" s="0" t="e">
        <f aca="false">Peng!A2+";7#!mA"</f>
        <v>#VALUE!</v>
      </c>
      <c r="FK25" s="0" t="e">
        <f aca="false">Peng!B2+";7#!mB"</f>
        <v>#VALUE!</v>
      </c>
      <c r="FL25" s="0" t="e">
        <f aca="false">Peng!C2+";7#!mC"</f>
        <v>#VALUE!</v>
      </c>
      <c r="FM25" s="0" t="e">
        <f aca="false">Peng!D2+";7#!mD"</f>
        <v>#VALUE!</v>
      </c>
      <c r="FN25" s="0" t="e">
        <f aca="false">Peng!E2+";7#!mE"</f>
        <v>#VALUE!</v>
      </c>
      <c r="FO25" s="0" t="e">
        <f aca="false">Peng!F2+";7#!mF"</f>
        <v>#VALUE!</v>
      </c>
      <c r="FP25" s="0" t="e">
        <f aca="false">Peng!G2+";7#!mG"</f>
        <v>#VALUE!</v>
      </c>
      <c r="FQ25" s="0" t="e">
        <f aca="false">Peng!H2+";7#!mH"</f>
        <v>#VALUE!</v>
      </c>
      <c r="FR25" s="0" t="e">
        <f aca="false">Peng!I2+";7#!mI"</f>
        <v>#VALUE!</v>
      </c>
      <c r="FS25" s="0" t="e">
        <f aca="false">Peng!J2+";7#!mJ"</f>
        <v>#VALUE!</v>
      </c>
      <c r="FT25" s="0" t="e">
        <f aca="false">Peng!K2+";7#!mK"</f>
        <v>#VALUE!</v>
      </c>
      <c r="FU25" s="0" t="e">
        <f aca="false">Peng!L2+";7#!mL"</f>
        <v>#VALUE!</v>
      </c>
      <c r="FV25" s="0" t="e">
        <f aca="false">Peng!M2+";7#!mM"</f>
        <v>#VALUE!</v>
      </c>
      <c r="FW25" s="0" t="e">
        <f aca="false">Peng!N2+";7#!mN"</f>
        <v>#VALUE!</v>
      </c>
      <c r="FX25" s="0" t="e">
        <f aca="false">Peng!O2+";7#!mO"</f>
        <v>#VALUE!</v>
      </c>
      <c r="FY25" s="0" t="e">
        <f aca="false">Peng!P2+";7#!mP"</f>
        <v>#VALUE!</v>
      </c>
      <c r="FZ25" s="0" t="e">
        <f aca="false">Peng!Q2+";7#!mQ"</f>
        <v>#VALUE!</v>
      </c>
      <c r="GA25" s="0" t="e">
        <f aca="false">Peng!A3+";7#!mR"</f>
        <v>#VALUE!</v>
      </c>
      <c r="GB25" s="0" t="e">
        <f aca="false">Peng!B3+";7#!mS"</f>
        <v>#VALUE!</v>
      </c>
      <c r="GC25" s="0" t="e">
        <f aca="false">Peng!C3+";7#!mT"</f>
        <v>#VALUE!</v>
      </c>
      <c r="GD25" s="0" t="e">
        <f aca="false">Peng!D3+";7#!mU"</f>
        <v>#VALUE!</v>
      </c>
      <c r="GE25" s="0" t="e">
        <f aca="false">Peng!E3+";7#!mV"</f>
        <v>#VALUE!</v>
      </c>
      <c r="GF25" s="0" t="e">
        <f aca="false">Peng!F3+";7#!mW"</f>
        <v>#VALUE!</v>
      </c>
      <c r="GG25" s="0" t="e">
        <f aca="false">Peng!G3+";7#!mX"</f>
        <v>#VALUE!</v>
      </c>
      <c r="GH25" s="0" t="e">
        <f aca="false">Peng!H3+";7#!mY"</f>
        <v>#VALUE!</v>
      </c>
      <c r="GI25" s="0" t="e">
        <f aca="false">Peng!I3+";7#!mZ"</f>
        <v>#VALUE!</v>
      </c>
      <c r="GJ25" s="0" t="e">
        <f aca="false">Peng!J3+";7#!m["</f>
        <v>#VALUE!</v>
      </c>
      <c r="GK25" s="0" t="e">
        <f aca="false">Peng!K3+";7#!m\"</f>
        <v>#VALUE!</v>
      </c>
      <c r="GL25" s="0" t="e">
        <f aca="false">Peng!L3+";7#!m]"</f>
        <v>#VALUE!</v>
      </c>
      <c r="GM25" s="0" t="e">
        <f aca="false">Peng!M3+";7#!m^"</f>
        <v>#VALUE!</v>
      </c>
      <c r="GN25" s="0" t="e">
        <f aca="false">Peng!N3+";7#!m_"</f>
        <v>#VALUE!</v>
      </c>
      <c r="GO25" s="0" t="e">
        <f aca="false">Peng!O3+";7#!m`"</f>
        <v>#VALUE!</v>
      </c>
      <c r="GP25" s="0" t="e">
        <f aca="false">Peng!P3+";7#!ma"</f>
        <v>#VALUE!</v>
      </c>
      <c r="GQ25" s="0" t="e">
        <f aca="false">Peng!Q3+";7#!mb"</f>
        <v>#VALUE!</v>
      </c>
      <c r="GR25" s="0" t="e">
        <f aca="false">Peng!A4+";7#!mc"</f>
        <v>#VALUE!</v>
      </c>
      <c r="GS25" s="0" t="e">
        <f aca="false">Peng!B4+";7#!md"</f>
        <v>#VALUE!</v>
      </c>
      <c r="GT25" s="0" t="e">
        <f aca="false">Peng!C4+";7#!me"</f>
        <v>#VALUE!</v>
      </c>
      <c r="GU25" s="0" t="e">
        <f aca="false">Peng!D4+";7#!mf"</f>
        <v>#VALUE!</v>
      </c>
      <c r="GV25" s="0" t="e">
        <f aca="false">Peng!E4+";7#!mg"</f>
        <v>#VALUE!</v>
      </c>
      <c r="GW25" s="0" t="e">
        <f aca="false">Peng!F4+";7#!mh"</f>
        <v>#VALUE!</v>
      </c>
      <c r="GX25" s="0" t="e">
        <f aca="false">Peng!G4+";7#!mi"</f>
        <v>#VALUE!</v>
      </c>
      <c r="GY25" s="0" t="e">
        <f aca="false">Peng!H4+";7#!mj"</f>
        <v>#VALUE!</v>
      </c>
      <c r="GZ25" s="0" t="e">
        <f aca="false">Peng!I4+";7#!mk"</f>
        <v>#VALUE!</v>
      </c>
      <c r="HA25" s="0" t="e">
        <f aca="false">Peng!J4+";7#!ml"</f>
        <v>#VALUE!</v>
      </c>
      <c r="HB25" s="0" t="e">
        <f aca="false">Peng!K4+";7#!mm"</f>
        <v>#VALUE!</v>
      </c>
      <c r="HC25" s="0" t="e">
        <f aca="false">Peng!L4+";7#!mn"</f>
        <v>#VALUE!</v>
      </c>
      <c r="HD25" s="0" t="e">
        <f aca="false">Peng!M4+";7#!mo"</f>
        <v>#VALUE!</v>
      </c>
      <c r="HE25" s="0" t="e">
        <f aca="false">Peng!N4+";7#!mp"</f>
        <v>#VALUE!</v>
      </c>
      <c r="HF25" s="0" t="e">
        <f aca="false">Peng!O4+";7#!mq"</f>
        <v>#VALUE!</v>
      </c>
      <c r="HG25" s="0" t="e">
        <f aca="false">Peng!P4+";7#!mr"</f>
        <v>#VALUE!</v>
      </c>
      <c r="HH25" s="0" t="e">
        <f aca="false">Peng!Q4+";7#!ms"</f>
        <v>#VALUE!</v>
      </c>
      <c r="HI25" s="0" t="e">
        <f aca="false">Peng!A5+";7#!mt"</f>
        <v>#VALUE!</v>
      </c>
      <c r="HJ25" s="0" t="e">
        <f aca="false">Peng!B5+";7#!mu"</f>
        <v>#VALUE!</v>
      </c>
      <c r="HK25" s="0" t="e">
        <f aca="false">Peng!C5+";7#!mv"</f>
        <v>#VALUE!</v>
      </c>
      <c r="HL25" s="0" t="e">
        <f aca="false">Peng!D5+";7#!mw"</f>
        <v>#VALUE!</v>
      </c>
      <c r="HM25" s="0" t="e">
        <f aca="false">Peng!E5+";7#!mx"</f>
        <v>#VALUE!</v>
      </c>
      <c r="HN25" s="0" t="e">
        <f aca="false">Peng!F5+";7#!my"</f>
        <v>#VALUE!</v>
      </c>
      <c r="HO25" s="0" t="e">
        <f aca="false">Peng!G5+";7#!mz"</f>
        <v>#VALUE!</v>
      </c>
      <c r="HP25" s="0" t="e">
        <f aca="false">Peng!H5+";7#!m{"</f>
        <v>#VALUE!</v>
      </c>
      <c r="HQ25" s="0" t="e">
        <f aca="false">Peng!I5+";7#!m|"</f>
        <v>#VALUE!</v>
      </c>
      <c r="HR25" s="0" t="e">
        <f aca="false">Peng!J5+";7#!m}"</f>
        <v>#VALUE!</v>
      </c>
      <c r="HS25" s="0" t="e">
        <f aca="false">Peng!K5+";7#!m~"</f>
        <v>#VALUE!</v>
      </c>
      <c r="HT25" s="0" t="e">
        <f aca="false">Peng!L5+";7#!n#"</f>
        <v>#VALUE!</v>
      </c>
      <c r="HU25" s="0" t="e">
        <f aca="false">Peng!M5+";7#!n$"</f>
        <v>#VALUE!</v>
      </c>
      <c r="HV25" s="0" t="e">
        <f aca="false">Peng!N5+";7#!n%"</f>
        <v>#VALUE!</v>
      </c>
      <c r="HW25" s="0" t="e">
        <f aca="false">Peng!O5+";7#!n&amp;"</f>
        <v>#VALUE!</v>
      </c>
      <c r="HX25" s="0" t="e">
        <f aca="false">Peng!P5+";7#!n'"</f>
        <v>#VALUE!</v>
      </c>
      <c r="HY25" s="0" t="e">
        <f aca="false">Peng!A6+";7#!n("</f>
        <v>#VALUE!</v>
      </c>
      <c r="HZ25" s="0" t="e">
        <f aca="false">Peng!B6+";7#!n)"</f>
        <v>#VALUE!</v>
      </c>
      <c r="IA25" s="0" t="e">
        <f aca="false">Peng!C6+";7#!n."</f>
        <v>#VALUE!</v>
      </c>
      <c r="IB25" s="0" t="e">
        <f aca="false">Peng!D6+";7#!n/"</f>
        <v>#VALUE!</v>
      </c>
      <c r="IC25" s="0" t="e">
        <f aca="false">Peng!E6+";7#!n0"</f>
        <v>#VALUE!</v>
      </c>
      <c r="ID25" s="0" t="e">
        <f aca="false">Peng!F6+";7#!n1"</f>
        <v>#VALUE!</v>
      </c>
      <c r="IE25" s="0" t="e">
        <f aca="false">Peng!G6+";7#!n2"</f>
        <v>#VALUE!</v>
      </c>
      <c r="IF25" s="0" t="e">
        <f aca="false">Peng!H6+";7#!n3"</f>
        <v>#VALUE!</v>
      </c>
      <c r="IG25" s="0" t="e">
        <f aca="false">Peng!I6+";7#!n4"</f>
        <v>#VALUE!</v>
      </c>
      <c r="IH25" s="0" t="e">
        <f aca="false">Peng!J6+";7#!n5"</f>
        <v>#VALUE!</v>
      </c>
      <c r="II25" s="0" t="e">
        <f aca="false">Peng!K6+";7#!n6"</f>
        <v>#VALUE!</v>
      </c>
      <c r="IJ25" s="0" t="e">
        <f aca="false">Peng!L6+";7#!n7"</f>
        <v>#VALUE!</v>
      </c>
      <c r="IK25" s="0" t="e">
        <f aca="false">Peng!M6+";7#!n8"</f>
        <v>#VALUE!</v>
      </c>
      <c r="IL25" s="0" t="e">
        <f aca="false">Peng!N6+";7#!n9"</f>
        <v>#VALUE!</v>
      </c>
      <c r="IM25" s="0" t="e">
        <f aca="false">Peng!O6+";7#!n:"</f>
        <v>#VALUE!</v>
      </c>
      <c r="IN25" s="0" t="e">
        <f aca="false">Peng!P6+";7#!n;"</f>
        <v>#VALUE!</v>
      </c>
      <c r="IO25" s="0" t="e">
        <f aca="false">Peng!A7+";7#!n&lt;"</f>
        <v>#VALUE!</v>
      </c>
      <c r="IP25" s="0" t="e">
        <f aca="false">Peng!B7+";7#!n="</f>
        <v>#VALUE!</v>
      </c>
      <c r="IQ25" s="0" t="e">
        <f aca="false">Peng!C7+";7#!n&gt;"</f>
        <v>#VALUE!</v>
      </c>
      <c r="IR25" s="0" t="e">
        <f aca="false">Peng!D7+";7#!n?"</f>
        <v>#VALUE!</v>
      </c>
      <c r="IS25" s="0" t="e">
        <f aca="false">Peng!E7+";7#!n@"</f>
        <v>#VALUE!</v>
      </c>
      <c r="IT25" s="0" t="e">
        <f aca="false">Peng!F7+";7#!nA"</f>
        <v>#VALUE!</v>
      </c>
      <c r="IU25" s="0" t="e">
        <f aca="false">Peng!G7+";7#!nB"</f>
        <v>#VALUE!</v>
      </c>
      <c r="IV25" s="0" t="e">
        <f aca="false">Peng!H7+";7#!nC"</f>
        <v>#VALUE!</v>
      </c>
    </row>
    <row r="26" customFormat="false" ht="15" hidden="false" customHeight="false" outlineLevel="0" collapsed="false">
      <c r="F26" s="0" t="e">
        <f aca="false">Peng!I7+";7#!nD"</f>
        <v>#VALUE!</v>
      </c>
      <c r="G26" s="0" t="e">
        <f aca="false">Peng!J7+";7#!nE"</f>
        <v>#VALUE!</v>
      </c>
      <c r="H26" s="0" t="e">
        <f aca="false">Peng!K7+";7#!nF"</f>
        <v>#VALUE!</v>
      </c>
      <c r="I26" s="0" t="e">
        <f aca="false">Peng!L7+";7#!nG"</f>
        <v>#VALUE!</v>
      </c>
      <c r="J26" s="0" t="e">
        <f aca="false">Peng!M7+";7#!nH"</f>
        <v>#VALUE!</v>
      </c>
      <c r="K26" s="0" t="e">
        <f aca="false">Peng!N7+";7#!nI"</f>
        <v>#VALUE!</v>
      </c>
      <c r="L26" s="0" t="e">
        <f aca="false">Peng!O7+";7#!nJ"</f>
        <v>#VALUE!</v>
      </c>
      <c r="M26" s="0" t="e">
        <f aca="false">Peng!P7+";7#!nK"</f>
        <v>#VALUE!</v>
      </c>
      <c r="N26" s="0" t="e">
        <f aca="false">Peng!A8+";7#!nL"</f>
        <v>#VALUE!</v>
      </c>
      <c r="O26" s="0" t="e">
        <f aca="false">Peng!B8+";7#!nM"</f>
        <v>#VALUE!</v>
      </c>
      <c r="P26" s="0" t="e">
        <f aca="false">Peng!C8+";7#!nN"</f>
        <v>#VALUE!</v>
      </c>
      <c r="Q26" s="0" t="e">
        <f aca="false">Peng!D8+";7#!nO"</f>
        <v>#VALUE!</v>
      </c>
      <c r="R26" s="0" t="e">
        <f aca="false">Peng!E8+";7#!nP"</f>
        <v>#VALUE!</v>
      </c>
      <c r="S26" s="0" t="e">
        <f aca="false">Peng!F8+";7#!nQ"</f>
        <v>#VALUE!</v>
      </c>
      <c r="T26" s="0" t="e">
        <f aca="false">Peng!G8+";7#!nR"</f>
        <v>#VALUE!</v>
      </c>
      <c r="U26" s="0" t="e">
        <f aca="false">Peng!H8+";7#!nS"</f>
        <v>#VALUE!</v>
      </c>
      <c r="V26" s="0" t="e">
        <f aca="false">Peng!I8+";7#!nT"</f>
        <v>#VALUE!</v>
      </c>
      <c r="W26" s="0" t="e">
        <f aca="false">Peng!J8+";7#!nU"</f>
        <v>#VALUE!</v>
      </c>
      <c r="X26" s="0" t="e">
        <f aca="false">Peng!K8+";7#!nV"</f>
        <v>#VALUE!</v>
      </c>
      <c r="Y26" s="0" t="e">
        <f aca="false">Peng!L8+";7#!nW"</f>
        <v>#VALUE!</v>
      </c>
      <c r="Z26" s="0" t="e">
        <f aca="false">Peng!M8+";7#!nX"</f>
        <v>#VALUE!</v>
      </c>
      <c r="AA26" s="0" t="e">
        <f aca="false">Peng!N8+";7#!nY"</f>
        <v>#VALUE!</v>
      </c>
      <c r="AB26" s="0" t="e">
        <f aca="false">Peng!O8+";7#!nZ"</f>
        <v>#VALUE!</v>
      </c>
      <c r="AC26" s="0" t="e">
        <f aca="false">Peng!P8+";7#!n["</f>
        <v>#VALUE!</v>
      </c>
      <c r="AD26" s="0" t="e">
        <f aca="false">Peng!A9+";7#!n\"</f>
        <v>#VALUE!</v>
      </c>
      <c r="AE26" s="0" t="e">
        <f aca="false">Peng!B9+";7#!n]"</f>
        <v>#VALUE!</v>
      </c>
      <c r="AF26" s="0" t="e">
        <f aca="false">Peng!C9+";7#!n^"</f>
        <v>#VALUE!</v>
      </c>
      <c r="AG26" s="0" t="e">
        <f aca="false">Peng!D9+";7#!n_"</f>
        <v>#VALUE!</v>
      </c>
      <c r="AH26" s="0" t="e">
        <f aca="false">Peng!E9+";7#!n`"</f>
        <v>#VALUE!</v>
      </c>
      <c r="AI26" s="0" t="e">
        <f aca="false">Peng!F9+";7#!na"</f>
        <v>#VALUE!</v>
      </c>
      <c r="AJ26" s="0" t="e">
        <f aca="false">Peng!G9+";7#!nb"</f>
        <v>#VALUE!</v>
      </c>
      <c r="AK26" s="0" t="e">
        <f aca="false">Peng!H9+";7#!nc"</f>
        <v>#VALUE!</v>
      </c>
      <c r="AL26" s="35" t="e">
        <f aca="false">Peng!I9+";7#!nd"</f>
        <v>#VALUE!</v>
      </c>
      <c r="AM26" s="0" t="e">
        <f aca="false">Peng!J9+";7#!ne"</f>
        <v>#VALUE!</v>
      </c>
      <c r="AN26" s="0" t="e">
        <f aca="false">Peng!K9+";7#!nf"</f>
        <v>#VALUE!</v>
      </c>
      <c r="AO26" s="0" t="e">
        <f aca="false">Peng!L9+";7#!ng"</f>
        <v>#VALUE!</v>
      </c>
      <c r="AP26" s="0" t="e">
        <f aca="false">Peng!M9+";7#!nh"</f>
        <v>#VALUE!</v>
      </c>
      <c r="AQ26" s="0" t="e">
        <f aca="false">Peng!N9+";7#!ni"</f>
        <v>#VALUE!</v>
      </c>
      <c r="AR26" s="0" t="e">
        <f aca="false">Peng!O9+";7#!nj"</f>
        <v>#VALUE!</v>
      </c>
      <c r="AS26" s="0" t="e">
        <f aca="false">Peng!P9+";7#!nk"</f>
        <v>#VALUE!</v>
      </c>
      <c r="AT26" s="0" t="e">
        <f aca="false">Peng!A10+";7#!nl"</f>
        <v>#VALUE!</v>
      </c>
      <c r="AU26" s="0" t="e">
        <f aca="false">Peng!B10+";7#!nm"</f>
        <v>#VALUE!</v>
      </c>
      <c r="AV26" s="0" t="e">
        <f aca="false">Peng!C10+";7#!nn"</f>
        <v>#VALUE!</v>
      </c>
      <c r="AW26" s="0" t="e">
        <f aca="false">Peng!D10+";7#!no"</f>
        <v>#VALUE!</v>
      </c>
      <c r="AX26" s="0" t="e">
        <f aca="false">Peng!E10+";7#!np"</f>
        <v>#VALUE!</v>
      </c>
      <c r="AY26" s="0" t="e">
        <f aca="false">Peng!F10+";7#!nq"</f>
        <v>#VALUE!</v>
      </c>
      <c r="AZ26" s="0" t="e">
        <f aca="false">Peng!G10+";7#!nr"</f>
        <v>#VALUE!</v>
      </c>
      <c r="BA26" s="0" t="e">
        <f aca="false">Peng!H10+";7#!ns"</f>
        <v>#VALUE!</v>
      </c>
      <c r="BB26" s="35" t="e">
        <f aca="false">Peng!I10+";7#!nt"</f>
        <v>#VALUE!</v>
      </c>
      <c r="BC26" s="0" t="e">
        <f aca="false">Peng!J10+";7#!nu"</f>
        <v>#VALUE!</v>
      </c>
      <c r="BD26" s="0" t="e">
        <f aca="false">Peng!K10+";7#!nv"</f>
        <v>#VALUE!</v>
      </c>
      <c r="BE26" s="0" t="e">
        <f aca="false">Peng!L10+";7#!nw"</f>
        <v>#VALUE!</v>
      </c>
      <c r="BF26" s="0" t="e">
        <f aca="false">Peng!M10+";7#!nx"</f>
        <v>#VALUE!</v>
      </c>
      <c r="BG26" s="0" t="e">
        <f aca="false">Peng!N10+";7#!ny"</f>
        <v>#VALUE!</v>
      </c>
      <c r="BH26" s="0" t="e">
        <f aca="false">Peng!O10+";7#!nz"</f>
        <v>#VALUE!</v>
      </c>
      <c r="BI26" s="0" t="e">
        <f aca="false">Peng!P10+";7#!n{"</f>
        <v>#VALUE!</v>
      </c>
      <c r="BJ26" s="0" t="e">
        <f aca="false">Peng!A11+";7#!n|"</f>
        <v>#VALUE!</v>
      </c>
      <c r="BK26" s="0" t="e">
        <f aca="false">Peng!B11+";7#!n}"</f>
        <v>#VALUE!</v>
      </c>
      <c r="BL26" s="0" t="e">
        <f aca="false">Peng!C11+";7#!n~"</f>
        <v>#VALUE!</v>
      </c>
      <c r="BM26" s="0" t="e">
        <f aca="false">Peng!D11+";7#!o#"</f>
        <v>#VALUE!</v>
      </c>
      <c r="BN26" s="0" t="e">
        <f aca="false">Peng!E11+";7#!o$"</f>
        <v>#VALUE!</v>
      </c>
      <c r="BO26" s="0" t="e">
        <f aca="false">Peng!F11+";7#!o%"</f>
        <v>#VALUE!</v>
      </c>
      <c r="BP26" s="0" t="e">
        <f aca="false">Peng!G11+";7#!o&amp;"</f>
        <v>#VALUE!</v>
      </c>
      <c r="BQ26" s="0" t="e">
        <f aca="false">Peng!H11+";7#!o'"</f>
        <v>#VALUE!</v>
      </c>
      <c r="BR26" s="0" t="e">
        <f aca="false">Peng!I11+";7#!o("</f>
        <v>#VALUE!</v>
      </c>
      <c r="BS26" s="0" t="e">
        <f aca="false">Peng!J11+";7#!o)"</f>
        <v>#VALUE!</v>
      </c>
      <c r="BT26" s="0" t="e">
        <f aca="false">Peng!K11+";7#!o."</f>
        <v>#VALUE!</v>
      </c>
      <c r="BU26" s="0" t="e">
        <f aca="false">Peng!L11+";7#!o/"</f>
        <v>#VALUE!</v>
      </c>
      <c r="BV26" s="0" t="e">
        <f aca="false">Peng!M11+";7#!o0"</f>
        <v>#VALUE!</v>
      </c>
      <c r="BW26" s="0" t="e">
        <f aca="false">Peng!N11+";7#!o1"</f>
        <v>#VALUE!</v>
      </c>
      <c r="BX26" s="0" t="e">
        <f aca="false">Peng!O11+";7#!o2"</f>
        <v>#VALUE!</v>
      </c>
      <c r="BY26" s="0" t="e">
        <f aca="false">Peng!P11+";7#!o3"</f>
        <v>#VALUE!</v>
      </c>
      <c r="BZ26" s="0" t="e">
        <f aca="false">Peng!A12+";7#!o4"</f>
        <v>#VALUE!</v>
      </c>
      <c r="CA26" s="0" t="e">
        <f aca="false">Peng!B12+";7#!o5"</f>
        <v>#VALUE!</v>
      </c>
      <c r="CB26" s="0" t="e">
        <f aca="false">Peng!C12+";7#!o6"</f>
        <v>#VALUE!</v>
      </c>
      <c r="CC26" s="0" t="e">
        <f aca="false">Peng!D12+";7#!o7"</f>
        <v>#VALUE!</v>
      </c>
      <c r="CD26" s="0" t="e">
        <f aca="false">Peng!E12+";7#!o8"</f>
        <v>#VALUE!</v>
      </c>
      <c r="CE26" s="0" t="e">
        <f aca="false">Peng!F12+";7#!o9"</f>
        <v>#VALUE!</v>
      </c>
      <c r="CF26" s="0" t="e">
        <f aca="false">Peng!G12+";7#!o:"</f>
        <v>#VALUE!</v>
      </c>
      <c r="CG26" s="0" t="e">
        <f aca="false">Peng!H12+";7#!o;"</f>
        <v>#VALUE!</v>
      </c>
      <c r="CH26" s="0" t="e">
        <f aca="false">Peng!I12+";7#!o&lt;"</f>
        <v>#VALUE!</v>
      </c>
      <c r="CI26" s="0" t="e">
        <f aca="false">Peng!J12+";7#!o="</f>
        <v>#VALUE!</v>
      </c>
      <c r="CJ26" s="0" t="e">
        <f aca="false">Peng!K12+";7#!o&gt;"</f>
        <v>#VALUE!</v>
      </c>
      <c r="CK26" s="0" t="e">
        <f aca="false">Peng!L12+";7#!o?"</f>
        <v>#VALUE!</v>
      </c>
      <c r="CL26" s="0" t="e">
        <f aca="false">Peng!M12+";7#!o@"</f>
        <v>#VALUE!</v>
      </c>
      <c r="CM26" s="0" t="e">
        <f aca="false">Peng!N12+";7#!oA"</f>
        <v>#VALUE!</v>
      </c>
      <c r="CN26" s="0" t="e">
        <f aca="false">Peng!O12+";7#!oB"</f>
        <v>#VALUE!</v>
      </c>
      <c r="CO26" s="0" t="e">
        <f aca="false">Peng!P12+";7#!oC"</f>
        <v>#VALUE!</v>
      </c>
      <c r="CP26" s="0" t="e">
        <f aca="false">Peng!A13+";7#!oD"</f>
        <v>#VALUE!</v>
      </c>
      <c r="CQ26" s="0" t="e">
        <f aca="false">Peng!B13+";7#!oE"</f>
        <v>#VALUE!</v>
      </c>
      <c r="CR26" s="0" t="e">
        <f aca="false">Peng!C13+";7#!oF"</f>
        <v>#VALUE!</v>
      </c>
      <c r="CS26" s="0" t="e">
        <f aca="false">Peng!D13+";7#!oG"</f>
        <v>#VALUE!</v>
      </c>
      <c r="CT26" s="0" t="e">
        <f aca="false">Peng!E13+";7#!oH"</f>
        <v>#VALUE!</v>
      </c>
      <c r="CU26" s="0" t="e">
        <f aca="false">Peng!F13+";7#!oI"</f>
        <v>#VALUE!</v>
      </c>
      <c r="CV26" s="0" t="e">
        <f aca="false">Peng!G13+";7#!oJ"</f>
        <v>#VALUE!</v>
      </c>
      <c r="CW26" s="0" t="e">
        <f aca="false">Peng!H13+";7#!oK"</f>
        <v>#VALUE!</v>
      </c>
      <c r="CX26" s="0" t="e">
        <f aca="false">Peng!I13+";7#!oL"</f>
        <v>#VALUE!</v>
      </c>
      <c r="CY26" s="0" t="e">
        <f aca="false">Peng!J13+";7#!oM"</f>
        <v>#VALUE!</v>
      </c>
      <c r="CZ26" s="0" t="e">
        <f aca="false">Peng!K13+";7#!oN"</f>
        <v>#VALUE!</v>
      </c>
      <c r="DA26" s="0" t="e">
        <f aca="false">Peng!L13+";7#!oO"</f>
        <v>#VALUE!</v>
      </c>
      <c r="DB26" s="0" t="e">
        <f aca="false">Peng!M13+";7#!oP"</f>
        <v>#VALUE!</v>
      </c>
      <c r="DC26" s="0" t="e">
        <f aca="false">Peng!N13+";7#!oQ"</f>
        <v>#VALUE!</v>
      </c>
      <c r="DD26" s="0" t="e">
        <f aca="false">Peng!O13+";7#!oR"</f>
        <v>#VALUE!</v>
      </c>
      <c r="DE26" s="0" t="e">
        <f aca="false">Peng!P13+";7#!oS"</f>
        <v>#VALUE!</v>
      </c>
      <c r="DF26" s="0" t="e">
        <f aca="false">Peng!A14+";7#!oT"</f>
        <v>#VALUE!</v>
      </c>
      <c r="DG26" s="0" t="e">
        <f aca="false">Peng!B14+";7#!oU"</f>
        <v>#VALUE!</v>
      </c>
      <c r="DH26" s="0" t="e">
        <f aca="false">Peng!C14+";7#!oV"</f>
        <v>#VALUE!</v>
      </c>
      <c r="DI26" s="0" t="e">
        <f aca="false">Peng!D14+";7#!oW"</f>
        <v>#VALUE!</v>
      </c>
      <c r="DJ26" s="0" t="e">
        <f aca="false">Peng!E14+";7#!oX"</f>
        <v>#VALUE!</v>
      </c>
      <c r="DK26" s="0" t="e">
        <f aca="false">Peng!F14+";7#!oY"</f>
        <v>#VALUE!</v>
      </c>
      <c r="DL26" s="0" t="e">
        <f aca="false">Peng!G14+";7#!oZ"</f>
        <v>#VALUE!</v>
      </c>
      <c r="DM26" s="0" t="e">
        <f aca="false">Peng!H14+";7#!o["</f>
        <v>#VALUE!</v>
      </c>
      <c r="DN26" s="0" t="e">
        <f aca="false">Peng!I14+";7#!o\"</f>
        <v>#VALUE!</v>
      </c>
      <c r="DO26" s="0" t="e">
        <f aca="false">Peng!J14+";7#!o]"</f>
        <v>#VALUE!</v>
      </c>
      <c r="DP26" s="0" t="e">
        <f aca="false">Peng!K14+";7#!o^"</f>
        <v>#VALUE!</v>
      </c>
      <c r="DQ26" s="0" t="e">
        <f aca="false">Peng!L14+";7#!o_"</f>
        <v>#VALUE!</v>
      </c>
      <c r="DR26" s="0" t="e">
        <f aca="false">Peng!M14+";7#!o`"</f>
        <v>#VALUE!</v>
      </c>
      <c r="DS26" s="0" t="e">
        <f aca="false">Peng!N14+";7#!oa"</f>
        <v>#VALUE!</v>
      </c>
      <c r="DT26" s="0" t="e">
        <f aca="false">Peng!O14+";7#!ob"</f>
        <v>#VALUE!</v>
      </c>
      <c r="DU26" s="0" t="e">
        <f aca="false">Peng!P14+";7#!oc"</f>
        <v>#VALUE!</v>
      </c>
      <c r="DV26" s="0" t="e">
        <f aca="false">Peng!A15+";7#!od"</f>
        <v>#VALUE!</v>
      </c>
      <c r="DW26" s="0" t="e">
        <f aca="false">Peng!B15+";7#!oe"</f>
        <v>#VALUE!</v>
      </c>
      <c r="DX26" s="0" t="e">
        <f aca="false">Peng!C15+";7#!of"</f>
        <v>#VALUE!</v>
      </c>
      <c r="DY26" s="0" t="e">
        <f aca="false">Peng!D15+";7#!og"</f>
        <v>#VALUE!</v>
      </c>
      <c r="DZ26" s="0" t="e">
        <f aca="false">Peng!E15+";7#!oh"</f>
        <v>#VALUE!</v>
      </c>
      <c r="EA26" s="0" t="e">
        <f aca="false">Peng!F15+";7#!oi"</f>
        <v>#VALUE!</v>
      </c>
      <c r="EB26" s="0" t="e">
        <f aca="false">Peng!G15+";7#!oj"</f>
        <v>#VALUE!</v>
      </c>
      <c r="EC26" s="0" t="e">
        <f aca="false">Peng!H15+";7#!ok"</f>
        <v>#VALUE!</v>
      </c>
      <c r="ED26" s="0" t="e">
        <f aca="false">Peng!I15+";7#!ol"</f>
        <v>#VALUE!</v>
      </c>
      <c r="EE26" s="0" t="e">
        <f aca="false">Peng!J15+";7#!om"</f>
        <v>#VALUE!</v>
      </c>
      <c r="EF26" s="0" t="e">
        <f aca="false">Peng!K15+";7#!on"</f>
        <v>#VALUE!</v>
      </c>
      <c r="EG26" s="0" t="e">
        <f aca="false">Peng!L15+";7#!oo"</f>
        <v>#VALUE!</v>
      </c>
      <c r="EH26" s="0" t="e">
        <f aca="false">Peng!M15+";7#!op"</f>
        <v>#VALUE!</v>
      </c>
      <c r="EI26" s="0" t="e">
        <f aca="false">Peng!N15+";7#!oq"</f>
        <v>#VALUE!</v>
      </c>
      <c r="EJ26" s="0" t="e">
        <f aca="false">Peng!O15+";7#!or"</f>
        <v>#VALUE!</v>
      </c>
      <c r="EK26" s="0" t="e">
        <f aca="false">Peng!P15+";7#!os"</f>
        <v>#VALUE!</v>
      </c>
      <c r="EL26" s="0" t="e">
        <f aca="false">Peng!A16+";7#!ot"</f>
        <v>#VALUE!</v>
      </c>
      <c r="EM26" s="0" t="e">
        <f aca="false">Peng!B16+";7#!ou"</f>
        <v>#VALUE!</v>
      </c>
      <c r="EN26" s="0" t="e">
        <f aca="false">Peng!C16+";7#!ov"</f>
        <v>#VALUE!</v>
      </c>
      <c r="EO26" s="0" t="e">
        <f aca="false">Peng!D16+";7#!ow"</f>
        <v>#VALUE!</v>
      </c>
      <c r="EP26" s="0" t="e">
        <f aca="false">Peng!E16+";7#!ox"</f>
        <v>#VALUE!</v>
      </c>
      <c r="EQ26" s="0" t="e">
        <f aca="false">Peng!F16+";7#!oy"</f>
        <v>#VALUE!</v>
      </c>
      <c r="ER26" s="35" t="e">
        <f aca="false">Peng!G16+";7#!oz"</f>
        <v>#VALUE!</v>
      </c>
      <c r="ES26" s="0" t="e">
        <f aca="false">Peng!H16+";7#!o{"</f>
        <v>#VALUE!</v>
      </c>
      <c r="ET26" s="0" t="e">
        <f aca="false">Peng!I16+";7#!o|"</f>
        <v>#VALUE!</v>
      </c>
      <c r="EU26" s="0" t="e">
        <f aca="false">Peng!J16+";7#!o}"</f>
        <v>#VALUE!</v>
      </c>
      <c r="EV26" s="0" t="e">
        <f aca="false">Peng!K16+";7#!o~"</f>
        <v>#VALUE!</v>
      </c>
      <c r="EW26" s="0" t="e">
        <f aca="false">Peng!L16+";7#!p#"</f>
        <v>#VALUE!</v>
      </c>
      <c r="EX26" s="0" t="e">
        <f aca="false">Peng!M16+";7#!p$"</f>
        <v>#VALUE!</v>
      </c>
      <c r="EY26" s="0" t="e">
        <f aca="false">Peng!N16+";7#!p%"</f>
        <v>#VALUE!</v>
      </c>
      <c r="EZ26" s="0" t="e">
        <f aca="false">Peng!O16+";7#!p&amp;"</f>
        <v>#VALUE!</v>
      </c>
      <c r="FA26" s="0" t="e">
        <f aca="false">Peng!P16+";7#!p'"</f>
        <v>#VALUE!</v>
      </c>
      <c r="FB26" s="0" t="e">
        <f aca="false">Peng!A17+";7#!p("</f>
        <v>#VALUE!</v>
      </c>
      <c r="FC26" s="0" t="e">
        <f aca="false">Peng!B17+";7#!p)"</f>
        <v>#VALUE!</v>
      </c>
      <c r="FD26" s="0" t="e">
        <f aca="false">Peng!C17+";7#!p."</f>
        <v>#VALUE!</v>
      </c>
      <c r="FE26" s="0" t="e">
        <f aca="false">Peng!D17+";7#!p/"</f>
        <v>#VALUE!</v>
      </c>
      <c r="FF26" s="0" t="e">
        <f aca="false">Peng!E17+";7#!p0"</f>
        <v>#VALUE!</v>
      </c>
      <c r="FG26" s="0" t="e">
        <f aca="false">Peng!F17+";7#!p1"</f>
        <v>#VALUE!</v>
      </c>
      <c r="FH26" s="0" t="e">
        <f aca="false">Peng!G17+";7#!p2"</f>
        <v>#VALUE!</v>
      </c>
      <c r="FI26" s="0" t="e">
        <f aca="false">Peng!H17+";7#!p3"</f>
        <v>#VALUE!</v>
      </c>
      <c r="FJ26" s="0" t="e">
        <f aca="false">Peng!I17+";7#!p4"</f>
        <v>#VALUE!</v>
      </c>
      <c r="FK26" s="0" t="e">
        <f aca="false">Peng!J17+";7#!p5"</f>
        <v>#VALUE!</v>
      </c>
      <c r="FL26" s="0" t="e">
        <f aca="false">Peng!K17+";7#!p6"</f>
        <v>#VALUE!</v>
      </c>
      <c r="FM26" s="0" t="e">
        <f aca="false">Peng!L17+";7#!p7"</f>
        <v>#VALUE!</v>
      </c>
      <c r="FN26" s="0" t="e">
        <f aca="false">Peng!M17+";7#!p8"</f>
        <v>#VALUE!</v>
      </c>
      <c r="FO26" s="0" t="e">
        <f aca="false">Peng!N17+";7#!p9"</f>
        <v>#VALUE!</v>
      </c>
      <c r="FP26" s="0" t="e">
        <f aca="false">Peng!O17+";7#!p:"</f>
        <v>#VALUE!</v>
      </c>
      <c r="FQ26" s="0" t="e">
        <f aca="false">Peng!P17+";7#!p;"</f>
        <v>#VALUE!</v>
      </c>
      <c r="FR26" s="0" t="e">
        <f aca="false">Peng!A18+";7#!p&lt;"</f>
        <v>#VALUE!</v>
      </c>
      <c r="FS26" s="0" t="e">
        <f aca="false">Peng!B18+";7#!p="</f>
        <v>#VALUE!</v>
      </c>
      <c r="FT26" s="0" t="e">
        <f aca="false">Peng!C18+";7#!p&gt;"</f>
        <v>#N/A</v>
      </c>
      <c r="FU26" s="0" t="e">
        <f aca="false">Peng!D18+";7#!p?"</f>
        <v>#VALUE!</v>
      </c>
      <c r="FV26" s="0" t="e">
        <f aca="false">Peng!E18+";7#!p@"</f>
        <v>#VALUE!</v>
      </c>
      <c r="FW26" s="0" t="e">
        <f aca="false">Peng!F18+";7#!pA"</f>
        <v>#VALUE!</v>
      </c>
      <c r="FX26" s="0" t="e">
        <f aca="false">Peng!G18+";7#!pB"</f>
        <v>#VALUE!</v>
      </c>
      <c r="FY26" s="0" t="e">
        <f aca="false">Peng!H18+";7#!pC"</f>
        <v>#VALUE!</v>
      </c>
      <c r="FZ26" s="0" t="e">
        <f aca="false">Peng!I18+";7#!pD"</f>
        <v>#VALUE!</v>
      </c>
      <c r="GA26" s="0" t="e">
        <f aca="false">Peng!J18+";7#!pE"</f>
        <v>#VALUE!</v>
      </c>
      <c r="GB26" s="0" t="e">
        <f aca="false">Peng!K18+";7#!pF"</f>
        <v>#VALUE!</v>
      </c>
      <c r="GC26" s="0" t="e">
        <f aca="false">Peng!L18+";7#!pG"</f>
        <v>#VALUE!</v>
      </c>
      <c r="GD26" s="0" t="e">
        <f aca="false">Peng!M18+";7#!pH"</f>
        <v>#VALUE!</v>
      </c>
      <c r="GE26" s="0" t="e">
        <f aca="false">Peng!N18+";7#!pI"</f>
        <v>#VALUE!</v>
      </c>
      <c r="GF26" s="0" t="e">
        <f aca="false">Peng!O18+";7#!pJ"</f>
        <v>#VALUE!</v>
      </c>
      <c r="GG26" s="0" t="e">
        <f aca="false">Peng!P18+";7#!pK"</f>
        <v>#VALUE!</v>
      </c>
      <c r="GH26" s="0" t="e">
        <f aca="false">Peng!A19+";7#!pL"</f>
        <v>#VALUE!</v>
      </c>
      <c r="GI26" s="0" t="e">
        <f aca="false">Peng!B19+";7#!pM"</f>
        <v>#VALUE!</v>
      </c>
      <c r="GJ26" s="0" t="e">
        <f aca="false">Peng!C19+";7#!pN"</f>
        <v>#N/A</v>
      </c>
      <c r="GK26" s="0" t="e">
        <f aca="false">Peng!D19+";7#!pO"</f>
        <v>#VALUE!</v>
      </c>
      <c r="GL26" s="0" t="e">
        <f aca="false">Peng!E19+";7#!pP"</f>
        <v>#VALUE!</v>
      </c>
      <c r="GM26" s="0" t="e">
        <f aca="false">Peng!F19+";7#!pQ"</f>
        <v>#VALUE!</v>
      </c>
      <c r="GN26" s="0" t="e">
        <f aca="false">Peng!G19+";7#!pR"</f>
        <v>#VALUE!</v>
      </c>
      <c r="GO26" s="0" t="e">
        <f aca="false">Peng!H19+";7#!pS"</f>
        <v>#VALUE!</v>
      </c>
      <c r="GP26" s="0" t="e">
        <f aca="false">Peng!I19+";7#!pT"</f>
        <v>#VALUE!</v>
      </c>
      <c r="GQ26" s="0" t="e">
        <f aca="false">Peng!J19+";7#!pU"</f>
        <v>#VALUE!</v>
      </c>
      <c r="GR26" s="0" t="e">
        <f aca="false">Peng!K19+";7#!pV"</f>
        <v>#VALUE!</v>
      </c>
      <c r="GS26" s="0" t="e">
        <f aca="false">Peng!L19+";7#!pW"</f>
        <v>#VALUE!</v>
      </c>
      <c r="GT26" s="0" t="e">
        <f aca="false">Peng!M19+";7#!pX"</f>
        <v>#VALUE!</v>
      </c>
      <c r="GU26" s="0" t="e">
        <f aca="false">Peng!N19+";7#!pY"</f>
        <v>#VALUE!</v>
      </c>
      <c r="GV26" s="0" t="e">
        <f aca="false">Peng!O19+";7#!pZ"</f>
        <v>#VALUE!</v>
      </c>
      <c r="GW26" s="0" t="e">
        <f aca="false">Peng!P19+";7#!p["</f>
        <v>#VALUE!</v>
      </c>
      <c r="GX26" s="0" t="e">
        <f aca="false">Peng!A20+";7#!p\"</f>
        <v>#VALUE!</v>
      </c>
      <c r="GY26" s="0" t="e">
        <f aca="false">Peng!B20+";7#!p]"</f>
        <v>#VALUE!</v>
      </c>
      <c r="GZ26" s="0" t="e">
        <f aca="false">Peng!C20+";7#!p^"</f>
        <v>#N/A</v>
      </c>
      <c r="HA26" s="0" t="e">
        <f aca="false">Peng!D20+";7#!p_"</f>
        <v>#VALUE!</v>
      </c>
      <c r="HB26" s="0" t="e">
        <f aca="false">Peng!E20+";7#!p`"</f>
        <v>#VALUE!</v>
      </c>
      <c r="HC26" s="0" t="e">
        <f aca="false">Peng!F20+";7#!pa"</f>
        <v>#VALUE!</v>
      </c>
      <c r="HD26" s="0" t="e">
        <f aca="false">Peng!G20+";7#!pb"</f>
        <v>#VALUE!</v>
      </c>
      <c r="HE26" s="0" t="e">
        <f aca="false">Peng!H20+";7#!pc"</f>
        <v>#VALUE!</v>
      </c>
      <c r="HF26" s="0" t="e">
        <f aca="false">Peng!I20+";7#!pd"</f>
        <v>#VALUE!</v>
      </c>
      <c r="HG26" s="0" t="e">
        <f aca="false">Peng!J20+";7#!pe"</f>
        <v>#VALUE!</v>
      </c>
      <c r="HH26" s="0" t="e">
        <f aca="false">Peng!K20+";7#!pf"</f>
        <v>#VALUE!</v>
      </c>
      <c r="HI26" s="0" t="e">
        <f aca="false">Peng!L20+";7#!pg"</f>
        <v>#VALUE!</v>
      </c>
      <c r="HJ26" s="0" t="e">
        <f aca="false">Peng!M20+";7#!ph"</f>
        <v>#VALUE!</v>
      </c>
      <c r="HK26" s="0" t="e">
        <f aca="false">Peng!N20+";7#!pi"</f>
        <v>#VALUE!</v>
      </c>
      <c r="HL26" s="0" t="e">
        <f aca="false">Peng!O20+";7#!pj"</f>
        <v>#VALUE!</v>
      </c>
      <c r="HM26" s="0" t="e">
        <f aca="false">Peng!P20+";7#!pk"</f>
        <v>#VALUE!</v>
      </c>
      <c r="HN26" s="0" t="e">
        <f aca="false">Peng!A21+";7#!pl"</f>
        <v>#VALUE!</v>
      </c>
      <c r="HO26" s="0" t="e">
        <f aca="false">Peng!B21+";7#!pm"</f>
        <v>#VALUE!</v>
      </c>
      <c r="HP26" s="0" t="e">
        <f aca="false">Peng!C21+";7#!pn"</f>
        <v>#N/A</v>
      </c>
      <c r="HQ26" s="0" t="e">
        <f aca="false">Peng!D21+";7#!po"</f>
        <v>#VALUE!</v>
      </c>
      <c r="HR26" s="0" t="e">
        <f aca="false">Peng!E21+";7#!pp"</f>
        <v>#VALUE!</v>
      </c>
      <c r="HS26" s="0" t="e">
        <f aca="false">Peng!F21+";7#!pq"</f>
        <v>#VALUE!</v>
      </c>
      <c r="HT26" s="0" t="e">
        <f aca="false">Peng!G21+";7#!pr"</f>
        <v>#VALUE!</v>
      </c>
      <c r="HU26" s="0" t="e">
        <f aca="false">Peng!H21+";7#!ps"</f>
        <v>#VALUE!</v>
      </c>
      <c r="HV26" s="0" t="e">
        <f aca="false">Peng!I21+";7#!pt"</f>
        <v>#VALUE!</v>
      </c>
      <c r="HW26" s="0" t="e">
        <f aca="false">Peng!J21+";7#!pu"</f>
        <v>#VALUE!</v>
      </c>
      <c r="HX26" s="0" t="e">
        <f aca="false">Peng!K21+";7#!pv"</f>
        <v>#VALUE!</v>
      </c>
      <c r="HY26" s="0" t="e">
        <f aca="false">Peng!L21+";7#!pw"</f>
        <v>#VALUE!</v>
      </c>
      <c r="HZ26" s="0" t="e">
        <f aca="false">Peng!M21+";7#!px"</f>
        <v>#VALUE!</v>
      </c>
      <c r="IA26" s="0" t="e">
        <f aca="false">Peng!N21+";7#!py"</f>
        <v>#VALUE!</v>
      </c>
      <c r="IB26" s="0" t="e">
        <f aca="false">Peng!O21+";7#!pz"</f>
        <v>#VALUE!</v>
      </c>
      <c r="IC26" s="0" t="e">
        <f aca="false">Peng!P21+";7#!p{"</f>
        <v>#VALUE!</v>
      </c>
      <c r="ID26" s="0" t="e">
        <f aca="false">Peng!A22+";7#!p|"</f>
        <v>#VALUE!</v>
      </c>
      <c r="IE26" s="0" t="e">
        <f aca="false">Peng!B22+";7#!p}"</f>
        <v>#VALUE!</v>
      </c>
      <c r="IF26" s="0" t="e">
        <f aca="false">Peng!C22+";7#!p~"</f>
        <v>#N/A</v>
      </c>
      <c r="IG26" s="0" t="e">
        <f aca="false">Peng!D22+";7#!q#"</f>
        <v>#VALUE!</v>
      </c>
      <c r="IH26" s="0" t="e">
        <f aca="false">Peng!E22+";7#!q$"</f>
        <v>#VALUE!</v>
      </c>
      <c r="II26" s="0" t="e">
        <f aca="false">Peng!F22+";7#!q%"</f>
        <v>#VALUE!</v>
      </c>
      <c r="IJ26" s="0" t="e">
        <f aca="false">Peng!G22+";7#!q&amp;"</f>
        <v>#VALUE!</v>
      </c>
      <c r="IK26" s="0" t="e">
        <f aca="false">Peng!H22+";7#!q'"</f>
        <v>#VALUE!</v>
      </c>
      <c r="IL26" s="0" t="e">
        <f aca="false">Peng!I22+";7#!q("</f>
        <v>#VALUE!</v>
      </c>
      <c r="IM26" s="0" t="e">
        <f aca="false">Peng!J22+";7#!q)"</f>
        <v>#VALUE!</v>
      </c>
      <c r="IN26" s="0" t="e">
        <f aca="false">Peng!K22+";7#!q."</f>
        <v>#VALUE!</v>
      </c>
      <c r="IO26" s="0" t="e">
        <f aca="false">Peng!L22+";7#!q/"</f>
        <v>#VALUE!</v>
      </c>
      <c r="IP26" s="0" t="e">
        <f aca="false">Peng!M22+";7#!q0"</f>
        <v>#VALUE!</v>
      </c>
      <c r="IQ26" s="0" t="e">
        <f aca="false">Peng!N22+";7#!q1"</f>
        <v>#VALUE!</v>
      </c>
      <c r="IR26" s="0" t="e">
        <f aca="false">Peng!O22+";7#!q2"</f>
        <v>#VALUE!</v>
      </c>
      <c r="IS26" s="0" t="e">
        <f aca="false">Peng!P22+";7#!q3"</f>
        <v>#VALUE!</v>
      </c>
      <c r="IT26" s="0" t="e">
        <f aca="false">Peng!A23+";7#!q4"</f>
        <v>#VALUE!</v>
      </c>
      <c r="IU26" s="0" t="e">
        <f aca="false">Peng!B23+";7#!q5"</f>
        <v>#VALUE!</v>
      </c>
      <c r="IV26" s="0" t="e">
        <f aca="false">Peng!C23+";7#!q6"</f>
        <v>#VALUE!</v>
      </c>
    </row>
    <row r="27" customFormat="false" ht="15" hidden="false" customHeight="false" outlineLevel="0" collapsed="false">
      <c r="F27" s="35" t="e">
        <f aca="false">Peng!D23+";7#!q7"</f>
        <v>#VALUE!</v>
      </c>
      <c r="G27" s="35" t="e">
        <f aca="false">Peng!E23+";7#!q8"</f>
        <v>#VALUE!</v>
      </c>
      <c r="H27" s="35" t="e">
        <f aca="false">Peng!F23+";7#!q9"</f>
        <v>#VALUE!</v>
      </c>
      <c r="I27" s="35" t="e">
        <f aca="false">Peng!G23+";7#!q:"</f>
        <v>#VALUE!</v>
      </c>
      <c r="J27" s="35" t="e">
        <f aca="false">Peng!H23+";7#!q;"</f>
        <v>#VALUE!</v>
      </c>
      <c r="K27" s="35" t="e">
        <f aca="false">Peng!I23+";7#!q&lt;"</f>
        <v>#VALUE!</v>
      </c>
      <c r="L27" s="35" t="e">
        <f aca="false">Peng!J23+";7#!q="</f>
        <v>#VALUE!</v>
      </c>
      <c r="M27" s="35" t="e">
        <f aca="false">Peng!K23+";7#!q&gt;"</f>
        <v>#VALUE!</v>
      </c>
      <c r="N27" s="35" t="e">
        <f aca="false">Peng!L23+";7#!q?"</f>
        <v>#VALUE!</v>
      </c>
      <c r="O27" s="35" t="e">
        <f aca="false">Peng!M23+";7#!q@"</f>
        <v>#VALUE!</v>
      </c>
      <c r="P27" s="35" t="e">
        <f aca="false">Peng!N23+";7#!qA"</f>
        <v>#VALUE!</v>
      </c>
      <c r="Q27" s="35" t="e">
        <f aca="false">Peng!O23+";7#!qB"</f>
        <v>#VALUE!</v>
      </c>
      <c r="R27" s="35" t="e">
        <f aca="false">Peng!P23+";7#!qC"</f>
        <v>#VALUE!</v>
      </c>
      <c r="S27" s="0" t="e">
        <f aca="false">Peng!A24+";7#!qD"</f>
        <v>#VALUE!</v>
      </c>
      <c r="T27" s="0" t="e">
        <f aca="false">Peng!B24+";7#!qE"</f>
        <v>#VALUE!</v>
      </c>
      <c r="U27" s="0" t="e">
        <f aca="false">Peng!C24+";7#!qF"</f>
        <v>#VALUE!</v>
      </c>
      <c r="V27" s="35" t="e">
        <f aca="false">Peng!D24+";7#!qG"</f>
        <v>#VALUE!</v>
      </c>
      <c r="W27" s="35" t="e">
        <f aca="false">Peng!E24+";7#!qH"</f>
        <v>#VALUE!</v>
      </c>
      <c r="X27" s="35" t="e">
        <f aca="false">Peng!F24+";7#!qI"</f>
        <v>#VALUE!</v>
      </c>
      <c r="Y27" s="35" t="e">
        <f aca="false">Peng!G24+";7#!qJ"</f>
        <v>#VALUE!</v>
      </c>
      <c r="Z27" s="35" t="e">
        <f aca="false">Peng!H24+";7#!qK"</f>
        <v>#VALUE!</v>
      </c>
      <c r="AA27" s="35" t="e">
        <f aca="false">Peng!I24+";7#!qL"</f>
        <v>#VALUE!</v>
      </c>
      <c r="AB27" s="35" t="e">
        <f aca="false">Peng!J24+";7#!qM"</f>
        <v>#VALUE!</v>
      </c>
      <c r="AC27" s="35" t="e">
        <f aca="false">Peng!K24+";7#!qN"</f>
        <v>#VALUE!</v>
      </c>
      <c r="AD27" s="35" t="e">
        <f aca="false">Peng!L24+";7#!qO"</f>
        <v>#VALUE!</v>
      </c>
      <c r="AE27" s="35" t="e">
        <f aca="false">Peng!M24+";7#!qP"</f>
        <v>#VALUE!</v>
      </c>
      <c r="AF27" s="35" t="e">
        <f aca="false">Peng!N24+";7#!qQ"</f>
        <v>#VALUE!</v>
      </c>
      <c r="AG27" s="35" t="e">
        <f aca="false">Peng!O24+";7#!qR"</f>
        <v>#VALUE!</v>
      </c>
      <c r="AH27" s="35" t="e">
        <f aca="false">Peng!P24+";7#!qS"</f>
        <v>#VALUE!</v>
      </c>
      <c r="AI27" s="0" t="e">
        <f aca="false">Peng!A25+";7#!qT"</f>
        <v>#VALUE!</v>
      </c>
      <c r="AJ27" s="0" t="e">
        <f aca="false">Peng!B25+";7#!qU"</f>
        <v>#VALUE!</v>
      </c>
      <c r="AK27" s="0" t="e">
        <f aca="false">Peng!C25+";7#!qV"</f>
        <v>#VALUE!</v>
      </c>
      <c r="AL27" s="35" t="e">
        <f aca="false">Peng!D25+";7#!qW"</f>
        <v>#VALUE!</v>
      </c>
      <c r="AM27" s="35" t="e">
        <f aca="false">Peng!E25+";7#!qX"</f>
        <v>#VALUE!</v>
      </c>
      <c r="AN27" s="35" t="e">
        <f aca="false">Peng!F25+";7#!qY"</f>
        <v>#VALUE!</v>
      </c>
      <c r="AO27" s="35" t="e">
        <f aca="false">Peng!G25+";7#!qZ"</f>
        <v>#VALUE!</v>
      </c>
      <c r="AP27" s="35" t="e">
        <f aca="false">Peng!H25+";7#!q["</f>
        <v>#VALUE!</v>
      </c>
      <c r="AQ27" s="35" t="e">
        <f aca="false">Peng!I25+";7#!q\"</f>
        <v>#VALUE!</v>
      </c>
      <c r="AR27" s="35" t="e">
        <f aca="false">Peng!J25+";7#!q]"</f>
        <v>#VALUE!</v>
      </c>
      <c r="AS27" s="35" t="e">
        <f aca="false">Peng!K25+";7#!q^"</f>
        <v>#VALUE!</v>
      </c>
      <c r="AT27" s="35" t="e">
        <f aca="false">Peng!L25+";7#!q_"</f>
        <v>#VALUE!</v>
      </c>
      <c r="AU27" s="35" t="e">
        <f aca="false">Peng!M25+";7#!q`"</f>
        <v>#VALUE!</v>
      </c>
      <c r="AV27" s="35" t="e">
        <f aca="false">Peng!N25+";7#!qa"</f>
        <v>#VALUE!</v>
      </c>
      <c r="AW27" s="35" t="e">
        <f aca="false">Peng!O25+";7#!qb"</f>
        <v>#VALUE!</v>
      </c>
      <c r="AX27" s="35" t="e">
        <f aca="false">Peng!P25+";7#!qc"</f>
        <v>#VALUE!</v>
      </c>
      <c r="AY27" s="0" t="e">
        <f aca="false">Peng!A26+";7#!qd"</f>
        <v>#VALUE!</v>
      </c>
      <c r="AZ27" s="0" t="e">
        <f aca="false">Peng!B26+";7#!qe"</f>
        <v>#VALUE!</v>
      </c>
      <c r="BA27" s="0" t="e">
        <f aca="false">Peng!C26+";7#!qf"</f>
        <v>#VALUE!</v>
      </c>
      <c r="BB27" s="36" t="e">
        <f aca="false">Peng!D26+";7#!qg"</f>
        <v>#VALUE!</v>
      </c>
      <c r="BC27" s="36" t="e">
        <f aca="false">Peng!E26+";7#!qh"</f>
        <v>#VALUE!</v>
      </c>
      <c r="BD27" s="36" t="e">
        <f aca="false">Peng!F26+";7#!qi"</f>
        <v>#VALUE!</v>
      </c>
      <c r="BE27" s="36" t="e">
        <f aca="false">Peng!G26+";7#!qj"</f>
        <v>#VALUE!</v>
      </c>
      <c r="BF27" s="36" t="e">
        <f aca="false">Peng!H26+";7#!qk"</f>
        <v>#VALUE!</v>
      </c>
      <c r="BG27" s="36" t="e">
        <f aca="false">Peng!I26+";7#!ql"</f>
        <v>#DIV/0!</v>
      </c>
      <c r="BH27" s="36" t="e">
        <f aca="false">Peng!J26+";7#!qm"</f>
        <v>#DIV/0!</v>
      </c>
      <c r="BI27" s="36" t="e">
        <f aca="false">Peng!K26+";7#!qn"</f>
        <v>#DIV/0!</v>
      </c>
      <c r="BJ27" s="36" t="e">
        <f aca="false">Peng!L26+";7#!qo"</f>
        <v>#DIV/0!</v>
      </c>
      <c r="BK27" s="36" t="e">
        <f aca="false">Peng!M26+";7#!qp"</f>
        <v>#DIV/0!</v>
      </c>
      <c r="BL27" s="36" t="e">
        <f aca="false">Peng!N26+";7#!qq"</f>
        <v>#DIV/0!</v>
      </c>
      <c r="BM27" s="36" t="e">
        <f aca="false">Peng!O26+";7#!qr"</f>
        <v>#DIV/0!</v>
      </c>
      <c r="BN27" s="36" t="e">
        <f aca="false">Peng!P26+";7#!qs"</f>
        <v>#VALUE!</v>
      </c>
      <c r="BO27" s="0" t="e">
        <f aca="false">Teresa!A:A*";7#!qt"</f>
        <v>#VALUE!</v>
      </c>
      <c r="BP27" s="0" t="e">
        <f aca="false">Teresa!B:B*";7#!qu"</f>
        <v>#VALUE!</v>
      </c>
      <c r="BQ27" s="0" t="e">
        <f aca="false">Teresa!C:C*";7#!qv"</f>
        <v>#VALUE!</v>
      </c>
      <c r="BR27" s="0" t="e">
        <f aca="false">Teresa!D:D*";7#!qw"</f>
        <v>#VALUE!</v>
      </c>
      <c r="BS27" s="0" t="e">
        <f aca="false">Teresa!E:E*";7#!qx"</f>
        <v>#VALUE!</v>
      </c>
      <c r="BT27" s="0" t="e">
        <f aca="false">Teresa!F:F*";7#!qy"</f>
        <v>#VALUE!</v>
      </c>
      <c r="BU27" s="0" t="e">
        <f aca="false">Teresa!G:G*";7#!qz"</f>
        <v>#VALUE!</v>
      </c>
      <c r="BV27" s="0" t="e">
        <f aca="false">Teresa!H:H*";7#!q{"</f>
        <v>#VALUE!</v>
      </c>
      <c r="BW27" s="0" t="e">
        <f aca="false">Teresa!I:I*";7#!q|"</f>
        <v>#VALUE!</v>
      </c>
      <c r="BX27" s="0" t="e">
        <f aca="false">Teresa!J:J*";7#!q}"</f>
        <v>#VALUE!</v>
      </c>
      <c r="BY27" s="0" t="e">
        <f aca="false">Teresa!K:K*";7#!q~"</f>
        <v>#VALUE!</v>
      </c>
      <c r="BZ27" s="0" t="e">
        <f aca="false">Teresa!L:L*";7#!r#"</f>
        <v>#VALUE!</v>
      </c>
      <c r="CA27" s="0" t="e">
        <f aca="false">Teresa!M:M*";7#!r$"</f>
        <v>#VALUE!</v>
      </c>
      <c r="CB27" s="0" t="e">
        <f aca="false">Teresa!N:N*";7#!r%"</f>
        <v>#VALUE!</v>
      </c>
      <c r="CC27" s="0" t="e">
        <f aca="false">Teresa!O:O*";7#!r&amp;"</f>
        <v>#VALUE!</v>
      </c>
      <c r="CD27" s="0" t="e">
        <f aca="false">Teresa!P:P*";7#!r'"</f>
        <v>#VALUE!</v>
      </c>
      <c r="CE27" s="0" t="e">
        <f aca="false">Teresa!Q:Q*";7#!r("</f>
        <v>#VALUE!</v>
      </c>
      <c r="CF27" s="0" t="e">
        <f aca="false">Teresa!R:R*";7#!r)"</f>
        <v>#VALUE!</v>
      </c>
      <c r="CG27" s="0" t="e">
        <f aca="false">Teresa!S:S*";7#!r."</f>
        <v>#VALUE!</v>
      </c>
      <c r="CH27" s="0" t="e">
        <f aca="false">Teresa!T:T*";7#!r/"</f>
        <v>#VALUE!</v>
      </c>
      <c r="CI27" s="0" t="e">
        <f aca="false">Teresa!U:U*";7#!r0"</f>
        <v>#VALUE!</v>
      </c>
      <c r="CJ27" s="0" t="e">
        <f aca="false">Teresa!V:V*";7#!r1"</f>
        <v>#VALUE!</v>
      </c>
      <c r="CK27" s="0" t="e">
        <f aca="false">Teresa!W:W*";7#!r2"</f>
        <v>#VALUE!</v>
      </c>
      <c r="CL27" s="0" t="e">
        <f aca="false">Teresa!X:X*";7#!r3"</f>
        <v>#VALUE!</v>
      </c>
      <c r="CM27" s="0" t="e">
        <f aca="false">Teresa!Y:Y*";7#!r4"</f>
        <v>#VALUE!</v>
      </c>
      <c r="CN27" s="0" t="e">
        <f aca="false">Teresa!Z:Z*";7#!r5"</f>
        <v>#VALUE!</v>
      </c>
      <c r="CO27" s="0" t="e">
        <f aca="false">Teresa!AA:AA*";7#!r6"</f>
        <v>#VALUE!</v>
      </c>
      <c r="CP27" s="0" t="e">
        <f aca="false">Teresa!AB:AB*";7#!r7"</f>
        <v>#VALUE!</v>
      </c>
      <c r="CQ27" s="0" t="e">
        <f aca="false">Teresa!AC:AC*";7#!r8"</f>
        <v>#VALUE!</v>
      </c>
      <c r="CR27" s="0" t="e">
        <f aca="false">Teresa!AD:AD*";7#!r9"</f>
        <v>#VALUE!</v>
      </c>
      <c r="CS27" s="0" t="e">
        <f aca="false">Teresa!AE:AE*";7#!r:"</f>
        <v>#VALUE!</v>
      </c>
      <c r="CT27" s="0" t="e">
        <f aca="false">Teresa!AF:AF*";7#!r;"</f>
        <v>#VALUE!</v>
      </c>
      <c r="CU27" s="0" t="e">
        <f aca="false">Teresa!AG:AG*";7#!r&lt;"</f>
        <v>#VALUE!</v>
      </c>
      <c r="CV27" s="0" t="e">
        <f aca="false">Teresa!AH:AH*";7#!r="</f>
        <v>#VALUE!</v>
      </c>
      <c r="CW27" s="0" t="e">
        <f aca="false">Teresa!AI:AI*";7#!r&gt;"</f>
        <v>#VALUE!</v>
      </c>
      <c r="CX27" s="0" t="e">
        <f aca="false">Teresa!AJ:AJ*";7#!r?"</f>
        <v>#VALUE!</v>
      </c>
      <c r="CY27" s="0" t="e">
        <f aca="false">Teresa!AK:AK*";7#!r@"</f>
        <v>#VALUE!</v>
      </c>
      <c r="CZ27" s="0" t="e">
        <f aca="false">Teresa!AL:AL*";7#!rA"</f>
        <v>#VALUE!</v>
      </c>
      <c r="DA27" s="0" t="e">
        <f aca="false">Teresa!AM:AM*";7#!rB"</f>
        <v>#VALUE!</v>
      </c>
      <c r="DB27" s="0" t="e">
        <f aca="false">Teresa!AN:AN*";7#!rC"</f>
        <v>#VALUE!</v>
      </c>
      <c r="DC27" s="0" t="e">
        <f aca="false">Teresa!AO:AO*";7#!rD"</f>
        <v>#VALUE!</v>
      </c>
      <c r="DD27" s="0" t="e">
        <f aca="false">Teresa!AP:AP*";7#!rE"</f>
        <v>#VALUE!</v>
      </c>
      <c r="DE27" s="0" t="e">
        <f aca="false">Teresa!AQ:AQ*";7#!rF"</f>
        <v>#VALUE!</v>
      </c>
      <c r="DF27" s="0" t="e">
        <f aca="false">Teresa!AR:AR*";7#!rG"</f>
        <v>#VALUE!</v>
      </c>
      <c r="DG27" s="0" t="e">
        <f aca="false">Teresa!AS:AS*";7#!rH"</f>
        <v>#VALUE!</v>
      </c>
      <c r="DH27" s="0" t="e">
        <f aca="false">Teresa!AT:AT*";7#!rI"</f>
        <v>#VALUE!</v>
      </c>
      <c r="DI27" s="0" t="e">
        <f aca="false">Teresa!AU:AU*";7#!rJ"</f>
        <v>#VALUE!</v>
      </c>
      <c r="DJ27" s="0" t="e">
        <f aca="false">Teresa!AV:AV*";7#!rK"</f>
        <v>#VALUE!</v>
      </c>
      <c r="DK27" s="0" t="e">
        <f aca="false">Teresa!AW:AW*";7#!rL"</f>
        <v>#VALUE!</v>
      </c>
      <c r="DL27" s="0" t="e">
        <f aca="false">Teresa!AX:AX*";7#!rM"</f>
        <v>#VALUE!</v>
      </c>
      <c r="DM27" s="0" t="e">
        <f aca="false">Teresa!AY:AY*";7#!rN"</f>
        <v>#VALUE!</v>
      </c>
      <c r="DN27" s="0" t="e">
        <f aca="false">Teresa!AZ:AZ*";7#!rO"</f>
        <v>#VALUE!</v>
      </c>
      <c r="DO27" s="0" t="e">
        <f aca="false">Teresa!BA:BA*";7#!rP"</f>
        <v>#VALUE!</v>
      </c>
      <c r="DP27" s="0" t="e">
        <f aca="false">Teresa!BB:BB*";7#!rQ"</f>
        <v>#VALUE!</v>
      </c>
      <c r="DQ27" s="0" t="e">
        <f aca="false">Teresa!BC:BC*";7#!rR"</f>
        <v>#VALUE!</v>
      </c>
      <c r="DR27" s="0" t="e">
        <f aca="false">Teresa!BD:BD*";7#!rS"</f>
        <v>#VALUE!</v>
      </c>
      <c r="DS27" s="0" t="e">
        <f aca="false">Teresa!BE:BE*";7#!rT"</f>
        <v>#VALUE!</v>
      </c>
      <c r="DT27" s="0" t="e">
        <f aca="false">Teresa!BF:BF*";7#!rU"</f>
        <v>#VALUE!</v>
      </c>
      <c r="DU27" s="0" t="e">
        <f aca="false">Teresa!BG:BG*";7#!rV"</f>
        <v>#VALUE!</v>
      </c>
      <c r="DV27" s="0" t="e">
        <f aca="false">Teresa!BH:BH*";7#!rW"</f>
        <v>#VALUE!</v>
      </c>
      <c r="DW27" s="0" t="e">
        <f aca="false">Teresa!BI:BI*";7#!rX"</f>
        <v>#VALUE!</v>
      </c>
      <c r="DX27" s="0" t="e">
        <f aca="false">Teresa!BJ:BJ*";7#!rY"</f>
        <v>#VALUE!</v>
      </c>
      <c r="DY27" s="0" t="e">
        <f aca="false">Teresa!BK:BK*";7#!rZ"</f>
        <v>#VALUE!</v>
      </c>
      <c r="DZ27" s="0" t="e">
        <f aca="false">Teresa!BL:BL*";7#!r["</f>
        <v>#VALUE!</v>
      </c>
      <c r="EA27" s="0" t="e">
        <f aca="false">Teresa!BM:BM*";7#!r\"</f>
        <v>#VALUE!</v>
      </c>
      <c r="EB27" s="0" t="e">
        <f aca="false">Teresa!BN:BN*";7#!r]"</f>
        <v>#VALUE!</v>
      </c>
      <c r="EC27" s="0" t="e">
        <f aca="false">Teresa!BO:BO*";7#!r^"</f>
        <v>#VALUE!</v>
      </c>
      <c r="ED27" s="0" t="e">
        <f aca="false">Teresa!BP:BP*";7#!r_"</f>
        <v>#VALUE!</v>
      </c>
      <c r="EE27" s="0" t="e">
        <f aca="false">Teresa!BQ:BQ*";7#!r`"</f>
        <v>#VALUE!</v>
      </c>
      <c r="EF27" s="0" t="e">
        <f aca="false">Teresa!BR:BR*";7#!ra"</f>
        <v>#VALUE!</v>
      </c>
      <c r="EG27" s="0" t="e">
        <f aca="false">Teresa!BS:BS*";7#!rb"</f>
        <v>#VALUE!</v>
      </c>
      <c r="EH27" s="0" t="e">
        <f aca="false">Teresa!BT:BT*";7#!rc"</f>
        <v>#VALUE!</v>
      </c>
      <c r="EI27" s="0" t="e">
        <f aca="false">Teresa!BU:BU*";7#!rd"</f>
        <v>#VALUE!</v>
      </c>
      <c r="EJ27" s="0" t="e">
        <f aca="false">Teresa!BV:BV*";7#!re"</f>
        <v>#VALUE!</v>
      </c>
      <c r="EK27" s="0" t="e">
        <f aca="false">Teresa!BW:BW*";7#!rf"</f>
        <v>#VALUE!</v>
      </c>
      <c r="EL27" s="0" t="e">
        <f aca="false">Teresa!BX:BX*";7#!rg"</f>
        <v>#VALUE!</v>
      </c>
      <c r="EM27" s="0" t="e">
        <f aca="false">Teresa!BY:BY*";7#!rh"</f>
        <v>#VALUE!</v>
      </c>
      <c r="EN27" s="0" t="e">
        <f aca="false">Teresa!BZ:BZ*";7#!ri"</f>
        <v>#VALUE!</v>
      </c>
      <c r="EO27" s="0" t="e">
        <f aca="false">Teresa!CA:CA*";7#!rj"</f>
        <v>#VALUE!</v>
      </c>
      <c r="EP27" s="0" t="e">
        <f aca="false">Teresa!CB:CB*";7#!rk"</f>
        <v>#VALUE!</v>
      </c>
      <c r="EQ27" s="0" t="e">
        <f aca="false">Teresa!CC:CC*";7#!rl"</f>
        <v>#VALUE!</v>
      </c>
      <c r="ER27" s="0" t="e">
        <f aca="false">Teresa!1:1-";7#!rm"</f>
        <v>#VALUE!</v>
      </c>
      <c r="ES27" s="0" t="e">
        <f aca="false">Teresa!2:2-";7#!rn"</f>
        <v>#VALUE!</v>
      </c>
      <c r="ET27" s="0" t="e">
        <f aca="false">Teresa!3:3-";7#!ro"</f>
        <v>#VALUE!</v>
      </c>
      <c r="EU27" s="0" t="e">
        <f aca="false">Teresa!4:4-";7#!rp"</f>
        <v>#VALUE!</v>
      </c>
      <c r="EV27" s="0" t="e">
        <f aca="false">Teresa!5:5-";7#!rq"</f>
        <v>#VALUE!</v>
      </c>
      <c r="EW27" s="0" t="e">
        <f aca="false">Teresa!6:6-";7#!rr"</f>
        <v>#VALUE!</v>
      </c>
      <c r="EX27" s="0" t="e">
        <f aca="false">Teresa!7:7-";7#!rs"</f>
        <v>#VALUE!</v>
      </c>
      <c r="EY27" s="0" t="e">
        <f aca="false">Teresa!8:8-";7#!rt"</f>
        <v>#VALUE!</v>
      </c>
      <c r="EZ27" s="0" t="e">
        <f aca="false">Teresa!9:9-";7#!ru"</f>
        <v>#VALUE!</v>
      </c>
      <c r="FA27" s="0" t="e">
        <f aca="false">Teresa!10:10-";7#!rv"</f>
        <v>#VALUE!</v>
      </c>
      <c r="FB27" s="0" t="e">
        <f aca="false">Teresa!11:11-";7#!rw"</f>
        <v>#VALUE!</v>
      </c>
      <c r="FC27" s="0" t="e">
        <f aca="false">Teresa!12:12-";7#!rx"</f>
        <v>#VALUE!</v>
      </c>
      <c r="FD27" s="0" t="e">
        <f aca="false">Teresa!13:13-";7#!ry"</f>
        <v>#VALUE!</v>
      </c>
      <c r="FE27" s="0" t="e">
        <f aca="false">Teresa!14:14-";7#!rz"</f>
        <v>#VALUE!</v>
      </c>
      <c r="FF27" s="0" t="e">
        <f aca="false">Teresa!15:15-";7#!r{"</f>
        <v>#VALUE!</v>
      </c>
      <c r="FG27" s="0" t="e">
        <f aca="false">Teresa!16:16-";7#!r|"</f>
        <v>#VALUE!</v>
      </c>
      <c r="FH27" s="0" t="e">
        <f aca="false">Teresa!17:17-";7#!r}"</f>
        <v>#VALUE!</v>
      </c>
      <c r="FI27" s="0" t="e">
        <f aca="false">Teresa!18:18-";7#!r~"</f>
        <v>#VALUE!</v>
      </c>
      <c r="FJ27" s="0" t="e">
        <f aca="false">Teresa!19:19-";7#!s#"</f>
        <v>#VALUE!</v>
      </c>
      <c r="FK27" s="0" t="e">
        <f aca="false">Teresa!20:20-";7#!s$"</f>
        <v>#VALUE!</v>
      </c>
      <c r="FL27" s="0" t="e">
        <f aca="false">Teresa!21:21-";7#!s%"</f>
        <v>#VALUE!</v>
      </c>
      <c r="FM27" s="0" t="e">
        <f aca="false">Teresa!22:22-";7#!s&amp;"</f>
        <v>#VALUE!</v>
      </c>
      <c r="FN27" s="0" t="e">
        <f aca="false">Teresa!23:23-";7#!s'"</f>
        <v>#VALUE!</v>
      </c>
      <c r="FO27" s="0" t="e">
        <f aca="false">Teresa!24:24-";7#!s("</f>
        <v>#VALUE!</v>
      </c>
      <c r="FP27" s="0" t="e">
        <f aca="false">Teresa!25:25-";7#!s)"</f>
        <v>#VALUE!</v>
      </c>
      <c r="FQ27" s="0" t="e">
        <f aca="false">Teresa!26:26-";7#!s."</f>
        <v>#VALUE!</v>
      </c>
      <c r="FR27" s="0" t="e">
        <f aca="false">Teresa!27:27-";7#!s/"</f>
        <v>#VALUE!</v>
      </c>
      <c r="FS27" s="0" t="e">
        <f aca="false">Teresa!28:28-";7#!s0"</f>
        <v>#VALUE!</v>
      </c>
      <c r="FT27" s="0" t="e">
        <f aca="false">Teresa!29:29-";7#!s1"</f>
        <v>#VALUE!</v>
      </c>
      <c r="FU27" s="0" t="e">
        <f aca="false">Teresa!30:30-";7#!s2"</f>
        <v>#VALUE!</v>
      </c>
      <c r="FV27" s="0" t="e">
        <f aca="false">Teresa!31:31-";7#!s3"</f>
        <v>#VALUE!</v>
      </c>
      <c r="FW27" s="0" t="e">
        <f aca="false">Teresa!32:32-";7#!s4"</f>
        <v>#VALUE!</v>
      </c>
      <c r="FX27" s="0" t="e">
        <f aca="false">Teresa!33:33-";7#!s5"</f>
        <v>#VALUE!</v>
      </c>
      <c r="FY27" s="0" t="e">
        <f aca="false">Teresa!34:34-";7#!s6"</f>
        <v>#VALUE!</v>
      </c>
      <c r="FZ27" s="0" t="e">
        <f aca="false">Teresa!35:35-";7#!s7"</f>
        <v>#VALUE!</v>
      </c>
      <c r="GA27" s="0" t="e">
        <f aca="false">Teresa!36:36-";7#!s8"</f>
        <v>#VALUE!</v>
      </c>
      <c r="GB27" s="0" t="e">
        <f aca="false">Teresa!37:37-";7#!s9"</f>
        <v>#VALUE!</v>
      </c>
      <c r="GC27" s="0" t="e">
        <f aca="false">Teresa!38:38-";7#!s:"</f>
        <v>#VALUE!</v>
      </c>
      <c r="GD27" s="0" t="e">
        <f aca="false">Teresa!39:39-";7#!s;"</f>
        <v>#VALUE!</v>
      </c>
      <c r="GE27" s="0" t="e">
        <f aca="false">Teresa!40:40-";7#!s&lt;"</f>
        <v>#VALUE!</v>
      </c>
      <c r="GF27" s="0" t="e">
        <f aca="false">Teresa!41:41-";7#!s="</f>
        <v>#VALUE!</v>
      </c>
      <c r="GG27" s="0" t="e">
        <f aca="false">Teresa!42:42-";7#!s&gt;"</f>
        <v>#VALUE!</v>
      </c>
      <c r="GH27" s="0" t="e">
        <f aca="false">Teresa!43:43-";7#!s?"</f>
        <v>#VALUE!</v>
      </c>
      <c r="GI27" s="0" t="e">
        <f aca="false">Teresa!44:44-";7#!s@"</f>
        <v>#VALUE!</v>
      </c>
      <c r="GJ27" s="0" t="e">
        <f aca="false">Teresa!45:45-";7#!sA"</f>
        <v>#VALUE!</v>
      </c>
      <c r="GK27" s="0" t="e">
        <f aca="false">Teresa!46:46-";7#!sB"</f>
        <v>#VALUE!</v>
      </c>
      <c r="GL27" s="0" t="e">
        <f aca="false">Teresa!47:47-";7#!sC"</f>
        <v>#VALUE!</v>
      </c>
      <c r="GM27" s="0" t="e">
        <f aca="false">Teresa!48:48-";7#!sD"</f>
        <v>#VALUE!</v>
      </c>
      <c r="GN27" s="0" t="e">
        <f aca="false">Teresa!49:49-";7#!sE"</f>
        <v>#VALUE!</v>
      </c>
      <c r="GO27" s="0" t="e">
        <f aca="false">Teresa!50:50-";7#!sF"</f>
        <v>#VALUE!</v>
      </c>
      <c r="GP27" s="0" t="e">
        <f aca="false">Teresa!51:51-";7#!sG"</f>
        <v>#VALUE!</v>
      </c>
      <c r="GQ27" s="0" t="e">
        <f aca="false">Teresa!52:52-";7#!sH"</f>
        <v>#VALUE!</v>
      </c>
      <c r="GR27" s="0" t="e">
        <f aca="false">Teresa!53:53-";7#!sI"</f>
        <v>#VALUE!</v>
      </c>
      <c r="GS27" s="0" t="e">
        <f aca="false">Teresa!54:54-";7#!sJ"</f>
        <v>#VALUE!</v>
      </c>
      <c r="GT27" s="0" t="e">
        <f aca="false">Teresa!55:55-";7#!sK"</f>
        <v>#VALUE!</v>
      </c>
      <c r="GU27" s="0" t="e">
        <f aca="false">Teresa!56:56-";7#!sL"</f>
        <v>#VALUE!</v>
      </c>
      <c r="GV27" s="0" t="e">
        <f aca="false">Teresa!57:57-";7#!sM"</f>
        <v>#VALUE!</v>
      </c>
      <c r="GW27" s="0" t="e">
        <f aca="false">Teresa!58:58-";7#!sN"</f>
        <v>#VALUE!</v>
      </c>
      <c r="GX27" s="0" t="e">
        <f aca="false">Teresa!59:59-";7#!sO"</f>
        <v>#VALUE!</v>
      </c>
      <c r="GY27" s="0" t="e">
        <f aca="false">Teresa!60:60-";7#!sP"</f>
        <v>#VALUE!</v>
      </c>
      <c r="GZ27" s="0" t="e">
        <f aca="false">Teresa!61:61-";7#!sQ"</f>
        <v>#VALUE!</v>
      </c>
      <c r="HA27" s="0" t="e">
        <f aca="false">Teresa!62:62-";7#!sR"</f>
        <v>#VALUE!</v>
      </c>
      <c r="HB27" s="0" t="e">
        <f aca="false">Teresa!63:63-";7#!sS"</f>
        <v>#VALUE!</v>
      </c>
      <c r="HC27" s="0" t="e">
        <f aca="false">Teresa!64:64-";7#!sT"</f>
        <v>#VALUE!</v>
      </c>
      <c r="HD27" s="0" t="e">
        <f aca="false">Teresa!65:65-";7#!sU"</f>
        <v>#VALUE!</v>
      </c>
      <c r="HE27" s="0" t="e">
        <f aca="false">Teresa!66:66-";7#!sV"</f>
        <v>#VALUE!</v>
      </c>
      <c r="HF27" s="0" t="e">
        <f aca="false">Teresa!67:67-";7#!sW"</f>
        <v>#VALUE!</v>
      </c>
      <c r="HG27" s="0" t="e">
        <f aca="false">Teresa!68:68-";7#!sX"</f>
        <v>#VALUE!</v>
      </c>
      <c r="HH27" s="0" t="e">
        <f aca="false">Teresa!69:69-";7#!sY"</f>
        <v>#VALUE!</v>
      </c>
      <c r="HI27" s="0" t="e">
        <f aca="false">Teresa!70:70-";7#!sZ"</f>
        <v>#VALUE!</v>
      </c>
      <c r="HJ27" s="0" t="e">
        <f aca="false">Teresa!71:71-";7#!s["</f>
        <v>#VALUE!</v>
      </c>
      <c r="HK27" s="0" t="e">
        <f aca="false">Teresa!72:72-";7#!s\"</f>
        <v>#VALUE!</v>
      </c>
      <c r="HL27" s="0" t="e">
        <f aca="false">Teresa!73:73-";7#!s]"</f>
        <v>#VALUE!</v>
      </c>
      <c r="HM27" s="0" t="e">
        <f aca="false">Teresa!74:74-";7#!s^"</f>
        <v>#VALUE!</v>
      </c>
      <c r="HN27" s="0" t="e">
        <f aca="false">Teresa!75:75-";7#!s_"</f>
        <v>#VALUE!</v>
      </c>
      <c r="HO27" s="0" t="e">
        <f aca="false">Teresa!76:76-";7#!s`"</f>
        <v>#VALUE!</v>
      </c>
      <c r="HP27" s="0" t="e">
        <f aca="false">Teresa!77:77-";7#!sa"</f>
        <v>#VALUE!</v>
      </c>
      <c r="HQ27" s="0" t="e">
        <f aca="false">Teresa!78:78-";7#!sb"</f>
        <v>#VALUE!</v>
      </c>
      <c r="HR27" s="0" t="e">
        <f aca="false">Teresa!79:79-";7#!sc"</f>
        <v>#VALUE!</v>
      </c>
      <c r="HS27" s="0" t="e">
        <f aca="false">Teresa!80:80-";7#!sd"</f>
        <v>#VALUE!</v>
      </c>
      <c r="HT27" s="0" t="e">
        <f aca="false">Teresa!81:81-";7#!se"</f>
        <v>#VALUE!</v>
      </c>
      <c r="HU27" s="0" t="e">
        <f aca="false">Teresa!82:82-";7#!sf"</f>
        <v>#VALUE!</v>
      </c>
      <c r="HV27" s="0" t="e">
        <f aca="false">Teresa!83:83-";7#!sg"</f>
        <v>#VALUE!</v>
      </c>
      <c r="HW27" s="0" t="e">
        <f aca="false">Teresa!84:84-";7#!sh"</f>
        <v>#VALUE!</v>
      </c>
      <c r="HX27" s="0" t="e">
        <f aca="false">Teresa!85:85-";7#!si"</f>
        <v>#VALUE!</v>
      </c>
      <c r="HY27" s="0" t="e">
        <f aca="false">Teresa!86:86-";7#!sj"</f>
        <v>#VALUE!</v>
      </c>
      <c r="HZ27" s="0" t="e">
        <f aca="false">Teresa!87:87-";7#!sk"</f>
        <v>#VALUE!</v>
      </c>
      <c r="IA27" s="0" t="e">
        <f aca="false">Teresa!88:88-";7#!sl"</f>
        <v>#VALUE!</v>
      </c>
      <c r="IB27" s="0" t="e">
        <f aca="false">Teresa!89:89-";7#!sm"</f>
        <v>#VALUE!</v>
      </c>
      <c r="IC27" s="0" t="e">
        <f aca="false">Teresa!90:90-";7#!sn"</f>
        <v>#VALUE!</v>
      </c>
      <c r="ID27" s="0" t="e">
        <f aca="false">Teresa!91:91-";7#!so"</f>
        <v>#VALUE!</v>
      </c>
      <c r="IE27" s="0" t="e">
        <f aca="false">Teresa!92:92-";7#!sp"</f>
        <v>#VALUE!</v>
      </c>
      <c r="IF27" s="0" t="e">
        <f aca="false">Teresa!93:93-";7#!sq"</f>
        <v>#VALUE!</v>
      </c>
      <c r="IG27" s="0" t="e">
        <f aca="false">Teresa!94:94-";7#!sr"</f>
        <v>#VALUE!</v>
      </c>
      <c r="IH27" s="0" t="e">
        <f aca="false">Teresa!95:95-";7#!ss"</f>
        <v>#VALUE!</v>
      </c>
      <c r="II27" s="0" t="e">
        <f aca="false">Teresa!96:96-";7#!st"</f>
        <v>#VALUE!</v>
      </c>
      <c r="IJ27" s="0" t="e">
        <f aca="false">Teresa!97:97-";7#!su"</f>
        <v>#VALUE!</v>
      </c>
      <c r="IK27" s="0" t="e">
        <f aca="false">Teresa!98:98-";7#!sv"</f>
        <v>#VALUE!</v>
      </c>
      <c r="IL27" s="0" t="e">
        <f aca="false">Teresa!99:99-";7#!sw"</f>
        <v>#VALUE!</v>
      </c>
      <c r="IM27" s="0" t="e">
        <f aca="false">Teresa!100:100-";7#!sx"</f>
        <v>#VALUE!</v>
      </c>
      <c r="IN27" s="0" t="e">
        <f aca="false">Teresa!101:101-";7#!sy"</f>
        <v>#VALUE!</v>
      </c>
      <c r="IO27" s="0" t="e">
        <f aca="false">Teresa!102:102-";7#!sz"</f>
        <v>#VALUE!</v>
      </c>
      <c r="IP27" s="0" t="e">
        <f aca="false">Teresa!103:103-";7#!s{"</f>
        <v>#VALUE!</v>
      </c>
      <c r="IQ27" s="0" t="e">
        <f aca="false">Teresa!104:104-";7#!s|"</f>
        <v>#VALUE!</v>
      </c>
      <c r="IR27" s="0" t="e">
        <f aca="false">Teresa!105:105-";7#!s}"</f>
        <v>#VALUE!</v>
      </c>
      <c r="IS27" s="0" t="e">
        <f aca="false">Teresa!106:106-";7#!s~"</f>
        <v>#VALUE!</v>
      </c>
      <c r="IT27" s="0" t="e">
        <f aca="false">Teresa!107:107-";7#!t#"</f>
        <v>#VALUE!</v>
      </c>
      <c r="IU27" s="0" t="e">
        <f aca="false">Teresa!108:108-";7#!t$"</f>
        <v>#VALUE!</v>
      </c>
      <c r="IV27" s="0" t="e">
        <f aca="false">Teresa!109:109-";7#!t%"</f>
        <v>#VALUE!</v>
      </c>
    </row>
    <row r="28" customFormat="false" ht="15" hidden="false" customHeight="false" outlineLevel="0" collapsed="false">
      <c r="F28" s="0" t="e">
        <f aca="false">Teresa!110:110-";7#!t&amp;"</f>
        <v>#VALUE!</v>
      </c>
      <c r="G28" s="0" t="e">
        <f aca="false">Teresa!111:111-";7#!t'"</f>
        <v>#VALUE!</v>
      </c>
      <c r="H28" s="0" t="e">
        <f aca="false">Teresa!112:112-";7#!t("</f>
        <v>#VALUE!</v>
      </c>
      <c r="I28" s="0" t="e">
        <f aca="false">Teresa!113:113-";7#!t)"</f>
        <v>#VALUE!</v>
      </c>
      <c r="J28" s="0" t="e">
        <f aca="false">Teresa!114:114-";7#!t."</f>
        <v>#VALUE!</v>
      </c>
      <c r="K28" s="0" t="e">
        <f aca="false">Teresa!115:115-";7#!t/"</f>
        <v>#VALUE!</v>
      </c>
      <c r="L28" s="0" t="e">
        <f aca="false">Teresa!116:116-";7#!t0"</f>
        <v>#VALUE!</v>
      </c>
      <c r="M28" s="0" t="e">
        <f aca="false">Teresa!117:117-";7#!t1"</f>
        <v>#VALUE!</v>
      </c>
      <c r="N28" s="0" t="e">
        <f aca="false">Teresa!118:118-";7#!t2"</f>
        <v>#VALUE!</v>
      </c>
      <c r="O28" s="0" t="e">
        <f aca="false">Teresa!119:119-";7#!t3"</f>
        <v>#VALUE!</v>
      </c>
      <c r="P28" s="0" t="e">
        <f aca="false">Teresa!120:120-";7#!t4"</f>
        <v>#VALUE!</v>
      </c>
      <c r="Q28" s="0" t="e">
        <f aca="false">Teresa!121:121-";7#!t5"</f>
        <v>#VALUE!</v>
      </c>
      <c r="R28" s="0" t="e">
        <f aca="false">Teresa!122:122-";7#!t6"</f>
        <v>#VALUE!</v>
      </c>
      <c r="S28" s="0" t="e">
        <f aca="false">Teresa!123:123-";7#!t7"</f>
        <v>#VALUE!</v>
      </c>
      <c r="T28" s="0" t="e">
        <f aca="false">Teresa!124:124-";7#!t8"</f>
        <v>#VALUE!</v>
      </c>
      <c r="U28" s="0" t="e">
        <f aca="false">Teresa!125:125-";7#!t9"</f>
        <v>#VALUE!</v>
      </c>
      <c r="V28" s="0" t="e">
        <f aca="false">Teresa!126:126-";7#!t:"</f>
        <v>#VALUE!</v>
      </c>
      <c r="W28" s="0" t="e">
        <f aca="false">Teresa!127:127-";7#!t;"</f>
        <v>#VALUE!</v>
      </c>
      <c r="X28" s="0" t="e">
        <f aca="false">Teresa!128:128-";7#!t&lt;"</f>
        <v>#VALUE!</v>
      </c>
      <c r="Y28" s="0" t="e">
        <f aca="false">Teresa!129:129-";7#!t="</f>
        <v>#VALUE!</v>
      </c>
      <c r="Z28" s="0" t="e">
        <f aca="false">Teresa!130:130-";7#!t&gt;"</f>
        <v>#VALUE!</v>
      </c>
      <c r="AA28" s="0" t="e">
        <f aca="false">Teresa!131:131-";7#!t?"</f>
        <v>#VALUE!</v>
      </c>
      <c r="AB28" s="0" t="e">
        <f aca="false">Teresa!132:132-";7#!t@"</f>
        <v>#VALUE!</v>
      </c>
      <c r="AC28" s="0" t="e">
        <f aca="false">Teresa!133:133-";7#!tA"</f>
        <v>#VALUE!</v>
      </c>
      <c r="AD28" s="0" t="e">
        <f aca="false">Teresa!134:134-";7#!tB"</f>
        <v>#VALUE!</v>
      </c>
      <c r="AE28" s="0" t="e">
        <f aca="false">Teresa!135:135-";7#!tC"</f>
        <v>#VALUE!</v>
      </c>
      <c r="AF28" s="0" t="e">
        <f aca="false">Teresa!136:136-";7#!tD"</f>
        <v>#VALUE!</v>
      </c>
      <c r="AG28" s="0" t="e">
        <f aca="false">Teresa!137:137-";7#!tE"</f>
        <v>#VALUE!</v>
      </c>
      <c r="AH28" s="0" t="e">
        <f aca="false">Teresa!138:138-";7#!tF"</f>
        <v>#VALUE!</v>
      </c>
      <c r="AI28" s="0" t="e">
        <f aca="false">Teresa!139:139-";7#!tG"</f>
        <v>#VALUE!</v>
      </c>
      <c r="AJ28" s="0" t="e">
        <f aca="false">Teresa!140:140-";7#!tH"</f>
        <v>#VALUE!</v>
      </c>
      <c r="AK28" s="0" t="e">
        <f aca="false">Teresa!141:141-";7#!tI"</f>
        <v>#VALUE!</v>
      </c>
      <c r="AL28" s="0" t="e">
        <f aca="false">Teresa!142:142-";7#!tJ"</f>
        <v>#VALUE!</v>
      </c>
      <c r="AM28" s="0" t="e">
        <f aca="false">Teresa!143:143-";7#!tK"</f>
        <v>#VALUE!</v>
      </c>
      <c r="AN28" s="0" t="e">
        <f aca="false">Teresa!144:144-";7#!tL"</f>
        <v>#VALUE!</v>
      </c>
      <c r="AO28" s="0" t="e">
        <f aca="false">Teresa!145:145-";7#!tM"</f>
        <v>#VALUE!</v>
      </c>
      <c r="AP28" s="0" t="e">
        <f aca="false">Teresa!146:146-";7#!tN"</f>
        <v>#VALUE!</v>
      </c>
      <c r="AQ28" s="0" t="e">
        <f aca="false">Teresa!147:147-";7#!tO"</f>
        <v>#VALUE!</v>
      </c>
      <c r="AR28" s="0" t="e">
        <f aca="false">Teresa!148:148-";7#!tP"</f>
        <v>#VALUE!</v>
      </c>
      <c r="AS28" s="0" t="e">
        <f aca="false">Teresa!149:149-";7#!tQ"</f>
        <v>#VALUE!</v>
      </c>
      <c r="AT28" s="0" t="e">
        <f aca="false">Teresa!150:150-";7#!tR"</f>
        <v>#VALUE!</v>
      </c>
      <c r="AU28" s="0" t="e">
        <f aca="false">Teresa!151:151-";7#!tS"</f>
        <v>#VALUE!</v>
      </c>
      <c r="AV28" s="0" t="e">
        <f aca="false">Teresa!152:152-";7#!tT"</f>
        <v>#VALUE!</v>
      </c>
      <c r="AW28" s="0" t="e">
        <f aca="false">Teresa!153:153-";7#!tU"</f>
        <v>#VALUE!</v>
      </c>
      <c r="AX28" s="0" t="e">
        <f aca="false">Teresa!154:154-";7#!tV"</f>
        <v>#VALUE!</v>
      </c>
      <c r="AY28" s="0" t="e">
        <f aca="false">Teresa!155:155-";7#!tW"</f>
        <v>#VALUE!</v>
      </c>
      <c r="AZ28" s="0" t="e">
        <f aca="false">Teresa!156:156-";7#!tX"</f>
        <v>#VALUE!</v>
      </c>
      <c r="BA28" s="0" t="e">
        <f aca="false">Teresa!157:157-";7#!tY"</f>
        <v>#VALUE!</v>
      </c>
      <c r="BB28" s="0" t="e">
        <f aca="false">Teresa!158:158-";7#!tZ"</f>
        <v>#VALUE!</v>
      </c>
      <c r="BC28" s="0" t="e">
        <f aca="false">Teresa!159:159-";7#!t["</f>
        <v>#VALUE!</v>
      </c>
      <c r="BD28" s="0" t="e">
        <f aca="false">Teresa!160:160-";7#!t\"</f>
        <v>#VALUE!</v>
      </c>
      <c r="BE28" s="0" t="e">
        <f aca="false">Teresa!161:161-";7#!t]"</f>
        <v>#VALUE!</v>
      </c>
      <c r="BF28" s="0" t="e">
        <f aca="false">Teresa!162:162-";7#!t^"</f>
        <v>#VALUE!</v>
      </c>
      <c r="BG28" s="0" t="e">
        <f aca="false">Teresa!163:163-";7#!t_"</f>
        <v>#VALUE!</v>
      </c>
      <c r="BH28" s="0" t="e">
        <f aca="false">Teresa!164:164-";7#!t`"</f>
        <v>#VALUE!</v>
      </c>
      <c r="BI28" s="0" t="e">
        <f aca="false">Teresa!165:165-";7#!ta"</f>
        <v>#VALUE!</v>
      </c>
      <c r="BJ28" s="0" t="e">
        <f aca="false">Teresa!166:166-";7#!tb"</f>
        <v>#VALUE!</v>
      </c>
      <c r="BK28" s="0" t="e">
        <f aca="false">Teresa!167:167-";7#!tc"</f>
        <v>#VALUE!</v>
      </c>
      <c r="BL28" s="0" t="e">
        <f aca="false">Teresa!168:168-";7#!td"</f>
        <v>#VALUE!</v>
      </c>
      <c r="BM28" s="0" t="e">
        <f aca="false">Teresa!169:169-";7#!te"</f>
        <v>#VALUE!</v>
      </c>
      <c r="BN28" s="0" t="e">
        <f aca="false">Teresa!170:170-";7#!tf"</f>
        <v>#VALUE!</v>
      </c>
      <c r="BO28" s="0" t="e">
        <f aca="false">Teresa!171:171-";7#!tg"</f>
        <v>#VALUE!</v>
      </c>
      <c r="BP28" s="0" t="e">
        <f aca="false">Teresa!172:172-";7#!th"</f>
        <v>#VALUE!</v>
      </c>
      <c r="BQ28" s="0" t="e">
        <f aca="false">Teresa!173:173-";7#!ti"</f>
        <v>#VALUE!</v>
      </c>
      <c r="BR28" s="0" t="e">
        <f aca="false">Teresa!174:174-";7#!tj"</f>
        <v>#VALUE!</v>
      </c>
      <c r="BS28" s="0" t="e">
        <f aca="false">Teresa!175:175-";7#!tk"</f>
        <v>#VALUE!</v>
      </c>
      <c r="BT28" s="0" t="e">
        <f aca="false">Teresa!176:176-";7#!tl"</f>
        <v>#VALUE!</v>
      </c>
      <c r="BU28" s="0" t="e">
        <f aca="false">Teresa!177:177-";7#!tm"</f>
        <v>#VALUE!</v>
      </c>
      <c r="BV28" s="0" t="e">
        <f aca="false">Teresa!178:178-";7#!tn"</f>
        <v>#VALUE!</v>
      </c>
      <c r="BW28" s="0" t="e">
        <f aca="false">Teresa!179:179-";7#!to"</f>
        <v>#VALUE!</v>
      </c>
      <c r="BX28" s="0" t="e">
        <f aca="false">Teresa!180:180-";7#!tp"</f>
        <v>#VALUE!</v>
      </c>
      <c r="BY28" s="0" t="e">
        <f aca="false">Teresa!181:181-";7#!tq"</f>
        <v>#VALUE!</v>
      </c>
      <c r="BZ28" s="0" t="e">
        <f aca="false">Teresa!182:182-";7#!tr"</f>
        <v>#VALUE!</v>
      </c>
      <c r="CA28" s="0" t="e">
        <f aca="false">Teresa!183:183-";7#!ts"</f>
        <v>#VALUE!</v>
      </c>
      <c r="CB28" s="0" t="e">
        <f aca="false">Teresa!184:184-";7#!tt"</f>
        <v>#VALUE!</v>
      </c>
      <c r="CC28" s="0" t="e">
        <f aca="false">Teresa!185:185-";7#!tu"</f>
        <v>#VALUE!</v>
      </c>
      <c r="CD28" s="0" t="e">
        <f aca="false">Teresa!186:186-";7#!tv"</f>
        <v>#VALUE!</v>
      </c>
      <c r="CE28" s="0" t="e">
        <f aca="false">Teresa!187:187-";7#!tw"</f>
        <v>#VALUE!</v>
      </c>
      <c r="CF28" s="0" t="e">
        <f aca="false">Teresa!188:188-";7#!tx"</f>
        <v>#VALUE!</v>
      </c>
      <c r="CG28" s="0" t="e">
        <f aca="false">Teresa!189:189-";7#!ty"</f>
        <v>#VALUE!</v>
      </c>
      <c r="CH28" s="0" t="e">
        <f aca="false">Teresa!190:190-";7#!tz"</f>
        <v>#VALUE!</v>
      </c>
      <c r="CI28" s="0" t="e">
        <f aca="false">Teresa!191:191-";7#!t{"</f>
        <v>#VALUE!</v>
      </c>
      <c r="CJ28" s="0" t="e">
        <f aca="false">Teresa!192:192-";7#!t|"</f>
        <v>#VALUE!</v>
      </c>
      <c r="CK28" s="0" t="e">
        <f aca="false">Teresa!193:193-";7#!t}"</f>
        <v>#VALUE!</v>
      </c>
      <c r="CL28" s="0" t="e">
        <f aca="false">Teresa!194:194-";7#!t~"</f>
        <v>#VALUE!</v>
      </c>
      <c r="CM28" s="0" t="e">
        <f aca="false">Teresa!195:195-";7#!u#"</f>
        <v>#VALUE!</v>
      </c>
      <c r="CN28" s="0" t="e">
        <f aca="false">Teresa!196:196-";7#!u$"</f>
        <v>#VALUE!</v>
      </c>
      <c r="CO28" s="0" t="e">
        <f aca="false">Teresa!197:197-";7#!u%"</f>
        <v>#VALUE!</v>
      </c>
      <c r="CP28" s="0" t="e">
        <f aca="false">Teresa!198:198-";7#!u&amp;"</f>
        <v>#VALUE!</v>
      </c>
      <c r="CQ28" s="0" t="e">
        <f aca="false">Teresa!199:199-";7#!u'"</f>
        <v>#VALUE!</v>
      </c>
      <c r="CR28" s="0" t="e">
        <f aca="false">Teresa!200:200-";7#!u("</f>
        <v>#VALUE!</v>
      </c>
      <c r="CS28" s="0" t="e">
        <f aca="false">Teresa!201:201-";7#!u)"</f>
        <v>#VALUE!</v>
      </c>
      <c r="CT28" s="0" t="e">
        <f aca="false">Teresa!202:202-";7#!u."</f>
        <v>#VALUE!</v>
      </c>
      <c r="CU28" s="0" t="e">
        <f aca="false">Teresa!203:203-";7#!u/"</f>
        <v>#VALUE!</v>
      </c>
      <c r="CV28" s="0" t="e">
        <f aca="false">Teresa!204:204-";7#!u0"</f>
        <v>#VALUE!</v>
      </c>
      <c r="CW28" s="0" t="e">
        <f aca="false">Teresa!205:205-";7#!u1"</f>
        <v>#VALUE!</v>
      </c>
      <c r="CX28" s="0" t="e">
        <f aca="false">Teresa!206:206-";7#!u2"</f>
        <v>#VALUE!</v>
      </c>
      <c r="CY28" s="0" t="e">
        <f aca="false">Teresa!207:207-";7#!u3"</f>
        <v>#VALUE!</v>
      </c>
      <c r="CZ28" s="0" t="e">
        <f aca="false">Teresa!208:208-";7#!u4"</f>
        <v>#VALUE!</v>
      </c>
      <c r="DA28" s="0" t="e">
        <f aca="false">Teresa!209:209-";7#!u5"</f>
        <v>#VALUE!</v>
      </c>
      <c r="DB28" s="0" t="e">
        <f aca="false">Teresa!210:210-";7#!u6"</f>
        <v>#VALUE!</v>
      </c>
      <c r="DC28" s="0" t="e">
        <f aca="false">Teresa!211:211-";7#!u7"</f>
        <v>#VALUE!</v>
      </c>
      <c r="DD28" s="0" t="e">
        <f aca="false">Teresa!212:212-";7#!u8"</f>
        <v>#VALUE!</v>
      </c>
      <c r="DE28" s="0" t="e">
        <f aca="false">Teresa!213:213-";7#!u9"</f>
        <v>#VALUE!</v>
      </c>
      <c r="DF28" s="0" t="e">
        <f aca="false">Teresa!214:214-";7#!u:"</f>
        <v>#VALUE!</v>
      </c>
      <c r="DG28" s="0" t="e">
        <f aca="false">Teresa!215:215-";7#!u;"</f>
        <v>#VALUE!</v>
      </c>
      <c r="DH28" s="0" t="e">
        <f aca="false">Teresa!216:216-";7#!u&lt;"</f>
        <v>#VALUE!</v>
      </c>
      <c r="DI28" s="0" t="e">
        <f aca="false">Teresa!217:217-";7#!u="</f>
        <v>#VALUE!</v>
      </c>
      <c r="DJ28" s="0" t="e">
        <f aca="false">Teresa!218:218-";7#!u&gt;"</f>
        <v>#VALUE!</v>
      </c>
      <c r="DK28" s="0" t="e">
        <f aca="false">Teresa!219:219-";7#!u?"</f>
        <v>#VALUE!</v>
      </c>
      <c r="DL28" s="0" t="e">
        <f aca="false">Teresa!220:220-";7#!u@"</f>
        <v>#VALUE!</v>
      </c>
      <c r="DM28" s="0" t="e">
        <f aca="false">Teresa!221:221-";7#!uA"</f>
        <v>#VALUE!</v>
      </c>
      <c r="DN28" s="0" t="e">
        <f aca="false">Teresa!222:222-";7#!uB"</f>
        <v>#VALUE!</v>
      </c>
      <c r="DO28" s="0" t="e">
        <f aca="false">Teresa!223:223-";7#!uC"</f>
        <v>#VALUE!</v>
      </c>
      <c r="DP28" s="0" t="e">
        <f aca="false">Teresa!224:224-";7#!uD"</f>
        <v>#VALUE!</v>
      </c>
      <c r="DQ28" s="0" t="e">
        <f aca="false">Teresa!225:225-";7#!uE"</f>
        <v>#VALUE!</v>
      </c>
      <c r="DR28" s="0" t="e">
        <f aca="false">Teresa!226:226-";7#!uF"</f>
        <v>#VALUE!</v>
      </c>
      <c r="DS28" s="0" t="e">
        <f aca="false">Teresa!227:227-";7#!uG"</f>
        <v>#VALUE!</v>
      </c>
      <c r="DT28" s="0" t="e">
        <f aca="false">Teresa!228:228-";7#!uH"</f>
        <v>#VALUE!</v>
      </c>
      <c r="DU28" s="0" t="e">
        <f aca="false">Teresa!229:229-";7#!uI"</f>
        <v>#VALUE!</v>
      </c>
      <c r="DV28" s="0" t="e">
        <f aca="false">Teresa!230:230-";7#!uJ"</f>
        <v>#VALUE!</v>
      </c>
      <c r="DW28" s="0" t="e">
        <f aca="false">Teresa!231:231-";7#!uK"</f>
        <v>#VALUE!</v>
      </c>
      <c r="DX28" s="0" t="e">
        <f aca="false">Teresa!232:232-";7#!uL"</f>
        <v>#VALUE!</v>
      </c>
      <c r="DY28" s="0" t="e">
        <f aca="false">Teresa!A1+";7#!uM"</f>
        <v>#VALUE!</v>
      </c>
      <c r="DZ28" s="0" t="e">
        <f aca="false">Teresa!B1+";7#!uN"</f>
        <v>#VALUE!</v>
      </c>
      <c r="EA28" s="0" t="e">
        <f aca="false">Teresa!C1+";7#!uO"</f>
        <v>#VALUE!</v>
      </c>
      <c r="EB28" s="0" t="e">
        <f aca="false">Teresa!D1+";7#!uP"</f>
        <v>#VALUE!</v>
      </c>
      <c r="EC28" s="0" t="e">
        <f aca="false">Teresa!E1+";7#!uQ"</f>
        <v>#VALUE!</v>
      </c>
      <c r="ED28" s="0" t="e">
        <f aca="false">Teresa!F1+";7#!uR"</f>
        <v>#VALUE!</v>
      </c>
      <c r="EE28" s="0" t="e">
        <f aca="false">Teresa!G1+";7#!uS"</f>
        <v>#VALUE!</v>
      </c>
      <c r="EF28" s="0" t="e">
        <f aca="false">Teresa!H1+";7#!uT"</f>
        <v>#VALUE!</v>
      </c>
      <c r="EG28" s="0" t="e">
        <f aca="false">Teresa!I1+";7#!uU"</f>
        <v>#VALUE!</v>
      </c>
      <c r="EH28" s="0" t="e">
        <f aca="false">Teresa!J1+";7#!uV"</f>
        <v>#VALUE!</v>
      </c>
      <c r="EI28" s="0" t="e">
        <f aca="false">Teresa!K1+";7#!uW"</f>
        <v>#VALUE!</v>
      </c>
      <c r="EJ28" s="0" t="e">
        <f aca="false">Teresa!L1+";7#!uX"</f>
        <v>#VALUE!</v>
      </c>
      <c r="EK28" s="0" t="e">
        <f aca="false">Teresa!M1+";7#!uY"</f>
        <v>#VALUE!</v>
      </c>
      <c r="EL28" s="0" t="e">
        <f aca="false">Teresa!N1+";7#!uZ"</f>
        <v>#VALUE!</v>
      </c>
      <c r="EM28" s="0" t="e">
        <f aca="false">Teresa!O1+";7#!u["</f>
        <v>#VALUE!</v>
      </c>
      <c r="EN28" s="0" t="e">
        <f aca="false">Teresa!P1+";7#!u\"</f>
        <v>#VALUE!</v>
      </c>
      <c r="EO28" s="0" t="e">
        <f aca="false">Teresa!A2+";7#!u]"</f>
        <v>#VALUE!</v>
      </c>
      <c r="EP28" s="0" t="e">
        <f aca="false">Teresa!B2+";7#!u^"</f>
        <v>#VALUE!</v>
      </c>
      <c r="EQ28" s="0" t="e">
        <f aca="false">Teresa!C2+";7#!u_"</f>
        <v>#VALUE!</v>
      </c>
      <c r="ER28" s="0" t="e">
        <f aca="false">Teresa!D2+";7#!u`"</f>
        <v>#VALUE!</v>
      </c>
      <c r="ES28" s="0" t="e">
        <f aca="false">Teresa!E2+";7#!ua"</f>
        <v>#VALUE!</v>
      </c>
      <c r="ET28" s="0" t="e">
        <f aca="false">Teresa!F2+";7#!ub"</f>
        <v>#VALUE!</v>
      </c>
      <c r="EU28" s="0" t="e">
        <f aca="false">Teresa!G2+";7#!uc"</f>
        <v>#VALUE!</v>
      </c>
      <c r="EV28" s="0" t="e">
        <f aca="false">Teresa!H2+";7#!ud"</f>
        <v>#VALUE!</v>
      </c>
      <c r="EW28" s="0" t="e">
        <f aca="false">Teresa!I2+";7#!ue"</f>
        <v>#VALUE!</v>
      </c>
      <c r="EX28" s="0" t="e">
        <f aca="false">Teresa!J2+";7#!uf"</f>
        <v>#VALUE!</v>
      </c>
      <c r="EY28" s="0" t="e">
        <f aca="false">Teresa!K2+";7#!ug"</f>
        <v>#VALUE!</v>
      </c>
      <c r="EZ28" s="0" t="e">
        <f aca="false">Teresa!L2+";7#!uh"</f>
        <v>#VALUE!</v>
      </c>
      <c r="FA28" s="0" t="e">
        <f aca="false">Teresa!M2+";7#!ui"</f>
        <v>#VALUE!</v>
      </c>
      <c r="FB28" s="0" t="e">
        <f aca="false">Teresa!N2+";7#!uj"</f>
        <v>#VALUE!</v>
      </c>
      <c r="FC28" s="0" t="e">
        <f aca="false">Teresa!O2+";7#!uk"</f>
        <v>#VALUE!</v>
      </c>
      <c r="FD28" s="0" t="e">
        <f aca="false">Teresa!P2+";7#!ul"</f>
        <v>#VALUE!</v>
      </c>
      <c r="FE28" s="0" t="e">
        <f aca="false">Teresa!Q2+";7#!um"</f>
        <v>#VALUE!</v>
      </c>
      <c r="FF28" s="0" t="e">
        <f aca="false">Teresa!A3+";7#!un"</f>
        <v>#VALUE!</v>
      </c>
      <c r="FG28" s="0" t="e">
        <f aca="false">Teresa!B3+";7#!uo"</f>
        <v>#VALUE!</v>
      </c>
      <c r="FH28" s="0" t="e">
        <f aca="false">Teresa!C3+";7#!up"</f>
        <v>#VALUE!</v>
      </c>
      <c r="FI28" s="0" t="e">
        <f aca="false">Teresa!D3+";7#!uq"</f>
        <v>#VALUE!</v>
      </c>
      <c r="FJ28" s="0" t="e">
        <f aca="false">Teresa!E3+";7#!ur"</f>
        <v>#VALUE!</v>
      </c>
      <c r="FK28" s="0" t="e">
        <f aca="false">Teresa!F3+";7#!us"</f>
        <v>#VALUE!</v>
      </c>
      <c r="FL28" s="0" t="e">
        <f aca="false">Teresa!G3+";7#!ut"</f>
        <v>#VALUE!</v>
      </c>
      <c r="FM28" s="0" t="e">
        <f aca="false">Teresa!H3+";7#!uu"</f>
        <v>#VALUE!</v>
      </c>
      <c r="FN28" s="0" t="e">
        <f aca="false">Teresa!I3+";7#!uv"</f>
        <v>#VALUE!</v>
      </c>
      <c r="FO28" s="0" t="e">
        <f aca="false">Teresa!J3+";7#!uw"</f>
        <v>#VALUE!</v>
      </c>
      <c r="FP28" s="0" t="e">
        <f aca="false">Teresa!K3+";7#!ux"</f>
        <v>#VALUE!</v>
      </c>
      <c r="FQ28" s="0" t="e">
        <f aca="false">Teresa!L3+";7#!uy"</f>
        <v>#VALUE!</v>
      </c>
      <c r="FR28" s="0" t="e">
        <f aca="false">Teresa!M3+";7#!uz"</f>
        <v>#VALUE!</v>
      </c>
      <c r="FS28" s="0" t="e">
        <f aca="false">Teresa!N3+";7#!u{"</f>
        <v>#VALUE!</v>
      </c>
      <c r="FT28" s="0" t="e">
        <f aca="false">Teresa!O3+";7#!u|"</f>
        <v>#VALUE!</v>
      </c>
      <c r="FU28" s="0" t="e">
        <f aca="false">Teresa!P3+";7#!u}"</f>
        <v>#VALUE!</v>
      </c>
      <c r="FV28" s="0" t="e">
        <f aca="false">Teresa!Q3+";7#!u~"</f>
        <v>#VALUE!</v>
      </c>
      <c r="FW28" s="0" t="e">
        <f aca="false">Teresa!A4+";7#!v#"</f>
        <v>#VALUE!</v>
      </c>
      <c r="FX28" s="0" t="e">
        <f aca="false">Teresa!B4+";7#!v$"</f>
        <v>#VALUE!</v>
      </c>
      <c r="FY28" s="0" t="e">
        <f aca="false">Teresa!C4+";7#!v%"</f>
        <v>#VALUE!</v>
      </c>
      <c r="FZ28" s="0" t="e">
        <f aca="false">Teresa!D4+";7#!v&amp;"</f>
        <v>#VALUE!</v>
      </c>
      <c r="GA28" s="0" t="e">
        <f aca="false">Teresa!E4+";7#!v'"</f>
        <v>#VALUE!</v>
      </c>
      <c r="GB28" s="0" t="e">
        <f aca="false">Teresa!F4+";7#!v("</f>
        <v>#VALUE!</v>
      </c>
      <c r="GC28" s="0" t="e">
        <f aca="false">Teresa!G4+";7#!v)"</f>
        <v>#VALUE!</v>
      </c>
      <c r="GD28" s="0" t="e">
        <f aca="false">Teresa!H4+";7#!v."</f>
        <v>#VALUE!</v>
      </c>
      <c r="GE28" s="0" t="e">
        <f aca="false">Teresa!I4+";7#!v/"</f>
        <v>#VALUE!</v>
      </c>
      <c r="GF28" s="0" t="e">
        <f aca="false">Teresa!J4+";7#!v0"</f>
        <v>#VALUE!</v>
      </c>
      <c r="GG28" s="0" t="e">
        <f aca="false">Teresa!K4+";7#!v1"</f>
        <v>#VALUE!</v>
      </c>
      <c r="GH28" s="0" t="e">
        <f aca="false">Teresa!L4+";7#!v2"</f>
        <v>#VALUE!</v>
      </c>
      <c r="GI28" s="0" t="e">
        <f aca="false">Teresa!M4+";7#!v3"</f>
        <v>#VALUE!</v>
      </c>
      <c r="GJ28" s="0" t="e">
        <f aca="false">Teresa!N4+";7#!v4"</f>
        <v>#VALUE!</v>
      </c>
      <c r="GK28" s="0" t="e">
        <f aca="false">Teresa!O4+";7#!v5"</f>
        <v>#VALUE!</v>
      </c>
      <c r="GL28" s="0" t="e">
        <f aca="false">Teresa!P4+";7#!v6"</f>
        <v>#VALUE!</v>
      </c>
      <c r="GM28" s="0" t="e">
        <f aca="false">Teresa!Q4+";7#!v7"</f>
        <v>#VALUE!</v>
      </c>
      <c r="GN28" s="0" t="e">
        <f aca="false">Teresa!A5+";7#!v8"</f>
        <v>#VALUE!</v>
      </c>
      <c r="GO28" s="0" t="e">
        <f aca="false">Teresa!B5+";7#!v9"</f>
        <v>#VALUE!</v>
      </c>
      <c r="GP28" s="0" t="e">
        <f aca="false">Teresa!C5+";7#!v:"</f>
        <v>#VALUE!</v>
      </c>
      <c r="GQ28" s="0" t="e">
        <f aca="false">Teresa!D5+";7#!v;"</f>
        <v>#VALUE!</v>
      </c>
      <c r="GR28" s="0" t="e">
        <f aca="false">Teresa!E5+";7#!v&lt;"</f>
        <v>#VALUE!</v>
      </c>
      <c r="GS28" s="0" t="e">
        <f aca="false">Teresa!F5+";7#!v="</f>
        <v>#VALUE!</v>
      </c>
      <c r="GT28" s="0" t="e">
        <f aca="false">Teresa!G5+";7#!v&gt;"</f>
        <v>#VALUE!</v>
      </c>
      <c r="GU28" s="0" t="e">
        <f aca="false">Teresa!H5+";7#!v?"</f>
        <v>#VALUE!</v>
      </c>
      <c r="GV28" s="0" t="e">
        <f aca="false">Teresa!I5+";7#!v@"</f>
        <v>#VALUE!</v>
      </c>
      <c r="GW28" s="0" t="e">
        <f aca="false">Teresa!J5+";7#!vA"</f>
        <v>#VALUE!</v>
      </c>
      <c r="GX28" s="0" t="e">
        <f aca="false">Teresa!K5+";7#!vB"</f>
        <v>#VALUE!</v>
      </c>
      <c r="GY28" s="0" t="e">
        <f aca="false">Teresa!L5+";7#!vC"</f>
        <v>#VALUE!</v>
      </c>
      <c r="GZ28" s="0" t="e">
        <f aca="false">Teresa!M5+";7#!vD"</f>
        <v>#VALUE!</v>
      </c>
      <c r="HA28" s="0" t="e">
        <f aca="false">Teresa!N5+";7#!vE"</f>
        <v>#VALUE!</v>
      </c>
      <c r="HB28" s="0" t="e">
        <f aca="false">Teresa!O5+";7#!vF"</f>
        <v>#VALUE!</v>
      </c>
      <c r="HC28" s="0" t="e">
        <f aca="false">Teresa!P5+";7#!vG"</f>
        <v>#VALUE!</v>
      </c>
      <c r="HD28" s="0" t="e">
        <f aca="false">Teresa!A6+";7#!vH"</f>
        <v>#VALUE!</v>
      </c>
      <c r="HE28" s="0" t="e">
        <f aca="false">Teresa!B6+";7#!vI"</f>
        <v>#VALUE!</v>
      </c>
      <c r="HF28" s="0" t="e">
        <f aca="false">Teresa!C6+";7#!vJ"</f>
        <v>#VALUE!</v>
      </c>
      <c r="HG28" s="0" t="e">
        <f aca="false">Teresa!D6+";7#!vK"</f>
        <v>#VALUE!</v>
      </c>
      <c r="HH28" s="0" t="e">
        <f aca="false">Teresa!E6+";7#!vL"</f>
        <v>#VALUE!</v>
      </c>
      <c r="HI28" s="0" t="e">
        <f aca="false">Teresa!F6+";7#!vM"</f>
        <v>#VALUE!</v>
      </c>
      <c r="HJ28" s="0" t="e">
        <f aca="false">Teresa!G6+";7#!vN"</f>
        <v>#VALUE!</v>
      </c>
      <c r="HK28" s="0" t="e">
        <f aca="false">Teresa!H6+";7#!vO"</f>
        <v>#VALUE!</v>
      </c>
      <c r="HL28" s="0" t="e">
        <f aca="false">Teresa!I6+";7#!vP"</f>
        <v>#VALUE!</v>
      </c>
      <c r="HM28" s="0" t="e">
        <f aca="false">Teresa!J6+";7#!vQ"</f>
        <v>#VALUE!</v>
      </c>
      <c r="HN28" s="0" t="e">
        <f aca="false">Teresa!K6+";7#!vR"</f>
        <v>#VALUE!</v>
      </c>
      <c r="HO28" s="0" t="e">
        <f aca="false">Teresa!L6+";7#!vS"</f>
        <v>#VALUE!</v>
      </c>
      <c r="HP28" s="0" t="e">
        <f aca="false">Teresa!M6+";7#!vT"</f>
        <v>#VALUE!</v>
      </c>
      <c r="HQ28" s="0" t="e">
        <f aca="false">Teresa!N6+";7#!vU"</f>
        <v>#VALUE!</v>
      </c>
      <c r="HR28" s="0" t="e">
        <f aca="false">Teresa!O6+";7#!vV"</f>
        <v>#VALUE!</v>
      </c>
      <c r="HS28" s="0" t="e">
        <f aca="false">Teresa!P6+";7#!vW"</f>
        <v>#VALUE!</v>
      </c>
      <c r="HT28" s="0" t="e">
        <f aca="false">Teresa!A7+";7#!vX"</f>
        <v>#VALUE!</v>
      </c>
      <c r="HU28" s="0" t="e">
        <f aca="false">Teresa!B7+";7#!vY"</f>
        <v>#VALUE!</v>
      </c>
      <c r="HV28" s="0" t="e">
        <f aca="false">Teresa!C7+";7#!vZ"</f>
        <v>#VALUE!</v>
      </c>
      <c r="HW28" s="0" t="e">
        <f aca="false">Teresa!D7+";7#!v["</f>
        <v>#VALUE!</v>
      </c>
      <c r="HX28" s="0" t="e">
        <f aca="false">Teresa!E7+";7#!v\"</f>
        <v>#VALUE!</v>
      </c>
      <c r="HY28" s="0" t="e">
        <f aca="false">Teresa!F7+";7#!v]"</f>
        <v>#VALUE!</v>
      </c>
      <c r="HZ28" s="0" t="e">
        <f aca="false">Teresa!G7+";7#!v^"</f>
        <v>#VALUE!</v>
      </c>
      <c r="IA28" s="0" t="e">
        <f aca="false">Teresa!H7+";7#!v_"</f>
        <v>#VALUE!</v>
      </c>
      <c r="IB28" s="0" t="e">
        <f aca="false">Teresa!I7+";7#!v`"</f>
        <v>#VALUE!</v>
      </c>
      <c r="IC28" s="0" t="e">
        <f aca="false">Teresa!J7+";7#!va"</f>
        <v>#VALUE!</v>
      </c>
      <c r="ID28" s="0" t="e">
        <f aca="false">Teresa!K7+";7#!vb"</f>
        <v>#VALUE!</v>
      </c>
      <c r="IE28" s="0" t="e">
        <f aca="false">Teresa!L7+";7#!vc"</f>
        <v>#VALUE!</v>
      </c>
      <c r="IF28" s="0" t="e">
        <f aca="false">Teresa!M7+";7#!vd"</f>
        <v>#VALUE!</v>
      </c>
      <c r="IG28" s="0" t="e">
        <f aca="false">Teresa!N7+";7#!ve"</f>
        <v>#VALUE!</v>
      </c>
      <c r="IH28" s="0" t="e">
        <f aca="false">Teresa!O7+";7#!vf"</f>
        <v>#VALUE!</v>
      </c>
      <c r="II28" s="0" t="e">
        <f aca="false">Teresa!P7+";7#!vg"</f>
        <v>#VALUE!</v>
      </c>
      <c r="IJ28" s="0" t="e">
        <f aca="false">Teresa!A8+";7#!vh"</f>
        <v>#VALUE!</v>
      </c>
      <c r="IK28" s="0" t="e">
        <f aca="false">Teresa!B8+";7#!vi"</f>
        <v>#VALUE!</v>
      </c>
      <c r="IL28" s="0" t="e">
        <f aca="false">Teresa!C8+";7#!vj"</f>
        <v>#VALUE!</v>
      </c>
      <c r="IM28" s="0" t="e">
        <f aca="false">Teresa!D8+";7#!vk"</f>
        <v>#VALUE!</v>
      </c>
      <c r="IN28" s="0" t="e">
        <f aca="false">Teresa!E8+";7#!vl"</f>
        <v>#VALUE!</v>
      </c>
      <c r="IO28" s="0" t="e">
        <f aca="false">Teresa!F8+";7#!vm"</f>
        <v>#VALUE!</v>
      </c>
      <c r="IP28" s="0" t="e">
        <f aca="false">Teresa!G8+";7#!vn"</f>
        <v>#VALUE!</v>
      </c>
      <c r="IQ28" s="0" t="e">
        <f aca="false">Teresa!H8+";7#!vo"</f>
        <v>#VALUE!</v>
      </c>
      <c r="IR28" s="0" t="e">
        <f aca="false">Teresa!I8+";7#!vp"</f>
        <v>#VALUE!</v>
      </c>
      <c r="IS28" s="0" t="e">
        <f aca="false">Teresa!J8+";7#!vq"</f>
        <v>#VALUE!</v>
      </c>
      <c r="IT28" s="0" t="e">
        <f aca="false">Teresa!K8+";7#!vr"</f>
        <v>#VALUE!</v>
      </c>
      <c r="IU28" s="0" t="e">
        <f aca="false">Teresa!L8+";7#!vs"</f>
        <v>#VALUE!</v>
      </c>
      <c r="IV28" s="0" t="e">
        <f aca="false">Teresa!M8+";7#!vt"</f>
        <v>#VALUE!</v>
      </c>
    </row>
    <row r="29" customFormat="false" ht="15" hidden="false" customHeight="false" outlineLevel="0" collapsed="false">
      <c r="F29" s="0" t="e">
        <f aca="false">Teresa!N8+";7#!vu"</f>
        <v>#VALUE!</v>
      </c>
      <c r="G29" s="0" t="e">
        <f aca="false">Teresa!O8+";7#!vv"</f>
        <v>#VALUE!</v>
      </c>
      <c r="H29" s="0" t="e">
        <f aca="false">Teresa!P8+";7#!vw"</f>
        <v>#VALUE!</v>
      </c>
      <c r="I29" s="0" t="e">
        <f aca="false">Teresa!A9+";7#!vx"</f>
        <v>#VALUE!</v>
      </c>
      <c r="J29" s="0" t="e">
        <f aca="false">Teresa!B9+";7#!vy"</f>
        <v>#VALUE!</v>
      </c>
      <c r="K29" s="0" t="e">
        <f aca="false">Teresa!C9+";7#!vz"</f>
        <v>#VALUE!</v>
      </c>
      <c r="L29" s="0" t="e">
        <f aca="false">Teresa!D9+";7#!v{"</f>
        <v>#VALUE!</v>
      </c>
      <c r="M29" s="0" t="e">
        <f aca="false">Teresa!E9+";7#!v|"</f>
        <v>#VALUE!</v>
      </c>
      <c r="N29" s="0" t="e">
        <f aca="false">Teresa!F9+";7#!v}"</f>
        <v>#VALUE!</v>
      </c>
      <c r="O29" s="0" t="e">
        <f aca="false">Teresa!G9+";7#!v~"</f>
        <v>#VALUE!</v>
      </c>
      <c r="P29" s="0" t="e">
        <f aca="false">Teresa!H9+";7#!w#"</f>
        <v>#VALUE!</v>
      </c>
      <c r="Q29" s="35" t="e">
        <f aca="false">Teresa!I9+";7#!w$"</f>
        <v>#VALUE!</v>
      </c>
      <c r="R29" s="0" t="e">
        <f aca="false">Teresa!J9+";7#!w%"</f>
        <v>#VALUE!</v>
      </c>
      <c r="S29" s="0" t="e">
        <f aca="false">Teresa!K9+";7#!w&amp;"</f>
        <v>#VALUE!</v>
      </c>
      <c r="T29" s="0" t="e">
        <f aca="false">Teresa!L9+";7#!w'"</f>
        <v>#VALUE!</v>
      </c>
      <c r="U29" s="0" t="e">
        <f aca="false">Teresa!M9+";7#!w("</f>
        <v>#VALUE!</v>
      </c>
      <c r="V29" s="0" t="e">
        <f aca="false">Teresa!N9+";7#!w)"</f>
        <v>#VALUE!</v>
      </c>
      <c r="W29" s="0" t="e">
        <f aca="false">Teresa!O9+";7#!w."</f>
        <v>#VALUE!</v>
      </c>
      <c r="X29" s="0" t="e">
        <f aca="false">Teresa!P9+";7#!w/"</f>
        <v>#VALUE!</v>
      </c>
      <c r="Y29" s="0" t="e">
        <f aca="false">Teresa!A10+";7#!w0"</f>
        <v>#VALUE!</v>
      </c>
      <c r="Z29" s="0" t="e">
        <f aca="false">Teresa!B10+";7#!w1"</f>
        <v>#VALUE!</v>
      </c>
      <c r="AA29" s="0" t="e">
        <f aca="false">Teresa!C10+";7#!w2"</f>
        <v>#VALUE!</v>
      </c>
      <c r="AB29" s="0" t="e">
        <f aca="false">Teresa!D10+";7#!w3"</f>
        <v>#VALUE!</v>
      </c>
      <c r="AC29" s="0" t="e">
        <f aca="false">Teresa!E10+";7#!w4"</f>
        <v>#VALUE!</v>
      </c>
      <c r="AD29" s="0" t="e">
        <f aca="false">Teresa!F10+";7#!w5"</f>
        <v>#VALUE!</v>
      </c>
      <c r="AE29" s="0" t="e">
        <f aca="false">Teresa!G10+";7#!w6"</f>
        <v>#VALUE!</v>
      </c>
      <c r="AF29" s="0" t="e">
        <f aca="false">Teresa!H10+";7#!w7"</f>
        <v>#VALUE!</v>
      </c>
      <c r="AG29" s="35" t="e">
        <f aca="false">Teresa!I10+";7#!w8"</f>
        <v>#VALUE!</v>
      </c>
      <c r="AH29" s="0" t="e">
        <f aca="false">Teresa!J10+";7#!w9"</f>
        <v>#VALUE!</v>
      </c>
      <c r="AI29" s="0" t="e">
        <f aca="false">Teresa!K10+";7#!w:"</f>
        <v>#VALUE!</v>
      </c>
      <c r="AJ29" s="0" t="e">
        <f aca="false">Teresa!L10+";7#!w;"</f>
        <v>#VALUE!</v>
      </c>
      <c r="AK29" s="0" t="e">
        <f aca="false">Teresa!M10+";7#!w&lt;"</f>
        <v>#VALUE!</v>
      </c>
      <c r="AL29" s="0" t="e">
        <f aca="false">Teresa!N10+";7#!w="</f>
        <v>#VALUE!</v>
      </c>
      <c r="AM29" s="0" t="e">
        <f aca="false">Teresa!O10+";7#!w&gt;"</f>
        <v>#VALUE!</v>
      </c>
      <c r="AN29" s="0" t="e">
        <f aca="false">Teresa!P10+";7#!w?"</f>
        <v>#VALUE!</v>
      </c>
      <c r="AO29" s="0" t="e">
        <f aca="false">Teresa!A11+";7#!w@"</f>
        <v>#VALUE!</v>
      </c>
      <c r="AP29" s="0" t="e">
        <f aca="false">Teresa!B11+";7#!wA"</f>
        <v>#VALUE!</v>
      </c>
      <c r="AQ29" s="0" t="e">
        <f aca="false">Teresa!C11+";7#!wB"</f>
        <v>#VALUE!</v>
      </c>
      <c r="AR29" s="0" t="e">
        <f aca="false">Teresa!D11+";7#!wC"</f>
        <v>#VALUE!</v>
      </c>
      <c r="AS29" s="0" t="e">
        <f aca="false">Teresa!E11+";7#!wD"</f>
        <v>#VALUE!</v>
      </c>
      <c r="AT29" s="0" t="e">
        <f aca="false">Teresa!F11+";7#!wE"</f>
        <v>#VALUE!</v>
      </c>
      <c r="AU29" s="0" t="e">
        <f aca="false">Teresa!G11+";7#!wF"</f>
        <v>#VALUE!</v>
      </c>
      <c r="AV29" s="0" t="e">
        <f aca="false">Teresa!H11+";7#!wG"</f>
        <v>#VALUE!</v>
      </c>
      <c r="AW29" s="0" t="e">
        <f aca="false">Teresa!I11+";7#!wH"</f>
        <v>#VALUE!</v>
      </c>
      <c r="AX29" s="0" t="e">
        <f aca="false">Teresa!J11+";7#!wI"</f>
        <v>#VALUE!</v>
      </c>
      <c r="AY29" s="0" t="e">
        <f aca="false">Teresa!K11+";7#!wJ"</f>
        <v>#VALUE!</v>
      </c>
      <c r="AZ29" s="0" t="e">
        <f aca="false">Teresa!L11+";7#!wK"</f>
        <v>#VALUE!</v>
      </c>
      <c r="BA29" s="0" t="e">
        <f aca="false">Teresa!M11+";7#!wL"</f>
        <v>#VALUE!</v>
      </c>
      <c r="BB29" s="0" t="e">
        <f aca="false">Teresa!N11+";7#!wM"</f>
        <v>#VALUE!</v>
      </c>
      <c r="BC29" s="0" t="e">
        <f aca="false">Teresa!O11+";7#!wN"</f>
        <v>#VALUE!</v>
      </c>
      <c r="BD29" s="0" t="e">
        <f aca="false">Teresa!P11+";7#!wO"</f>
        <v>#VALUE!</v>
      </c>
      <c r="BE29" s="0" t="e">
        <f aca="false">Teresa!A12+";7#!wP"</f>
        <v>#VALUE!</v>
      </c>
      <c r="BF29" s="0" t="e">
        <f aca="false">Teresa!B12+";7#!wQ"</f>
        <v>#VALUE!</v>
      </c>
      <c r="BG29" s="0" t="e">
        <f aca="false">Teresa!C12+";7#!wR"</f>
        <v>#VALUE!</v>
      </c>
      <c r="BH29" s="0" t="e">
        <f aca="false">Teresa!D12+";7#!wS"</f>
        <v>#VALUE!</v>
      </c>
      <c r="BI29" s="0" t="e">
        <f aca="false">Teresa!E12+";7#!wT"</f>
        <v>#VALUE!</v>
      </c>
      <c r="BJ29" s="0" t="e">
        <f aca="false">Teresa!F12+";7#!wU"</f>
        <v>#VALUE!</v>
      </c>
      <c r="BK29" s="0" t="e">
        <f aca="false">Teresa!G12+";7#!wV"</f>
        <v>#VALUE!</v>
      </c>
      <c r="BL29" s="0" t="e">
        <f aca="false">Teresa!H12+";7#!wW"</f>
        <v>#VALUE!</v>
      </c>
      <c r="BM29" s="0" t="e">
        <f aca="false">Teresa!I12+";7#!wX"</f>
        <v>#VALUE!</v>
      </c>
      <c r="BN29" s="0" t="e">
        <f aca="false">Teresa!J12+";7#!wY"</f>
        <v>#VALUE!</v>
      </c>
      <c r="BO29" s="0" t="e">
        <f aca="false">Teresa!K12+";7#!wZ"</f>
        <v>#VALUE!</v>
      </c>
      <c r="BP29" s="0" t="e">
        <f aca="false">Teresa!L12+";7#!w["</f>
        <v>#VALUE!</v>
      </c>
      <c r="BQ29" s="0" t="e">
        <f aca="false">Teresa!M12+";7#!w\"</f>
        <v>#VALUE!</v>
      </c>
      <c r="BR29" s="0" t="e">
        <f aca="false">Teresa!N12+";7#!w]"</f>
        <v>#VALUE!</v>
      </c>
      <c r="BS29" s="0" t="e">
        <f aca="false">Teresa!O12+";7#!w^"</f>
        <v>#VALUE!</v>
      </c>
      <c r="BT29" s="0" t="e">
        <f aca="false">Teresa!P12+";7#!w_"</f>
        <v>#VALUE!</v>
      </c>
      <c r="BU29" s="0" t="e">
        <f aca="false">Teresa!A13+";7#!w`"</f>
        <v>#VALUE!</v>
      </c>
      <c r="BV29" s="0" t="e">
        <f aca="false">Teresa!B13+";7#!wa"</f>
        <v>#VALUE!</v>
      </c>
      <c r="BW29" s="0" t="e">
        <f aca="false">Teresa!C13+";7#!wb"</f>
        <v>#VALUE!</v>
      </c>
      <c r="BX29" s="0" t="e">
        <f aca="false">Teresa!D13+";7#!wc"</f>
        <v>#VALUE!</v>
      </c>
      <c r="BY29" s="0" t="e">
        <f aca="false">Teresa!E13+";7#!wd"</f>
        <v>#VALUE!</v>
      </c>
      <c r="BZ29" s="0" t="e">
        <f aca="false">Teresa!F13+";7#!we"</f>
        <v>#VALUE!</v>
      </c>
      <c r="CA29" s="0" t="e">
        <f aca="false">Teresa!G13+";7#!wf"</f>
        <v>#VALUE!</v>
      </c>
      <c r="CB29" s="0" t="e">
        <f aca="false">Teresa!H13+";7#!wg"</f>
        <v>#VALUE!</v>
      </c>
      <c r="CC29" s="0" t="e">
        <f aca="false">Teresa!I13+";7#!wh"</f>
        <v>#VALUE!</v>
      </c>
      <c r="CD29" s="0" t="e">
        <f aca="false">Teresa!J13+";7#!wi"</f>
        <v>#VALUE!</v>
      </c>
      <c r="CE29" s="0" t="e">
        <f aca="false">Teresa!K13+";7#!wj"</f>
        <v>#VALUE!</v>
      </c>
      <c r="CF29" s="0" t="e">
        <f aca="false">Teresa!L13+";7#!wk"</f>
        <v>#VALUE!</v>
      </c>
      <c r="CG29" s="0" t="e">
        <f aca="false">Teresa!M13+";7#!wl"</f>
        <v>#VALUE!</v>
      </c>
      <c r="CH29" s="0" t="e">
        <f aca="false">Teresa!N13+";7#!wm"</f>
        <v>#VALUE!</v>
      </c>
      <c r="CI29" s="0" t="e">
        <f aca="false">Teresa!O13+";7#!wn"</f>
        <v>#VALUE!</v>
      </c>
      <c r="CJ29" s="0" t="e">
        <f aca="false">Teresa!P13+";7#!wo"</f>
        <v>#VALUE!</v>
      </c>
      <c r="CK29" s="0" t="e">
        <f aca="false">Teresa!A14+";7#!wp"</f>
        <v>#VALUE!</v>
      </c>
      <c r="CL29" s="0" t="e">
        <f aca="false">Teresa!B14+";7#!wq"</f>
        <v>#VALUE!</v>
      </c>
      <c r="CM29" s="0" t="e">
        <f aca="false">Teresa!C14+";7#!wr"</f>
        <v>#VALUE!</v>
      </c>
      <c r="CN29" s="0" t="e">
        <f aca="false">Teresa!D14+";7#!ws"</f>
        <v>#VALUE!</v>
      </c>
      <c r="CO29" s="0" t="e">
        <f aca="false">Teresa!E14+";7#!wt"</f>
        <v>#VALUE!</v>
      </c>
      <c r="CP29" s="0" t="e">
        <f aca="false">Teresa!F14+";7#!wu"</f>
        <v>#VALUE!</v>
      </c>
      <c r="CQ29" s="0" t="e">
        <f aca="false">Teresa!G14+";7#!wv"</f>
        <v>#VALUE!</v>
      </c>
      <c r="CR29" s="0" t="e">
        <f aca="false">Teresa!H14+";7#!ww"</f>
        <v>#VALUE!</v>
      </c>
      <c r="CS29" s="0" t="e">
        <f aca="false">Teresa!I14+";7#!wx"</f>
        <v>#VALUE!</v>
      </c>
      <c r="CT29" s="0" t="e">
        <f aca="false">Teresa!J14+";7#!wy"</f>
        <v>#VALUE!</v>
      </c>
      <c r="CU29" s="0" t="e">
        <f aca="false">Teresa!K14+";7#!wz"</f>
        <v>#VALUE!</v>
      </c>
      <c r="CV29" s="0" t="e">
        <f aca="false">Teresa!L14+";7#!w{"</f>
        <v>#VALUE!</v>
      </c>
      <c r="CW29" s="0" t="e">
        <f aca="false">Teresa!M14+";7#!w|"</f>
        <v>#VALUE!</v>
      </c>
      <c r="CX29" s="0" t="e">
        <f aca="false">Teresa!N14+";7#!w}"</f>
        <v>#VALUE!</v>
      </c>
      <c r="CY29" s="0" t="e">
        <f aca="false">Teresa!O14+";7#!w~"</f>
        <v>#VALUE!</v>
      </c>
      <c r="CZ29" s="0" t="e">
        <f aca="false">Teresa!P14+";7#!x#"</f>
        <v>#VALUE!</v>
      </c>
      <c r="DA29" s="0" t="e">
        <f aca="false">Teresa!A15+";7#!x$"</f>
        <v>#VALUE!</v>
      </c>
      <c r="DB29" s="0" t="e">
        <f aca="false">Teresa!B15+";7#!x%"</f>
        <v>#VALUE!</v>
      </c>
      <c r="DC29" s="0" t="e">
        <f aca="false">Teresa!C15+";7#!x&amp;"</f>
        <v>#VALUE!</v>
      </c>
      <c r="DD29" s="0" t="e">
        <f aca="false">Teresa!D15+";7#!x'"</f>
        <v>#VALUE!</v>
      </c>
      <c r="DE29" s="0" t="e">
        <f aca="false">Teresa!E15+";7#!x("</f>
        <v>#VALUE!</v>
      </c>
      <c r="DF29" s="0" t="e">
        <f aca="false">Teresa!F15+";7#!x)"</f>
        <v>#VALUE!</v>
      </c>
      <c r="DG29" s="0" t="e">
        <f aca="false">Teresa!G15+";7#!x."</f>
        <v>#VALUE!</v>
      </c>
      <c r="DH29" s="0" t="e">
        <f aca="false">Teresa!H15+";7#!x/"</f>
        <v>#VALUE!</v>
      </c>
      <c r="DI29" s="0" t="e">
        <f aca="false">Teresa!I15+";7#!x0"</f>
        <v>#VALUE!</v>
      </c>
      <c r="DJ29" s="0" t="e">
        <f aca="false">Teresa!J15+";7#!x1"</f>
        <v>#VALUE!</v>
      </c>
      <c r="DK29" s="0" t="e">
        <f aca="false">Teresa!K15+";7#!x2"</f>
        <v>#VALUE!</v>
      </c>
      <c r="DL29" s="0" t="e">
        <f aca="false">Teresa!L15+";7#!x3"</f>
        <v>#VALUE!</v>
      </c>
      <c r="DM29" s="0" t="e">
        <f aca="false">Teresa!M15+";7#!x4"</f>
        <v>#VALUE!</v>
      </c>
      <c r="DN29" s="0" t="e">
        <f aca="false">Teresa!N15+";7#!x5"</f>
        <v>#VALUE!</v>
      </c>
      <c r="DO29" s="0" t="e">
        <f aca="false">Teresa!O15+";7#!x6"</f>
        <v>#VALUE!</v>
      </c>
      <c r="DP29" s="0" t="e">
        <f aca="false">Teresa!P15+";7#!x7"</f>
        <v>#VALUE!</v>
      </c>
      <c r="DQ29" s="0" t="e">
        <f aca="false">Teresa!A16+";7#!x8"</f>
        <v>#VALUE!</v>
      </c>
      <c r="DR29" s="0" t="e">
        <f aca="false">Teresa!B16+";7#!x9"</f>
        <v>#VALUE!</v>
      </c>
      <c r="DS29" s="0" t="e">
        <f aca="false">Teresa!C16+";7#!x:"</f>
        <v>#VALUE!</v>
      </c>
      <c r="DT29" s="0" t="e">
        <f aca="false">Teresa!D16+";7#!x;"</f>
        <v>#VALUE!</v>
      </c>
      <c r="DU29" s="0" t="e">
        <f aca="false">Teresa!E16+";7#!x&lt;"</f>
        <v>#VALUE!</v>
      </c>
      <c r="DV29" s="0" t="e">
        <f aca="false">Teresa!F16+";7#!x="</f>
        <v>#VALUE!</v>
      </c>
      <c r="DW29" s="0" t="e">
        <f aca="false">Teresa!G16+";7#!x&gt;"</f>
        <v>#VALUE!</v>
      </c>
      <c r="DX29" s="0" t="e">
        <f aca="false">Teresa!H16+";7#!x?"</f>
        <v>#VALUE!</v>
      </c>
      <c r="DY29" s="0" t="e">
        <f aca="false">Teresa!I16+";7#!x@"</f>
        <v>#VALUE!</v>
      </c>
      <c r="DZ29" s="0" t="e">
        <f aca="false">Teresa!J16+";7#!xA"</f>
        <v>#VALUE!</v>
      </c>
      <c r="EA29" s="0" t="e">
        <f aca="false">Teresa!K16+";7#!xB"</f>
        <v>#VALUE!</v>
      </c>
      <c r="EB29" s="0" t="e">
        <f aca="false">Teresa!L16+";7#!xC"</f>
        <v>#VALUE!</v>
      </c>
      <c r="EC29" s="0" t="e">
        <f aca="false">Teresa!M16+";7#!xD"</f>
        <v>#VALUE!</v>
      </c>
      <c r="ED29" s="0" t="e">
        <f aca="false">Teresa!N16+";7#!xE"</f>
        <v>#VALUE!</v>
      </c>
      <c r="EE29" s="0" t="e">
        <f aca="false">Teresa!O16+";7#!xF"</f>
        <v>#VALUE!</v>
      </c>
      <c r="EF29" s="0" t="e">
        <f aca="false">Teresa!P16+";7#!xG"</f>
        <v>#VALUE!</v>
      </c>
      <c r="EG29" s="0" t="e">
        <f aca="false">Teresa!A17+";7#!xH"</f>
        <v>#VALUE!</v>
      </c>
      <c r="EH29" s="0" t="e">
        <f aca="false">Teresa!B17+";7#!xI"</f>
        <v>#VALUE!</v>
      </c>
      <c r="EI29" s="0" t="e">
        <f aca="false">Teresa!C17+";7#!xJ"</f>
        <v>#VALUE!</v>
      </c>
      <c r="EJ29" s="0" t="e">
        <f aca="false">Teresa!D17+";7#!xK"</f>
        <v>#VALUE!</v>
      </c>
      <c r="EK29" s="0" t="e">
        <f aca="false">Teresa!E17+";7#!xL"</f>
        <v>#VALUE!</v>
      </c>
      <c r="EL29" s="0" t="e">
        <f aca="false">Teresa!F17+";7#!xM"</f>
        <v>#VALUE!</v>
      </c>
      <c r="EM29" s="0" t="e">
        <f aca="false">Teresa!G17+";7#!xN"</f>
        <v>#VALUE!</v>
      </c>
      <c r="EN29" s="0" t="e">
        <f aca="false">Teresa!H17+";7#!xO"</f>
        <v>#VALUE!</v>
      </c>
      <c r="EO29" s="0" t="e">
        <f aca="false">Teresa!I17+";7#!xP"</f>
        <v>#VALUE!</v>
      </c>
      <c r="EP29" s="0" t="e">
        <f aca="false">Teresa!J17+";7#!xQ"</f>
        <v>#VALUE!</v>
      </c>
      <c r="EQ29" s="0" t="e">
        <f aca="false">Teresa!K17+";7#!xR"</f>
        <v>#VALUE!</v>
      </c>
      <c r="ER29" s="0" t="e">
        <f aca="false">Teresa!L17+";7#!xS"</f>
        <v>#VALUE!</v>
      </c>
      <c r="ES29" s="0" t="e">
        <f aca="false">Teresa!M17+";7#!xT"</f>
        <v>#VALUE!</v>
      </c>
      <c r="ET29" s="0" t="e">
        <f aca="false">Teresa!N17+";7#!xU"</f>
        <v>#VALUE!</v>
      </c>
      <c r="EU29" s="0" t="e">
        <f aca="false">Teresa!O17+";7#!xV"</f>
        <v>#VALUE!</v>
      </c>
      <c r="EV29" s="0" t="e">
        <f aca="false">Teresa!P17+";7#!xW"</f>
        <v>#VALUE!</v>
      </c>
      <c r="EW29" s="0" t="e">
        <f aca="false">Teresa!A18+";7#!xX"</f>
        <v>#VALUE!</v>
      </c>
      <c r="EX29" s="0" t="e">
        <f aca="false">Teresa!B18+";7#!xY"</f>
        <v>#VALUE!</v>
      </c>
      <c r="EY29" s="0" t="e">
        <f aca="false">Teresa!C18+";7#!xZ"</f>
        <v>#N/A</v>
      </c>
      <c r="EZ29" s="0" t="e">
        <f aca="false">Teresa!D18+";7#!x["</f>
        <v>#VALUE!</v>
      </c>
      <c r="FA29" s="0" t="e">
        <f aca="false">Teresa!E18+";7#!x\"</f>
        <v>#VALUE!</v>
      </c>
      <c r="FB29" s="0" t="e">
        <f aca="false">Teresa!F18+";7#!x]"</f>
        <v>#VALUE!</v>
      </c>
      <c r="FC29" s="0" t="e">
        <f aca="false">Teresa!G18+";7#!x^"</f>
        <v>#VALUE!</v>
      </c>
      <c r="FD29" s="0" t="e">
        <f aca="false">Teresa!H18+";7#!x_"</f>
        <v>#VALUE!</v>
      </c>
      <c r="FE29" s="0" t="e">
        <f aca="false">Teresa!I18+";7#!x`"</f>
        <v>#VALUE!</v>
      </c>
      <c r="FF29" s="0" t="e">
        <f aca="false">Teresa!J18+";7#!xa"</f>
        <v>#VALUE!</v>
      </c>
      <c r="FG29" s="0" t="e">
        <f aca="false">Teresa!K18+";7#!xb"</f>
        <v>#VALUE!</v>
      </c>
      <c r="FH29" s="0" t="e">
        <f aca="false">Teresa!L18+";7#!xc"</f>
        <v>#VALUE!</v>
      </c>
      <c r="FI29" s="0" t="e">
        <f aca="false">Teresa!M18+";7#!xd"</f>
        <v>#VALUE!</v>
      </c>
      <c r="FJ29" s="0" t="e">
        <f aca="false">Teresa!N18+";7#!xe"</f>
        <v>#VALUE!</v>
      </c>
      <c r="FK29" s="0" t="e">
        <f aca="false">Teresa!O18+";7#!xf"</f>
        <v>#VALUE!</v>
      </c>
      <c r="FL29" s="0" t="e">
        <f aca="false">Teresa!P18+";7#!xg"</f>
        <v>#VALUE!</v>
      </c>
      <c r="FM29" s="0" t="e">
        <f aca="false">Teresa!A19+";7#!xh"</f>
        <v>#VALUE!</v>
      </c>
      <c r="FN29" s="0" t="e">
        <f aca="false">Teresa!B19+";7#!xi"</f>
        <v>#VALUE!</v>
      </c>
      <c r="FO29" s="0" t="e">
        <f aca="false">Teresa!C19+";7#!xj"</f>
        <v>#N/A</v>
      </c>
      <c r="FP29" s="0" t="e">
        <f aca="false">Teresa!D19+";7#!xk"</f>
        <v>#VALUE!</v>
      </c>
      <c r="FQ29" s="0" t="e">
        <f aca="false">Teresa!E19+";7#!xl"</f>
        <v>#VALUE!</v>
      </c>
      <c r="FR29" s="0" t="e">
        <f aca="false">Teresa!F19+";7#!xm"</f>
        <v>#VALUE!</v>
      </c>
      <c r="FS29" s="0" t="e">
        <f aca="false">Teresa!G19+";7#!xn"</f>
        <v>#VALUE!</v>
      </c>
      <c r="FT29" s="0" t="e">
        <f aca="false">Teresa!H19+";7#!xo"</f>
        <v>#VALUE!</v>
      </c>
      <c r="FU29" s="0" t="e">
        <f aca="false">Teresa!I19+";7#!xp"</f>
        <v>#VALUE!</v>
      </c>
      <c r="FV29" s="0" t="e">
        <f aca="false">Teresa!J19+";7#!xq"</f>
        <v>#VALUE!</v>
      </c>
      <c r="FW29" s="0" t="e">
        <f aca="false">Teresa!K19+";7#!xr"</f>
        <v>#VALUE!</v>
      </c>
      <c r="FX29" s="0" t="e">
        <f aca="false">Teresa!L19+";7#!xs"</f>
        <v>#VALUE!</v>
      </c>
      <c r="FY29" s="0" t="e">
        <f aca="false">Teresa!M19+";7#!xt"</f>
        <v>#VALUE!</v>
      </c>
      <c r="FZ29" s="0" t="e">
        <f aca="false">Teresa!N19+";7#!xu"</f>
        <v>#VALUE!</v>
      </c>
      <c r="GA29" s="0" t="e">
        <f aca="false">Teresa!O19+";7#!xv"</f>
        <v>#VALUE!</v>
      </c>
      <c r="GB29" s="0" t="e">
        <f aca="false">Teresa!P19+";7#!xw"</f>
        <v>#VALUE!</v>
      </c>
      <c r="GC29" s="0" t="e">
        <f aca="false">Teresa!A20+";7#!xx"</f>
        <v>#VALUE!</v>
      </c>
      <c r="GD29" s="0" t="e">
        <f aca="false">Teresa!B20+";7#!xy"</f>
        <v>#VALUE!</v>
      </c>
      <c r="GE29" s="0" t="e">
        <f aca="false">Teresa!C20+";7#!xz"</f>
        <v>#N/A</v>
      </c>
      <c r="GF29" s="0" t="e">
        <f aca="false">Teresa!D20+";7#!x{"</f>
        <v>#VALUE!</v>
      </c>
      <c r="GG29" s="0" t="e">
        <f aca="false">Teresa!E20+";7#!x|"</f>
        <v>#VALUE!</v>
      </c>
      <c r="GH29" s="0" t="e">
        <f aca="false">Teresa!F20+";7#!x}"</f>
        <v>#VALUE!</v>
      </c>
      <c r="GI29" s="0" t="e">
        <f aca="false">Teresa!G20+";7#!x~"</f>
        <v>#VALUE!</v>
      </c>
      <c r="GJ29" s="0" t="e">
        <f aca="false">Teresa!H20+";7#!y#"</f>
        <v>#VALUE!</v>
      </c>
      <c r="GK29" s="0" t="e">
        <f aca="false">Teresa!I20+";7#!y$"</f>
        <v>#VALUE!</v>
      </c>
      <c r="GL29" s="0" t="e">
        <f aca="false">Teresa!J20+";7#!y%"</f>
        <v>#VALUE!</v>
      </c>
      <c r="GM29" s="0" t="e">
        <f aca="false">Teresa!K20+";7#!y&amp;"</f>
        <v>#VALUE!</v>
      </c>
      <c r="GN29" s="0" t="e">
        <f aca="false">Teresa!L20+";7#!y'"</f>
        <v>#VALUE!</v>
      </c>
      <c r="GO29" s="0" t="e">
        <f aca="false">Teresa!M20+";7#!y("</f>
        <v>#VALUE!</v>
      </c>
      <c r="GP29" s="0" t="e">
        <f aca="false">Teresa!N20+";7#!y)"</f>
        <v>#VALUE!</v>
      </c>
      <c r="GQ29" s="0" t="e">
        <f aca="false">Teresa!O20+";7#!y."</f>
        <v>#VALUE!</v>
      </c>
      <c r="GR29" s="0" t="e">
        <f aca="false">Teresa!P20+";7#!y/"</f>
        <v>#VALUE!</v>
      </c>
      <c r="GS29" s="0" t="e">
        <f aca="false">Teresa!A21+";7#!y0"</f>
        <v>#VALUE!</v>
      </c>
      <c r="GT29" s="0" t="e">
        <f aca="false">Teresa!B21+";7#!y1"</f>
        <v>#VALUE!</v>
      </c>
      <c r="GU29" s="0" t="e">
        <f aca="false">Teresa!C21+";7#!y2"</f>
        <v>#N/A</v>
      </c>
      <c r="GV29" s="0" t="e">
        <f aca="false">Teresa!D21+";7#!y3"</f>
        <v>#VALUE!</v>
      </c>
      <c r="GW29" s="0" t="e">
        <f aca="false">Teresa!E21+";7#!y4"</f>
        <v>#VALUE!</v>
      </c>
      <c r="GX29" s="0" t="e">
        <f aca="false">Teresa!F21+";7#!y5"</f>
        <v>#VALUE!</v>
      </c>
      <c r="GY29" s="0" t="e">
        <f aca="false">Teresa!G21+";7#!y6"</f>
        <v>#VALUE!</v>
      </c>
      <c r="GZ29" s="0" t="e">
        <f aca="false">Teresa!H21+";7#!y7"</f>
        <v>#VALUE!</v>
      </c>
      <c r="HA29" s="0" t="e">
        <f aca="false">Teresa!I21+";7#!y8"</f>
        <v>#VALUE!</v>
      </c>
      <c r="HB29" s="0" t="e">
        <f aca="false">Teresa!J21+";7#!y9"</f>
        <v>#VALUE!</v>
      </c>
      <c r="HC29" s="0" t="e">
        <f aca="false">Teresa!K21+";7#!y:"</f>
        <v>#VALUE!</v>
      </c>
      <c r="HD29" s="0" t="e">
        <f aca="false">Teresa!L21+";7#!y;"</f>
        <v>#VALUE!</v>
      </c>
      <c r="HE29" s="0" t="e">
        <f aca="false">Teresa!M21+";7#!y&lt;"</f>
        <v>#VALUE!</v>
      </c>
      <c r="HF29" s="0" t="e">
        <f aca="false">Teresa!N21+";7#!y="</f>
        <v>#VALUE!</v>
      </c>
      <c r="HG29" s="0" t="e">
        <f aca="false">Teresa!O21+";7#!y&gt;"</f>
        <v>#VALUE!</v>
      </c>
      <c r="HH29" s="0" t="e">
        <f aca="false">Teresa!P21+";7#!y?"</f>
        <v>#VALUE!</v>
      </c>
      <c r="HI29" s="0" t="e">
        <f aca="false">Teresa!A22+";7#!y@"</f>
        <v>#VALUE!</v>
      </c>
      <c r="HJ29" s="0" t="e">
        <f aca="false">Teresa!B22+";7#!yA"</f>
        <v>#VALUE!</v>
      </c>
      <c r="HK29" s="0" t="e">
        <f aca="false">Teresa!C22+";7#!yB"</f>
        <v>#N/A</v>
      </c>
      <c r="HL29" s="0" t="e">
        <f aca="false">Teresa!D22+";7#!yC"</f>
        <v>#VALUE!</v>
      </c>
      <c r="HM29" s="0" t="e">
        <f aca="false">Teresa!E22+";7#!yD"</f>
        <v>#VALUE!</v>
      </c>
      <c r="HN29" s="0" t="e">
        <f aca="false">Teresa!F22+";7#!yE"</f>
        <v>#VALUE!</v>
      </c>
      <c r="HO29" s="0" t="e">
        <f aca="false">Teresa!G22+";7#!yF"</f>
        <v>#VALUE!</v>
      </c>
      <c r="HP29" s="0" t="e">
        <f aca="false">Teresa!H22+";7#!yG"</f>
        <v>#VALUE!</v>
      </c>
      <c r="HQ29" s="0" t="e">
        <f aca="false">Teresa!I22+";7#!yH"</f>
        <v>#VALUE!</v>
      </c>
      <c r="HR29" s="0" t="e">
        <f aca="false">Teresa!J22+";7#!yI"</f>
        <v>#VALUE!</v>
      </c>
      <c r="HS29" s="0" t="e">
        <f aca="false">Teresa!K22+";7#!yJ"</f>
        <v>#VALUE!</v>
      </c>
      <c r="HT29" s="0" t="e">
        <f aca="false">Teresa!L22+";7#!yK"</f>
        <v>#VALUE!</v>
      </c>
      <c r="HU29" s="0" t="e">
        <f aca="false">Teresa!M22+";7#!yL"</f>
        <v>#VALUE!</v>
      </c>
      <c r="HV29" s="0" t="e">
        <f aca="false">Teresa!N22+";7#!yM"</f>
        <v>#VALUE!</v>
      </c>
      <c r="HW29" s="0" t="e">
        <f aca="false">Teresa!O22+";7#!yN"</f>
        <v>#VALUE!</v>
      </c>
      <c r="HX29" s="0" t="e">
        <f aca="false">Teresa!P22+";7#!yO"</f>
        <v>#VALUE!</v>
      </c>
      <c r="HY29" s="0" t="e">
        <f aca="false">Teresa!A23+";7#!yP"</f>
        <v>#VALUE!</v>
      </c>
      <c r="HZ29" s="0" t="e">
        <f aca="false">Teresa!B23+";7#!yQ"</f>
        <v>#VALUE!</v>
      </c>
      <c r="IA29" s="0" t="e">
        <f aca="false">Teresa!C23+";7#!yR"</f>
        <v>#VALUE!</v>
      </c>
      <c r="IB29" s="35" t="e">
        <f aca="false">Teresa!D23+";7#!yS"</f>
        <v>#VALUE!</v>
      </c>
      <c r="IC29" s="35" t="e">
        <f aca="false">Teresa!E23+";7#!yT"</f>
        <v>#VALUE!</v>
      </c>
      <c r="ID29" s="35" t="e">
        <f aca="false">Teresa!F23+";7#!yU"</f>
        <v>#VALUE!</v>
      </c>
      <c r="IE29" s="35" t="e">
        <f aca="false">Teresa!G23+";7#!yV"</f>
        <v>#VALUE!</v>
      </c>
      <c r="IF29" s="35" t="e">
        <f aca="false">Teresa!H23+";7#!yW"</f>
        <v>#VALUE!</v>
      </c>
      <c r="IG29" s="35" t="e">
        <f aca="false">Teresa!I23+";7#!yX"</f>
        <v>#VALUE!</v>
      </c>
      <c r="IH29" s="35" t="e">
        <f aca="false">Teresa!J23+";7#!yY"</f>
        <v>#VALUE!</v>
      </c>
      <c r="II29" s="35" t="e">
        <f aca="false">Teresa!K23+";7#!yZ"</f>
        <v>#VALUE!</v>
      </c>
      <c r="IJ29" s="35" t="e">
        <f aca="false">Teresa!L23+";7#!y["</f>
        <v>#VALUE!</v>
      </c>
      <c r="IK29" s="35" t="e">
        <f aca="false">Teresa!M23+";7#!y\"</f>
        <v>#VALUE!</v>
      </c>
      <c r="IL29" s="35" t="e">
        <f aca="false">Teresa!N23+";7#!y]"</f>
        <v>#VALUE!</v>
      </c>
      <c r="IM29" s="35" t="e">
        <f aca="false">Teresa!O23+";7#!y^"</f>
        <v>#VALUE!</v>
      </c>
      <c r="IN29" s="35" t="e">
        <f aca="false">Teresa!P23+";7#!y_"</f>
        <v>#VALUE!</v>
      </c>
      <c r="IO29" s="0" t="e">
        <f aca="false">Teresa!A24+";7#!y`"</f>
        <v>#VALUE!</v>
      </c>
      <c r="IP29" s="0" t="e">
        <f aca="false">Teresa!B24+";7#!ya"</f>
        <v>#VALUE!</v>
      </c>
      <c r="IQ29" s="0" t="e">
        <f aca="false">Teresa!C24+";7#!yb"</f>
        <v>#VALUE!</v>
      </c>
      <c r="IR29" s="35" t="e">
        <f aca="false">Teresa!D24+";7#!yc"</f>
        <v>#VALUE!</v>
      </c>
      <c r="IS29" s="35" t="e">
        <f aca="false">Teresa!E24+";7#!yd"</f>
        <v>#VALUE!</v>
      </c>
      <c r="IT29" s="35" t="e">
        <f aca="false">Teresa!F24+";7#!ye"</f>
        <v>#VALUE!</v>
      </c>
      <c r="IU29" s="35" t="e">
        <f aca="false">Teresa!G24+";7#!yf"</f>
        <v>#VALUE!</v>
      </c>
      <c r="IV29" s="35" t="e">
        <f aca="false">Teresa!H24+";7#!yg"</f>
        <v>#VALUE!</v>
      </c>
    </row>
    <row r="30" customFormat="false" ht="15" hidden="false" customHeight="false" outlineLevel="0" collapsed="false">
      <c r="F30" s="35" t="e">
        <f aca="false">Teresa!I24+";7#!yh"</f>
        <v>#VALUE!</v>
      </c>
      <c r="G30" s="35" t="e">
        <f aca="false">Teresa!J24+";7#!yi"</f>
        <v>#VALUE!</v>
      </c>
      <c r="H30" s="35" t="e">
        <f aca="false">Teresa!K24+";7#!yj"</f>
        <v>#VALUE!</v>
      </c>
      <c r="I30" s="35" t="e">
        <f aca="false">Teresa!L24+";7#!yk"</f>
        <v>#VALUE!</v>
      </c>
      <c r="J30" s="35" t="e">
        <f aca="false">Teresa!M24+";7#!yl"</f>
        <v>#VALUE!</v>
      </c>
      <c r="K30" s="35" t="e">
        <f aca="false">Teresa!N24+";7#!ym"</f>
        <v>#VALUE!</v>
      </c>
      <c r="L30" s="35" t="e">
        <f aca="false">Teresa!O24+";7#!yn"</f>
        <v>#VALUE!</v>
      </c>
      <c r="M30" s="35" t="e">
        <f aca="false">Teresa!P24+";7#!yo"</f>
        <v>#VALUE!</v>
      </c>
      <c r="N30" s="0" t="e">
        <f aca="false">Teresa!A25+";7#!yp"</f>
        <v>#VALUE!</v>
      </c>
      <c r="O30" s="0" t="e">
        <f aca="false">Teresa!B25+";7#!yq"</f>
        <v>#VALUE!</v>
      </c>
      <c r="P30" s="0" t="e">
        <f aca="false">Teresa!C25+";7#!yr"</f>
        <v>#VALUE!</v>
      </c>
      <c r="Q30" s="35" t="e">
        <f aca="false">Teresa!D25+";7#!ys"</f>
        <v>#VALUE!</v>
      </c>
      <c r="R30" s="35" t="e">
        <f aca="false">Teresa!E25+";7#!yt"</f>
        <v>#VALUE!</v>
      </c>
      <c r="S30" s="35" t="e">
        <f aca="false">Teresa!F25+";7#!yu"</f>
        <v>#VALUE!</v>
      </c>
      <c r="T30" s="35" t="e">
        <f aca="false">Teresa!G25+";7#!yv"</f>
        <v>#VALUE!</v>
      </c>
      <c r="U30" s="35" t="e">
        <f aca="false">Teresa!H25+";7#!yw"</f>
        <v>#VALUE!</v>
      </c>
      <c r="V30" s="35" t="e">
        <f aca="false">Teresa!I25+";7#!yx"</f>
        <v>#VALUE!</v>
      </c>
      <c r="W30" s="35" t="e">
        <f aca="false">Teresa!J25+";7#!yy"</f>
        <v>#VALUE!</v>
      </c>
      <c r="X30" s="35" t="e">
        <f aca="false">Teresa!K25+";7#!yz"</f>
        <v>#VALUE!</v>
      </c>
      <c r="Y30" s="35" t="e">
        <f aca="false">Teresa!L25+";7#!y{"</f>
        <v>#VALUE!</v>
      </c>
      <c r="Z30" s="35" t="e">
        <f aca="false">Teresa!M25+";7#!y|"</f>
        <v>#VALUE!</v>
      </c>
      <c r="AA30" s="35" t="e">
        <f aca="false">Teresa!N25+";7#!y}"</f>
        <v>#VALUE!</v>
      </c>
      <c r="AB30" s="35" t="e">
        <f aca="false">Teresa!O25+";7#!y~"</f>
        <v>#VALUE!</v>
      </c>
      <c r="AC30" s="35" t="e">
        <f aca="false">Teresa!P25+";7#!z#"</f>
        <v>#VALUE!</v>
      </c>
      <c r="AD30" s="0" t="e">
        <f aca="false">Teresa!A26+";7#!z$"</f>
        <v>#VALUE!</v>
      </c>
      <c r="AE30" s="0" t="e">
        <f aca="false">Teresa!B26+";7#!z%"</f>
        <v>#VALUE!</v>
      </c>
      <c r="AF30" s="0" t="e">
        <f aca="false">Teresa!C26+";7#!z&amp;"</f>
        <v>#VALUE!</v>
      </c>
      <c r="AG30" s="36" t="e">
        <f aca="false">Teresa!D26+";7#!z'"</f>
        <v>#VALUE!</v>
      </c>
      <c r="AH30" s="36" t="e">
        <f aca="false">Teresa!E26+";7#!z("</f>
        <v>#VALUE!</v>
      </c>
      <c r="AI30" s="36" t="e">
        <f aca="false">Teresa!F26+";7#!z)"</f>
        <v>#VALUE!</v>
      </c>
      <c r="AJ30" s="36" t="e">
        <f aca="false">Teresa!G26+";7#!z."</f>
        <v>#VALUE!</v>
      </c>
      <c r="AK30" s="36" t="e">
        <f aca="false">Teresa!H26+";7#!z/"</f>
        <v>#DIV/0!</v>
      </c>
      <c r="AL30" s="36" t="e">
        <f aca="false">Teresa!I26+";7#!z0"</f>
        <v>#DIV/0!</v>
      </c>
      <c r="AM30" s="36" t="e">
        <f aca="false">Teresa!J26+";7#!z1"</f>
        <v>#DIV/0!</v>
      </c>
      <c r="AN30" s="36" t="e">
        <f aca="false">Teresa!K26+";7#!z2"</f>
        <v>#DIV/0!</v>
      </c>
      <c r="AO30" s="36" t="e">
        <f aca="false">Teresa!L26+";7#!z3"</f>
        <v>#DIV/0!</v>
      </c>
      <c r="AP30" s="36" t="e">
        <f aca="false">Teresa!M26+";7#!z4"</f>
        <v>#DIV/0!</v>
      </c>
      <c r="AQ30" s="36" t="e">
        <f aca="false">Teresa!N26+";7#!z5"</f>
        <v>#DIV/0!</v>
      </c>
      <c r="AR30" s="36" t="e">
        <f aca="false">Teresa!O26+";7#!z6"</f>
        <v>#DIV/0!</v>
      </c>
      <c r="AS30" s="36" t="e">
        <f aca="false">Teresa!P26+";7#!z7"</f>
        <v>#VALUE!</v>
      </c>
      <c r="AT30" s="0" t="e">
        <f aca="false">Guillaume_VIE!A:A*";7#!z8"</f>
        <v>#VALUE!</v>
      </c>
      <c r="AU30" s="0" t="e">
        <f aca="false">Guillaume_VIE!B:B*";7#!z9"</f>
        <v>#VALUE!</v>
      </c>
      <c r="AV30" s="0" t="e">
        <f aca="false">Guillaume_VIE!C:C*";7#!z:"</f>
        <v>#VALUE!</v>
      </c>
      <c r="AW30" s="0" t="e">
        <f aca="false">Guillaume_VIE!D:D*";7#!z;"</f>
        <v>#VALUE!</v>
      </c>
      <c r="AX30" s="0" t="e">
        <f aca="false">Guillaume_VIE!E:E*";7#!z&lt;"</f>
        <v>#VALUE!</v>
      </c>
      <c r="AY30" s="0" t="e">
        <f aca="false">Guillaume_VIE!F:F*";7#!z="</f>
        <v>#VALUE!</v>
      </c>
      <c r="AZ30" s="0" t="e">
        <f aca="false">Guillaume_VIE!G:G*";7#!z&gt;"</f>
        <v>#VALUE!</v>
      </c>
      <c r="BA30" s="0" t="e">
        <f aca="false">Guillaume_VIE!H:H*";7#!z?"</f>
        <v>#VALUE!</v>
      </c>
      <c r="BB30" s="0" t="e">
        <f aca="false">Guillaume_VIE!I:I*";7#!z@"</f>
        <v>#VALUE!</v>
      </c>
      <c r="BC30" s="0" t="e">
        <f aca="false">Guillaume_VIE!J:J*";7#!zA"</f>
        <v>#VALUE!</v>
      </c>
      <c r="BD30" s="0" t="e">
        <f aca="false">Guillaume_VIE!K:K*";7#!zB"</f>
        <v>#VALUE!</v>
      </c>
      <c r="BE30" s="0" t="e">
        <f aca="false">Guillaume_VIE!L:L*";7#!zC"</f>
        <v>#VALUE!</v>
      </c>
      <c r="BF30" s="0" t="e">
        <f aca="false">Guillaume_VIE!M:M*";7#!zD"</f>
        <v>#VALUE!</v>
      </c>
      <c r="BG30" s="0" t="e">
        <f aca="false">Guillaume_VIE!N:N*";7#!zE"</f>
        <v>#VALUE!</v>
      </c>
      <c r="BH30" s="0" t="e">
        <f aca="false">Guillaume_VIE!O:O*";7#!zF"</f>
        <v>#VALUE!</v>
      </c>
      <c r="BI30" s="0" t="e">
        <f aca="false">Guillaume_VIE!P:P*";7#!zG"</f>
        <v>#VALUE!</v>
      </c>
      <c r="BJ30" s="0" t="e">
        <f aca="false">Guillaume_VIE!Q:Q*";7#!zH"</f>
        <v>#VALUE!</v>
      </c>
      <c r="BK30" s="0" t="e">
        <f aca="false">Guillaume_VIE!R:R*";7#!zI"</f>
        <v>#VALUE!</v>
      </c>
      <c r="BL30" s="0" t="e">
        <f aca="false">Guillaume_VIE!S:S*";7#!zJ"</f>
        <v>#VALUE!</v>
      </c>
      <c r="BM30" s="0" t="e">
        <f aca="false">Guillaume_VIE!T:T*";7#!zK"</f>
        <v>#VALUE!</v>
      </c>
      <c r="BN30" s="0" t="e">
        <f aca="false">Guillaume_VIE!U:U*";7#!zL"</f>
        <v>#VALUE!</v>
      </c>
      <c r="BO30" s="0" t="e">
        <f aca="false">Guillaume_VIE!V:V*";7#!zM"</f>
        <v>#VALUE!</v>
      </c>
      <c r="BP30" s="0" t="e">
        <f aca="false">Guillaume_VIE!W:W*";7#!zN"</f>
        <v>#VALUE!</v>
      </c>
      <c r="BQ30" s="0" t="e">
        <f aca="false">Guillaume_VIE!X:X*";7#!zO"</f>
        <v>#VALUE!</v>
      </c>
      <c r="BR30" s="0" t="e">
        <f aca="false">Guillaume_VIE!Y:Y*";7#!zP"</f>
        <v>#VALUE!</v>
      </c>
      <c r="BS30" s="0" t="e">
        <f aca="false">Guillaume_VIE!Z:Z*";7#!zQ"</f>
        <v>#VALUE!</v>
      </c>
      <c r="BT30" s="0" t="e">
        <f aca="false">Guillaume_VIE!AA:AA*";7#!zR"</f>
        <v>#VALUE!</v>
      </c>
      <c r="BU30" s="0" t="e">
        <f aca="false">Guillaume_VIE!AB:AB*";7#!zS"</f>
        <v>#VALUE!</v>
      </c>
      <c r="BV30" s="0" t="e">
        <f aca="false">Guillaume_VIE!AC:AC*";7#!zT"</f>
        <v>#VALUE!</v>
      </c>
      <c r="BW30" s="0" t="e">
        <f aca="false">Guillaume_VIE!AD:AD*";7#!zU"</f>
        <v>#VALUE!</v>
      </c>
      <c r="BX30" s="0" t="e">
        <f aca="false">Guillaume_VIE!AE:AE*";7#!zV"</f>
        <v>#VALUE!</v>
      </c>
      <c r="BY30" s="0" t="e">
        <f aca="false">Guillaume_VIE!AF:AF*";7#!zW"</f>
        <v>#VALUE!</v>
      </c>
      <c r="BZ30" s="0" t="e">
        <f aca="false">Guillaume_VIE!AG:AG*";7#!zX"</f>
        <v>#VALUE!</v>
      </c>
      <c r="CA30" s="0" t="e">
        <f aca="false">Guillaume_VIE!AH:AH*";7#!zY"</f>
        <v>#VALUE!</v>
      </c>
      <c r="CB30" s="0" t="e">
        <f aca="false">Guillaume_VIE!AI:AI*";7#!zZ"</f>
        <v>#VALUE!</v>
      </c>
      <c r="CC30" s="0" t="e">
        <f aca="false">Guillaume_VIE!AJ:AJ*";7#!z["</f>
        <v>#VALUE!</v>
      </c>
      <c r="CD30" s="0" t="e">
        <f aca="false">Guillaume_VIE!AK:AK*";7#!z\"</f>
        <v>#VALUE!</v>
      </c>
      <c r="CE30" s="0" t="e">
        <f aca="false">Guillaume_VIE!AL:AL*";7#!z]"</f>
        <v>#VALUE!</v>
      </c>
      <c r="CF30" s="0" t="e">
        <f aca="false">Guillaume_VIE!AM:AM*";7#!z^"</f>
        <v>#VALUE!</v>
      </c>
      <c r="CG30" s="0" t="e">
        <f aca="false">Guillaume_VIE!AN:AN*";7#!z_"</f>
        <v>#VALUE!</v>
      </c>
      <c r="CH30" s="0" t="e">
        <f aca="false">Guillaume_VIE!AO:AO*";7#!z`"</f>
        <v>#VALUE!</v>
      </c>
      <c r="CI30" s="0" t="e">
        <f aca="false">Guillaume_VIE!AP:AP*";7#!za"</f>
        <v>#VALUE!</v>
      </c>
      <c r="CJ30" s="0" t="e">
        <f aca="false">Guillaume_VIE!AQ:AQ*";7#!zb"</f>
        <v>#VALUE!</v>
      </c>
      <c r="CK30" s="0" t="e">
        <f aca="false">Guillaume_VIE!AR:AR*";7#!zc"</f>
        <v>#VALUE!</v>
      </c>
      <c r="CL30" s="0" t="e">
        <f aca="false">Guillaume_VIE!AS:AS*";7#!zd"</f>
        <v>#VALUE!</v>
      </c>
      <c r="CM30" s="0" t="e">
        <f aca="false">Guillaume_VIE!AT:AT*";7#!ze"</f>
        <v>#VALUE!</v>
      </c>
      <c r="CN30" s="0" t="e">
        <f aca="false">Guillaume_VIE!AU:AU*";7#!zf"</f>
        <v>#VALUE!</v>
      </c>
      <c r="CO30" s="0" t="e">
        <f aca="false">Guillaume_VIE!AV:AV*";7#!zg"</f>
        <v>#VALUE!</v>
      </c>
      <c r="CP30" s="0" t="e">
        <f aca="false">Guillaume_VIE!AW:AW*";7#!zh"</f>
        <v>#VALUE!</v>
      </c>
      <c r="CQ30" s="0" t="e">
        <f aca="false">Guillaume_VIE!AX:AX*";7#!zi"</f>
        <v>#VALUE!</v>
      </c>
      <c r="CR30" s="0" t="e">
        <f aca="false">Guillaume_VIE!AY:AY*";7#!zj"</f>
        <v>#VALUE!</v>
      </c>
      <c r="CS30" s="0" t="e">
        <f aca="false">Guillaume_VIE!AZ:AZ*";7#!zk"</f>
        <v>#VALUE!</v>
      </c>
      <c r="CT30" s="0" t="e">
        <f aca="false">Guillaume_VIE!BA:BA*";7#!zl"</f>
        <v>#VALUE!</v>
      </c>
      <c r="CU30" s="0" t="e">
        <f aca="false">Guillaume_VIE!BB:BB*";7#!zm"</f>
        <v>#VALUE!</v>
      </c>
      <c r="CV30" s="0" t="e">
        <f aca="false">Guillaume_VIE!BC:BC*";7#!zn"</f>
        <v>#VALUE!</v>
      </c>
      <c r="CW30" s="0" t="e">
        <f aca="false">Guillaume_VIE!BD:BD*";7#!zo"</f>
        <v>#VALUE!</v>
      </c>
      <c r="CX30" s="0" t="e">
        <f aca="false">Guillaume_VIE!BE:BE*";7#!zp"</f>
        <v>#VALUE!</v>
      </c>
      <c r="CY30" s="0" t="e">
        <f aca="false">Guillaume_VIE!BF:BF*";7#!zq"</f>
        <v>#VALUE!</v>
      </c>
      <c r="CZ30" s="0" t="e">
        <f aca="false">Guillaume_VIE!BG:BG*";7#!zr"</f>
        <v>#VALUE!</v>
      </c>
      <c r="DA30" s="0" t="e">
        <f aca="false">Guillaume_VIE!BH:BH*";7#!zs"</f>
        <v>#VALUE!</v>
      </c>
      <c r="DB30" s="0" t="e">
        <f aca="false">Guillaume_VIE!BI:BI*";7#!zt"</f>
        <v>#VALUE!</v>
      </c>
      <c r="DC30" s="0" t="e">
        <f aca="false">Guillaume_VIE!BJ:BJ*";7#!zu"</f>
        <v>#VALUE!</v>
      </c>
      <c r="DD30" s="0" t="e">
        <f aca="false">Guillaume_VIE!BK:BK*";7#!zv"</f>
        <v>#VALUE!</v>
      </c>
      <c r="DE30" s="0" t="e">
        <f aca="false">Guillaume_VIE!BL:BL*";7#!zw"</f>
        <v>#VALUE!</v>
      </c>
      <c r="DF30" s="0" t="e">
        <f aca="false">Guillaume_VIE!BM:BM*";7#!zx"</f>
        <v>#VALUE!</v>
      </c>
      <c r="DG30" s="0" t="e">
        <f aca="false">Guillaume_VIE!BN:BN*";7#!zy"</f>
        <v>#VALUE!</v>
      </c>
      <c r="DH30" s="0" t="e">
        <f aca="false">Guillaume_VIE!BO:BO*";7#!zz"</f>
        <v>#VALUE!</v>
      </c>
      <c r="DI30" s="0" t="e">
        <f aca="false">Guillaume_VIE!BP:BP*";7#!z{"</f>
        <v>#VALUE!</v>
      </c>
      <c r="DJ30" s="0" t="e">
        <f aca="false">Guillaume_VIE!BQ:BQ*";7#!z|"</f>
        <v>#VALUE!</v>
      </c>
      <c r="DK30" s="0" t="e">
        <f aca="false">Guillaume_VIE!BR:BR*";7#!z}"</f>
        <v>#VALUE!</v>
      </c>
      <c r="DL30" s="0" t="e">
        <f aca="false">Guillaume_VIE!BS:BS*";7#!z~"</f>
        <v>#VALUE!</v>
      </c>
      <c r="DM30" s="0" t="e">
        <f aca="false">Guillaume_VIE!1:1-";7#!{#"</f>
        <v>#VALUE!</v>
      </c>
      <c r="DN30" s="0" t="e">
        <f aca="false">Guillaume_VIE!2:2-";7#!{$"</f>
        <v>#VALUE!</v>
      </c>
      <c r="DO30" s="0" t="e">
        <f aca="false">Guillaume_VIE!3:3-";7#!{%"</f>
        <v>#VALUE!</v>
      </c>
      <c r="DP30" s="0" t="e">
        <f aca="false">Guillaume_VIE!4:4-";7#!{&amp;"</f>
        <v>#VALUE!</v>
      </c>
      <c r="DQ30" s="0" t="e">
        <f aca="false">Guillaume_VIE!5:5-";7#!{'"</f>
        <v>#VALUE!</v>
      </c>
      <c r="DR30" s="0" t="e">
        <f aca="false">Guillaume_VIE!6:6-";7#!{("</f>
        <v>#VALUE!</v>
      </c>
      <c r="DS30" s="0" t="e">
        <f aca="false">Guillaume_VIE!7:7-";7#!{)"</f>
        <v>#VALUE!</v>
      </c>
      <c r="DT30" s="0" t="e">
        <f aca="false">Guillaume_VIE!8:8-";7#!{."</f>
        <v>#VALUE!</v>
      </c>
      <c r="DU30" s="0" t="e">
        <f aca="false">Guillaume_VIE!9:9-";7#!{/"</f>
        <v>#VALUE!</v>
      </c>
      <c r="DV30" s="0" t="e">
        <f aca="false">Guillaume_VIE!10:10-";7#!{0"</f>
        <v>#VALUE!</v>
      </c>
      <c r="DW30" s="0" t="e">
        <f aca="false">Guillaume_VIE!11:11-";7#!{1"</f>
        <v>#VALUE!</v>
      </c>
      <c r="DX30" s="0" t="e">
        <f aca="false">Guillaume_VIE!12:12-";7#!{2"</f>
        <v>#VALUE!</v>
      </c>
      <c r="DY30" s="0" t="e">
        <f aca="false">Guillaume_VIE!13:13-";7#!{3"</f>
        <v>#VALUE!</v>
      </c>
      <c r="DZ30" s="0" t="e">
        <f aca="false">Guillaume_VIE!14:14-";7#!{4"</f>
        <v>#VALUE!</v>
      </c>
      <c r="EA30" s="0" t="e">
        <f aca="false">Guillaume_VIE!15:15-";7#!{5"</f>
        <v>#VALUE!</v>
      </c>
      <c r="EB30" s="0" t="e">
        <f aca="false">Guillaume_VIE!16:16-";7#!{6"</f>
        <v>#VALUE!</v>
      </c>
      <c r="EC30" s="0" t="e">
        <f aca="false">Guillaume_VIE!17:17-";7#!{7"</f>
        <v>#VALUE!</v>
      </c>
      <c r="ED30" s="0" t="e">
        <f aca="false">Guillaume_VIE!18:18-";7#!{8"</f>
        <v>#VALUE!</v>
      </c>
      <c r="EE30" s="0" t="e">
        <f aca="false">Guillaume_VIE!19:19-";7#!{9"</f>
        <v>#VALUE!</v>
      </c>
      <c r="EF30" s="0" t="e">
        <f aca="false">Guillaume_VIE!20:20-";7#!{:"</f>
        <v>#VALUE!</v>
      </c>
      <c r="EG30" s="0" t="e">
        <f aca="false">Guillaume_VIE!21:21-";7#!{;"</f>
        <v>#VALUE!</v>
      </c>
      <c r="EH30" s="0" t="e">
        <f aca="false">Guillaume_VIE!22:22-";7#!{&lt;"</f>
        <v>#VALUE!</v>
      </c>
      <c r="EI30" s="0" t="e">
        <f aca="false">Guillaume_VIE!23:23-";7#!{="</f>
        <v>#VALUE!</v>
      </c>
      <c r="EJ30" s="0" t="e">
        <f aca="false">Guillaume_VIE!24:24-";7#!{&gt;"</f>
        <v>#VALUE!</v>
      </c>
      <c r="EK30" s="0" t="e">
        <f aca="false">Guillaume_VIE!25:25-";7#!{?"</f>
        <v>#VALUE!</v>
      </c>
      <c r="EL30" s="0" t="e">
        <f aca="false">Guillaume_VIE!26:26-";7#!{@"</f>
        <v>#VALUE!</v>
      </c>
      <c r="EM30" s="0" t="e">
        <f aca="false">Guillaume_VIE!27:27-";7#!{A"</f>
        <v>#VALUE!</v>
      </c>
      <c r="EN30" s="0" t="e">
        <f aca="false">Guillaume_VIE!28:28-";7#!{B"</f>
        <v>#VALUE!</v>
      </c>
      <c r="EO30" s="0" t="e">
        <f aca="false">Guillaume_VIE!29:29-";7#!{C"</f>
        <v>#VALUE!</v>
      </c>
      <c r="EP30" s="0" t="e">
        <f aca="false">Guillaume_VIE!30:30-";7#!{D"</f>
        <v>#VALUE!</v>
      </c>
      <c r="EQ30" s="0" t="e">
        <f aca="false">Guillaume_VIE!31:31-";7#!{E"</f>
        <v>#VALUE!</v>
      </c>
      <c r="ER30" s="0" t="e">
        <f aca="false">Guillaume_VIE!32:32-";7#!{F"</f>
        <v>#VALUE!</v>
      </c>
      <c r="ES30" s="0" t="e">
        <f aca="false">Guillaume_VIE!33:33-";7#!{G"</f>
        <v>#VALUE!</v>
      </c>
      <c r="ET30" s="0" t="e">
        <f aca="false">Guillaume_VIE!34:34-";7#!{H"</f>
        <v>#VALUE!</v>
      </c>
      <c r="EU30" s="0" t="e">
        <f aca="false">Guillaume_VIE!35:35-";7#!{I"</f>
        <v>#VALUE!</v>
      </c>
      <c r="EV30" s="0" t="e">
        <f aca="false">Guillaume_VIE!36:36-";7#!{J"</f>
        <v>#VALUE!</v>
      </c>
      <c r="EW30" s="0" t="e">
        <f aca="false">Guillaume_VIE!37:37-";7#!{K"</f>
        <v>#VALUE!</v>
      </c>
      <c r="EX30" s="0" t="e">
        <f aca="false">Guillaume_VIE!38:38-";7#!{L"</f>
        <v>#VALUE!</v>
      </c>
      <c r="EY30" s="0" t="e">
        <f aca="false">Guillaume_VIE!39:39-";7#!{M"</f>
        <v>#VALUE!</v>
      </c>
      <c r="EZ30" s="0" t="e">
        <f aca="false">Guillaume_VIE!40:40-";7#!{N"</f>
        <v>#VALUE!</v>
      </c>
      <c r="FA30" s="0" t="e">
        <f aca="false">Guillaume_VIE!41:41-";7#!{O"</f>
        <v>#VALUE!</v>
      </c>
      <c r="FB30" s="0" t="e">
        <f aca="false">Guillaume_VIE!42:42-";7#!{P"</f>
        <v>#VALUE!</v>
      </c>
      <c r="FC30" s="0" t="e">
        <f aca="false">Guillaume_VIE!43:43-";7#!{Q"</f>
        <v>#VALUE!</v>
      </c>
      <c r="FD30" s="0" t="e">
        <f aca="false">Guillaume_VIE!44:44-";7#!{R"</f>
        <v>#VALUE!</v>
      </c>
      <c r="FE30" s="0" t="e">
        <f aca="false">Guillaume_VIE!45:45-";7#!{S"</f>
        <v>#VALUE!</v>
      </c>
      <c r="FF30" s="0" t="e">
        <f aca="false">Guillaume_VIE!46:46-";7#!{T"</f>
        <v>#VALUE!</v>
      </c>
      <c r="FG30" s="0" t="e">
        <f aca="false">Guillaume_VIE!47:47-";7#!{U"</f>
        <v>#VALUE!</v>
      </c>
      <c r="FH30" s="0" t="e">
        <f aca="false">Guillaume_VIE!48:48-";7#!{V"</f>
        <v>#VALUE!</v>
      </c>
      <c r="FI30" s="0" t="e">
        <f aca="false">Guillaume_VIE!49:49-";7#!{W"</f>
        <v>#VALUE!</v>
      </c>
      <c r="FJ30" s="0" t="e">
        <f aca="false">Guillaume_VIE!50:50-";7#!{X"</f>
        <v>#VALUE!</v>
      </c>
      <c r="FK30" s="0" t="e">
        <f aca="false">Guillaume_VIE!51:51-";7#!{Y"</f>
        <v>#VALUE!</v>
      </c>
      <c r="FL30" s="0" t="e">
        <f aca="false">Guillaume_VIE!52:52-";7#!{Z"</f>
        <v>#VALUE!</v>
      </c>
      <c r="FM30" s="0" t="e">
        <f aca="false">Guillaume_VIE!53:53-";7#!{["</f>
        <v>#VALUE!</v>
      </c>
      <c r="FN30" s="0" t="e">
        <f aca="false">Guillaume_VIE!54:54-";7#!{\"</f>
        <v>#VALUE!</v>
      </c>
      <c r="FO30" s="0" t="e">
        <f aca="false">Guillaume_VIE!55:55-";7#!{]"</f>
        <v>#VALUE!</v>
      </c>
      <c r="FP30" s="0" t="e">
        <f aca="false">Guillaume_VIE!56:56-";7#!{^"</f>
        <v>#VALUE!</v>
      </c>
      <c r="FQ30" s="0" t="e">
        <f aca="false">Guillaume_VIE!57:57-";7#!{_"</f>
        <v>#VALUE!</v>
      </c>
      <c r="FR30" s="0" t="e">
        <f aca="false">Guillaume_VIE!58:58-";7#!{`"</f>
        <v>#VALUE!</v>
      </c>
      <c r="FS30" s="0" t="e">
        <f aca="false">Guillaume_VIE!59:59-";7#!{a"</f>
        <v>#VALUE!</v>
      </c>
      <c r="FT30" s="0" t="e">
        <f aca="false">Guillaume_VIE!60:60-";7#!{b"</f>
        <v>#VALUE!</v>
      </c>
      <c r="FU30" s="0" t="e">
        <f aca="false">Guillaume_VIE!61:61-";7#!{c"</f>
        <v>#VALUE!</v>
      </c>
      <c r="FV30" s="0" t="e">
        <f aca="false">Guillaume_VIE!62:62-";7#!{d"</f>
        <v>#VALUE!</v>
      </c>
      <c r="FW30" s="0" t="e">
        <f aca="false">Guillaume_VIE!63:63-";7#!{e"</f>
        <v>#VALUE!</v>
      </c>
      <c r="FX30" s="0" t="e">
        <f aca="false">Guillaume_VIE!64:64-";7#!{f"</f>
        <v>#VALUE!</v>
      </c>
      <c r="FY30" s="0" t="e">
        <f aca="false">Guillaume_VIE!65:65-";7#!{g"</f>
        <v>#VALUE!</v>
      </c>
      <c r="FZ30" s="0" t="e">
        <f aca="false">Guillaume_VIE!66:66-";7#!{h"</f>
        <v>#VALUE!</v>
      </c>
      <c r="GA30" s="0" t="e">
        <f aca="false">Guillaume_VIE!67:67-";7#!{i"</f>
        <v>#VALUE!</v>
      </c>
      <c r="GB30" s="0" t="e">
        <f aca="false">Guillaume_VIE!68:68-";7#!{j"</f>
        <v>#VALUE!</v>
      </c>
      <c r="GC30" s="0" t="e">
        <f aca="false">Guillaume_VIE!69:69-";7#!{k"</f>
        <v>#VALUE!</v>
      </c>
      <c r="GD30" s="0" t="e">
        <f aca="false">Guillaume_VIE!70:70-";7#!{l"</f>
        <v>#VALUE!</v>
      </c>
      <c r="GE30" s="0" t="e">
        <f aca="false">Guillaume_VIE!71:71-";7#!{m"</f>
        <v>#VALUE!</v>
      </c>
      <c r="GF30" s="0" t="e">
        <f aca="false">Guillaume_VIE!72:72-";7#!{n"</f>
        <v>#VALUE!</v>
      </c>
      <c r="GG30" s="0" t="e">
        <f aca="false">Guillaume_VIE!73:73-";7#!{o"</f>
        <v>#VALUE!</v>
      </c>
      <c r="GH30" s="0" t="e">
        <f aca="false">Guillaume_VIE!74:74-";7#!{p"</f>
        <v>#VALUE!</v>
      </c>
      <c r="GI30" s="0" t="e">
        <f aca="false">Guillaume_VIE!75:75-";7#!{q"</f>
        <v>#VALUE!</v>
      </c>
      <c r="GJ30" s="0" t="e">
        <f aca="false">Guillaume_VIE!76:76-";7#!{r"</f>
        <v>#VALUE!</v>
      </c>
      <c r="GK30" s="0" t="e">
        <f aca="false">Guillaume_VIE!77:77-";7#!{s"</f>
        <v>#VALUE!</v>
      </c>
      <c r="GL30" s="0" t="e">
        <f aca="false">Guillaume_VIE!78:78-";7#!{t"</f>
        <v>#VALUE!</v>
      </c>
      <c r="GM30" s="0" t="e">
        <f aca="false">Guillaume_VIE!79:79-";7#!{u"</f>
        <v>#VALUE!</v>
      </c>
      <c r="GN30" s="0" t="e">
        <f aca="false">Guillaume_VIE!80:80-";7#!{v"</f>
        <v>#VALUE!</v>
      </c>
      <c r="GO30" s="0" t="e">
        <f aca="false">Guillaume_VIE!81:81-";7#!{w"</f>
        <v>#VALUE!</v>
      </c>
      <c r="GP30" s="0" t="e">
        <f aca="false">Guillaume_VIE!82:82-";7#!{x"</f>
        <v>#VALUE!</v>
      </c>
      <c r="GQ30" s="0" t="e">
        <f aca="false">Guillaume_VIE!83:83-";7#!{y"</f>
        <v>#VALUE!</v>
      </c>
      <c r="GR30" s="0" t="e">
        <f aca="false">Guillaume_VIE!84:84-";7#!{z"</f>
        <v>#VALUE!</v>
      </c>
      <c r="GS30" s="0" t="e">
        <f aca="false">Guillaume_VIE!85:85-";7#!{{"</f>
        <v>#VALUE!</v>
      </c>
      <c r="GT30" s="0" t="e">
        <f aca="false">Guillaume_VIE!86:86-";7#!{|"</f>
        <v>#VALUE!</v>
      </c>
      <c r="GU30" s="0" t="e">
        <f aca="false">Guillaume_VIE!87:87-";7#!{}"</f>
        <v>#VALUE!</v>
      </c>
      <c r="GV30" s="0" t="e">
        <f aca="false">Guillaume_VIE!88:88-";7#!{~"</f>
        <v>#VALUE!</v>
      </c>
      <c r="GW30" s="0" t="e">
        <f aca="false">Guillaume_VIE!89:89-";7#!|#"</f>
        <v>#VALUE!</v>
      </c>
      <c r="GX30" s="0" t="e">
        <f aca="false">Guillaume_VIE!90:90-";7#!|$"</f>
        <v>#VALUE!</v>
      </c>
      <c r="GY30" s="0" t="e">
        <f aca="false">Guillaume_VIE!91:91-";7#!|%"</f>
        <v>#VALUE!</v>
      </c>
      <c r="GZ30" s="0" t="e">
        <f aca="false">Guillaume_VIE!92:92-";7#!|&amp;"</f>
        <v>#VALUE!</v>
      </c>
      <c r="HA30" s="0" t="e">
        <f aca="false">Guillaume_VIE!93:93-";7#!|'"</f>
        <v>#VALUE!</v>
      </c>
      <c r="HB30" s="0" t="e">
        <f aca="false">Guillaume_VIE!94:94-";7#!|("</f>
        <v>#VALUE!</v>
      </c>
      <c r="HC30" s="0" t="e">
        <f aca="false">Guillaume_VIE!95:95-";7#!|)"</f>
        <v>#VALUE!</v>
      </c>
      <c r="HD30" s="0" t="e">
        <f aca="false">Guillaume_VIE!96:96-";7#!|."</f>
        <v>#VALUE!</v>
      </c>
      <c r="HE30" s="0" t="e">
        <f aca="false">Guillaume_VIE!97:97-";7#!|/"</f>
        <v>#VALUE!</v>
      </c>
      <c r="HF30" s="0" t="e">
        <f aca="false">Guillaume_VIE!98:98-";7#!|0"</f>
        <v>#VALUE!</v>
      </c>
      <c r="HG30" s="0" t="e">
        <f aca="false">Guillaume_VIE!99:99-";7#!|1"</f>
        <v>#VALUE!</v>
      </c>
      <c r="HH30" s="0" t="e">
        <f aca="false">Guillaume_VIE!100:100-";7#!|2"</f>
        <v>#VALUE!</v>
      </c>
      <c r="HI30" s="0" t="e">
        <f aca="false">Guillaume_VIE!101:101-";7#!|3"</f>
        <v>#VALUE!</v>
      </c>
      <c r="HJ30" s="0" t="e">
        <f aca="false">Guillaume_VIE!102:102-";7#!|4"</f>
        <v>#VALUE!</v>
      </c>
      <c r="HK30" s="0" t="e">
        <f aca="false">Guillaume_VIE!103:103-";7#!|5"</f>
        <v>#VALUE!</v>
      </c>
      <c r="HL30" s="0" t="e">
        <f aca="false">Guillaume_VIE!104:104-";7#!|6"</f>
        <v>#VALUE!</v>
      </c>
      <c r="HM30" s="0" t="e">
        <f aca="false">Guillaume_VIE!105:105-";7#!|7"</f>
        <v>#VALUE!</v>
      </c>
      <c r="HN30" s="0" t="e">
        <f aca="false">Guillaume_VIE!106:106-";7#!|8"</f>
        <v>#VALUE!</v>
      </c>
      <c r="HO30" s="0" t="e">
        <f aca="false">Guillaume_VIE!107:107-";7#!|9"</f>
        <v>#VALUE!</v>
      </c>
      <c r="HP30" s="0" t="e">
        <f aca="false">Guillaume_VIE!108:108-";7#!|:"</f>
        <v>#VALUE!</v>
      </c>
      <c r="HQ30" s="0" t="e">
        <f aca="false">Guillaume_VIE!109:109-";7#!|;"</f>
        <v>#VALUE!</v>
      </c>
      <c r="HR30" s="0" t="e">
        <f aca="false">Guillaume_VIE!110:110-";7#!|&lt;"</f>
        <v>#VALUE!</v>
      </c>
      <c r="HS30" s="0" t="e">
        <f aca="false">Guillaume_VIE!111:111-";7#!|="</f>
        <v>#VALUE!</v>
      </c>
      <c r="HT30" s="0" t="e">
        <f aca="false">Guillaume_VIE!112:112-";7#!|&gt;"</f>
        <v>#VALUE!</v>
      </c>
      <c r="HU30" s="0" t="e">
        <f aca="false">Guillaume_VIE!113:113-";7#!|?"</f>
        <v>#VALUE!</v>
      </c>
      <c r="HV30" s="0" t="e">
        <f aca="false">Guillaume_VIE!114:114-";7#!|@"</f>
        <v>#VALUE!</v>
      </c>
      <c r="HW30" s="0" t="e">
        <f aca="false">Guillaume_VIE!115:115-";7#!|A"</f>
        <v>#VALUE!</v>
      </c>
      <c r="HX30" s="0" t="e">
        <f aca="false">Guillaume_VIE!116:116-";7#!|B"</f>
        <v>#VALUE!</v>
      </c>
      <c r="HY30" s="0" t="e">
        <f aca="false">Guillaume_VIE!117:117-";7#!|C"</f>
        <v>#VALUE!</v>
      </c>
      <c r="HZ30" s="0" t="e">
        <f aca="false">Guillaume_VIE!118:118-";7#!|D"</f>
        <v>#VALUE!</v>
      </c>
      <c r="IA30" s="0" t="e">
        <f aca="false">Guillaume_VIE!119:119-";7#!|E"</f>
        <v>#VALUE!</v>
      </c>
      <c r="IB30" s="0" t="e">
        <f aca="false">Guillaume_VIE!120:120-";7#!|F"</f>
        <v>#VALUE!</v>
      </c>
      <c r="IC30" s="0" t="e">
        <f aca="false">Guillaume_VIE!121:121-";7#!|G"</f>
        <v>#VALUE!</v>
      </c>
      <c r="ID30" s="0" t="e">
        <f aca="false">Guillaume_VIE!122:122-";7#!|H"</f>
        <v>#VALUE!</v>
      </c>
      <c r="IE30" s="0" t="e">
        <f aca="false">Guillaume_VIE!123:123-";7#!|I"</f>
        <v>#VALUE!</v>
      </c>
      <c r="IF30" s="0" t="e">
        <f aca="false">Guillaume_VIE!124:124-";7#!|J"</f>
        <v>#VALUE!</v>
      </c>
      <c r="IG30" s="0" t="e">
        <f aca="false">Guillaume_VIE!125:125-";7#!|K"</f>
        <v>#VALUE!</v>
      </c>
      <c r="IH30" s="0" t="e">
        <f aca="false">Guillaume_VIE!126:126-";7#!|L"</f>
        <v>#VALUE!</v>
      </c>
      <c r="II30" s="0" t="e">
        <f aca="false">Guillaume_VIE!127:127-";7#!|M"</f>
        <v>#VALUE!</v>
      </c>
      <c r="IJ30" s="0" t="e">
        <f aca="false">Guillaume_VIE!128:128-";7#!|N"</f>
        <v>#VALUE!</v>
      </c>
      <c r="IK30" s="0" t="e">
        <f aca="false">Guillaume_VIE!129:129-";7#!|O"</f>
        <v>#VALUE!</v>
      </c>
      <c r="IL30" s="0" t="e">
        <f aca="false">Guillaume_VIE!130:130-";7#!|P"</f>
        <v>#VALUE!</v>
      </c>
      <c r="IM30" s="0" t="e">
        <f aca="false">Guillaume_VIE!131:131-";7#!|Q"</f>
        <v>#VALUE!</v>
      </c>
      <c r="IN30" s="0" t="e">
        <f aca="false">Guillaume_VIE!132:132-";7#!|R"</f>
        <v>#VALUE!</v>
      </c>
      <c r="IO30" s="0" t="e">
        <f aca="false">Guillaume_VIE!133:133-";7#!|S"</f>
        <v>#VALUE!</v>
      </c>
      <c r="IP30" s="0" t="e">
        <f aca="false">Guillaume_VIE!134:134-";7#!|T"</f>
        <v>#VALUE!</v>
      </c>
      <c r="IQ30" s="0" t="e">
        <f aca="false">Guillaume_VIE!135:135-";7#!|U"</f>
        <v>#VALUE!</v>
      </c>
      <c r="IR30" s="0" t="e">
        <f aca="false">Guillaume_VIE!136:136-";7#!|V"</f>
        <v>#VALUE!</v>
      </c>
      <c r="IS30" s="0" t="e">
        <f aca="false">Guillaume_VIE!137:137-";7#!|W"</f>
        <v>#VALUE!</v>
      </c>
      <c r="IT30" s="0" t="e">
        <f aca="false">Guillaume_VIE!138:138-";7#!|X"</f>
        <v>#VALUE!</v>
      </c>
      <c r="IU30" s="0" t="e">
        <f aca="false">Guillaume_VIE!139:139-";7#!|Y"</f>
        <v>#VALUE!</v>
      </c>
      <c r="IV30" s="0" t="e">
        <f aca="false">Guillaume_VIE!140:140-";7#!|Z"</f>
        <v>#VALUE!</v>
      </c>
    </row>
    <row r="31" customFormat="false" ht="15" hidden="false" customHeight="false" outlineLevel="0" collapsed="false">
      <c r="F31" s="0" t="e">
        <f aca="false">Guillaume_VIE!141:141-";7#!|["</f>
        <v>#VALUE!</v>
      </c>
      <c r="G31" s="0" t="e">
        <f aca="false">Guillaume_VIE!142:142-";7#!|\"</f>
        <v>#VALUE!</v>
      </c>
      <c r="H31" s="0" t="e">
        <f aca="false">Guillaume_VIE!143:143-";7#!|]"</f>
        <v>#VALUE!</v>
      </c>
      <c r="I31" s="0" t="e">
        <f aca="false">Guillaume_VIE!144:144-";7#!|^"</f>
        <v>#VALUE!</v>
      </c>
      <c r="J31" s="0" t="e">
        <f aca="false">Guillaume_VIE!145:145-";7#!|_"</f>
        <v>#VALUE!</v>
      </c>
      <c r="K31" s="0" t="e">
        <f aca="false">Guillaume_VIE!146:146-";7#!|`"</f>
        <v>#VALUE!</v>
      </c>
      <c r="L31" s="0" t="e">
        <f aca="false">Guillaume_VIE!147:147-";7#!|a"</f>
        <v>#VALUE!</v>
      </c>
      <c r="M31" s="0" t="e">
        <f aca="false">Guillaume_VIE!148:148-";7#!|b"</f>
        <v>#VALUE!</v>
      </c>
      <c r="N31" s="0" t="e">
        <f aca="false">Guillaume_VIE!149:149-";7#!|c"</f>
        <v>#VALUE!</v>
      </c>
      <c r="O31" s="0" t="e">
        <f aca="false">Guillaume_VIE!150:150-";7#!|d"</f>
        <v>#VALUE!</v>
      </c>
      <c r="P31" s="0" t="e">
        <f aca="false">Guillaume_VIE!151:151-";7#!|e"</f>
        <v>#VALUE!</v>
      </c>
      <c r="Q31" s="0" t="e">
        <f aca="false">Guillaume_VIE!152:152-";7#!|f"</f>
        <v>#VALUE!</v>
      </c>
      <c r="R31" s="0" t="e">
        <f aca="false">Guillaume_VIE!153:153-";7#!|g"</f>
        <v>#VALUE!</v>
      </c>
      <c r="S31" s="0" t="e">
        <f aca="false">Guillaume_VIE!154:154-";7#!|h"</f>
        <v>#VALUE!</v>
      </c>
      <c r="T31" s="0" t="e">
        <f aca="false">Guillaume_VIE!155:155-";7#!|i"</f>
        <v>#VALUE!</v>
      </c>
      <c r="U31" s="0" t="e">
        <f aca="false">Guillaume_VIE!156:156-";7#!|j"</f>
        <v>#VALUE!</v>
      </c>
      <c r="V31" s="0" t="e">
        <f aca="false">Guillaume_VIE!157:157-";7#!|k"</f>
        <v>#VALUE!</v>
      </c>
      <c r="W31" s="0" t="e">
        <f aca="false">Guillaume_VIE!158:158-";7#!|l"</f>
        <v>#VALUE!</v>
      </c>
      <c r="X31" s="0" t="e">
        <f aca="false">Guillaume_VIE!159:159-";7#!|m"</f>
        <v>#VALUE!</v>
      </c>
      <c r="Y31" s="0" t="e">
        <f aca="false">Guillaume_VIE!160:160-";7#!|n"</f>
        <v>#VALUE!</v>
      </c>
      <c r="Z31" s="0" t="e">
        <f aca="false">Guillaume_VIE!161:161-";7#!|o"</f>
        <v>#VALUE!</v>
      </c>
      <c r="AA31" s="0" t="e">
        <f aca="false">Guillaume_VIE!162:162-";7#!|p"</f>
        <v>#VALUE!</v>
      </c>
      <c r="AB31" s="0" t="e">
        <f aca="false">Guillaume_VIE!163:163-";7#!|q"</f>
        <v>#VALUE!</v>
      </c>
      <c r="AC31" s="0" t="e">
        <f aca="false">Guillaume_VIE!164:164-";7#!|r"</f>
        <v>#VALUE!</v>
      </c>
      <c r="AD31" s="0" t="e">
        <f aca="false">Guillaume_VIE!165:165-";7#!|s"</f>
        <v>#VALUE!</v>
      </c>
      <c r="AE31" s="0" t="e">
        <f aca="false">Guillaume_VIE!166:166-";7#!|t"</f>
        <v>#VALUE!</v>
      </c>
      <c r="AF31" s="0" t="e">
        <f aca="false">Guillaume_VIE!167:167-";7#!|u"</f>
        <v>#VALUE!</v>
      </c>
      <c r="AG31" s="0" t="e">
        <f aca="false">Guillaume_VIE!168:168-";7#!|v"</f>
        <v>#VALUE!</v>
      </c>
      <c r="AH31" s="0" t="e">
        <f aca="false">Guillaume_VIE!169:169-";7#!|w"</f>
        <v>#VALUE!</v>
      </c>
      <c r="AI31" s="0" t="e">
        <f aca="false">Guillaume_VIE!170:170-";7#!|x"</f>
        <v>#VALUE!</v>
      </c>
      <c r="AJ31" s="0" t="e">
        <f aca="false">Guillaume_VIE!171:171-";7#!|y"</f>
        <v>#VALUE!</v>
      </c>
      <c r="AK31" s="0" t="e">
        <f aca="false">Guillaume_VIE!172:172-";7#!|z"</f>
        <v>#VALUE!</v>
      </c>
      <c r="AL31" s="0" t="e">
        <f aca="false">Guillaume_VIE!173:173-";7#!|{"</f>
        <v>#VALUE!</v>
      </c>
      <c r="AM31" s="0" t="e">
        <f aca="false">Guillaume_VIE!174:174-";7#!||"</f>
        <v>#VALUE!</v>
      </c>
      <c r="AN31" s="0" t="e">
        <f aca="false">Guillaume_VIE!175:175-";7#!|}"</f>
        <v>#VALUE!</v>
      </c>
      <c r="AO31" s="0" t="e">
        <f aca="false">Guillaume_VIE!176:176-";7#!|~"</f>
        <v>#VALUE!</v>
      </c>
      <c r="AP31" s="0" t="e">
        <f aca="false">Guillaume_VIE!177:177-";7#!}#"</f>
        <v>#VALUE!</v>
      </c>
      <c r="AQ31" s="0" t="e">
        <f aca="false">Guillaume_VIE!178:178-";7#!}$"</f>
        <v>#VALUE!</v>
      </c>
      <c r="AR31" s="0" t="e">
        <f aca="false">Guillaume_VIE!179:179-";7#!}%"</f>
        <v>#VALUE!</v>
      </c>
      <c r="AS31" s="0" t="e">
        <f aca="false">Guillaume_VIE!180:180-";7#!}&amp;"</f>
        <v>#VALUE!</v>
      </c>
      <c r="AT31" s="0" t="e">
        <f aca="false">Guillaume_VIE!181:181-";7#!}'"</f>
        <v>#VALUE!</v>
      </c>
      <c r="AU31" s="0" t="e">
        <f aca="false">Guillaume_VIE!182:182-";7#!}("</f>
        <v>#VALUE!</v>
      </c>
      <c r="AV31" s="0" t="e">
        <f aca="false">Guillaume_VIE!183:183-";7#!})"</f>
        <v>#VALUE!</v>
      </c>
      <c r="AW31" s="0" t="e">
        <f aca="false">Guillaume_VIE!184:184-";7#!}."</f>
        <v>#VALUE!</v>
      </c>
      <c r="AX31" s="0" t="e">
        <f aca="false">Guillaume_VIE!185:185-";7#!}/"</f>
        <v>#VALUE!</v>
      </c>
      <c r="AY31" s="0" t="e">
        <f aca="false">Guillaume_VIE!186:186-";7#!}0"</f>
        <v>#VALUE!</v>
      </c>
      <c r="AZ31" s="0" t="e">
        <f aca="false">Guillaume_VIE!187:187-";7#!}1"</f>
        <v>#VALUE!</v>
      </c>
      <c r="BA31" s="0" t="e">
        <f aca="false">Guillaume_VIE!188:188-";7#!}2"</f>
        <v>#VALUE!</v>
      </c>
      <c r="BB31" s="0" t="e">
        <f aca="false">Guillaume_VIE!189:189-";7#!}3"</f>
        <v>#VALUE!</v>
      </c>
      <c r="BC31" s="0" t="e">
        <f aca="false">Guillaume_VIE!190:190-";7#!}4"</f>
        <v>#VALUE!</v>
      </c>
      <c r="BD31" s="0" t="e">
        <f aca="false">Guillaume_VIE!191:191-";7#!}5"</f>
        <v>#VALUE!</v>
      </c>
      <c r="BE31" s="0" t="e">
        <f aca="false">Guillaume_VIE!192:192-";7#!}6"</f>
        <v>#VALUE!</v>
      </c>
      <c r="BF31" s="0" t="e">
        <f aca="false">Guillaume_VIE!193:193-";7#!}7"</f>
        <v>#VALUE!</v>
      </c>
      <c r="BG31" s="0" t="e">
        <f aca="false">Guillaume_VIE!194:194-";7#!}8"</f>
        <v>#VALUE!</v>
      </c>
      <c r="BH31" s="0" t="e">
        <f aca="false">Guillaume_VIE!195:195-";7#!}9"</f>
        <v>#VALUE!</v>
      </c>
      <c r="BI31" s="0" t="e">
        <f aca="false">Guillaume_VIE!196:196-";7#!}:"</f>
        <v>#VALUE!</v>
      </c>
      <c r="BJ31" s="0" t="e">
        <f aca="false">Guillaume_VIE!197:197-";7#!};"</f>
        <v>#VALUE!</v>
      </c>
      <c r="BK31" s="0" t="e">
        <f aca="false">Guillaume_VIE!198:198-";7#!}&lt;"</f>
        <v>#VALUE!</v>
      </c>
      <c r="BL31" s="0" t="e">
        <f aca="false">Guillaume_VIE!199:199-";7#!}="</f>
        <v>#VALUE!</v>
      </c>
      <c r="BM31" s="0" t="e">
        <f aca="false">Guillaume_VIE!200:200-";7#!}&gt;"</f>
        <v>#VALUE!</v>
      </c>
      <c r="BN31" s="0" t="e">
        <f aca="false">Guillaume_VIE!201:201-";7#!}?"</f>
        <v>#VALUE!</v>
      </c>
      <c r="BO31" s="0" t="e">
        <f aca="false">Guillaume_VIE!202:202-";7#!}@"</f>
        <v>#VALUE!</v>
      </c>
      <c r="BP31" s="0" t="e">
        <f aca="false">Guillaume_VIE!203:203-";7#!}A"</f>
        <v>#VALUE!</v>
      </c>
      <c r="BQ31" s="0" t="e">
        <f aca="false">Guillaume_VIE!204:204-";7#!}B"</f>
        <v>#VALUE!</v>
      </c>
      <c r="BR31" s="0" t="e">
        <f aca="false">Guillaume_VIE!205:205-";7#!}C"</f>
        <v>#VALUE!</v>
      </c>
      <c r="BS31" s="0" t="e">
        <f aca="false">Guillaume_VIE!206:206-";7#!}D"</f>
        <v>#VALUE!</v>
      </c>
      <c r="BT31" s="0" t="e">
        <f aca="false">Guillaume_VIE!207:207-";7#!}E"</f>
        <v>#VALUE!</v>
      </c>
      <c r="BU31" s="0" t="e">
        <f aca="false">Guillaume_VIE!208:208-";7#!}F"</f>
        <v>#VALUE!</v>
      </c>
      <c r="BV31" s="0" t="e">
        <f aca="false">Guillaume_VIE!209:209-";7#!}G"</f>
        <v>#VALUE!</v>
      </c>
      <c r="BW31" s="0" t="e">
        <f aca="false">Guillaume_VIE!210:210-";7#!}H"</f>
        <v>#VALUE!</v>
      </c>
      <c r="BX31" s="0" t="e">
        <f aca="false">Guillaume_VIE!211:211-";7#!}I"</f>
        <v>#VALUE!</v>
      </c>
      <c r="BY31" s="0" t="e">
        <f aca="false">Guillaume_VIE!212:212-";7#!}J"</f>
        <v>#VALUE!</v>
      </c>
      <c r="BZ31" s="0" t="e">
        <f aca="false">Guillaume_VIE!213:213-";7#!}K"</f>
        <v>#VALUE!</v>
      </c>
      <c r="CA31" s="0" t="e">
        <f aca="false">Guillaume_VIE!214:214-";7#!}L"</f>
        <v>#VALUE!</v>
      </c>
      <c r="CB31" s="0" t="e">
        <f aca="false">Guillaume_VIE!215:215-";7#!}M"</f>
        <v>#VALUE!</v>
      </c>
      <c r="CC31" s="0" t="e">
        <f aca="false">Guillaume_VIE!216:216-";7#!}N"</f>
        <v>#VALUE!</v>
      </c>
      <c r="CD31" s="0" t="e">
        <f aca="false">Guillaume_VIE!217:217-";7#!}O"</f>
        <v>#VALUE!</v>
      </c>
      <c r="CE31" s="0" t="e">
        <f aca="false">Guillaume_VIE!218:218-";7#!}P"</f>
        <v>#VALUE!</v>
      </c>
      <c r="CF31" s="0" t="e">
        <f aca="false">Guillaume_VIE!219:219-";7#!}Q"</f>
        <v>#VALUE!</v>
      </c>
      <c r="CG31" s="0" t="e">
        <f aca="false">Guillaume_VIE!220:220-";7#!}R"</f>
        <v>#VALUE!</v>
      </c>
      <c r="CH31" s="0" t="e">
        <f aca="false">Guillaume_VIE!221:221-";7#!}S"</f>
        <v>#VALUE!</v>
      </c>
      <c r="CI31" s="0" t="e">
        <f aca="false">Guillaume_VIE!222:222-";7#!}T"</f>
        <v>#VALUE!</v>
      </c>
      <c r="CJ31" s="0" t="e">
        <f aca="false">Guillaume_VIE!223:223-";7#!}U"</f>
        <v>#VALUE!</v>
      </c>
      <c r="CK31" s="0" t="e">
        <f aca="false">Guillaume_VIE!224:224-";7#!}V"</f>
        <v>#VALUE!</v>
      </c>
      <c r="CL31" s="0" t="e">
        <f aca="false">Guillaume_VIE!225:225-";7#!}W"</f>
        <v>#VALUE!</v>
      </c>
      <c r="CM31" s="0" t="e">
        <f aca="false">Guillaume_VIE!226:226-";7#!}X"</f>
        <v>#VALUE!</v>
      </c>
      <c r="CN31" s="0" t="e">
        <f aca="false">Guillaume_VIE!A1+";7#!}Y"</f>
        <v>#VALUE!</v>
      </c>
      <c r="CO31" s="0" t="e">
        <f aca="false">Guillaume_VIE!B1+";7#!}Z"</f>
        <v>#VALUE!</v>
      </c>
      <c r="CP31" s="0" t="e">
        <f aca="false">Guillaume_VIE!C1+";7#!}["</f>
        <v>#VALUE!</v>
      </c>
      <c r="CQ31" s="0" t="e">
        <f aca="false">Guillaume_VIE!D1+";7#!}\"</f>
        <v>#VALUE!</v>
      </c>
      <c r="CR31" s="0" t="e">
        <f aca="false">Guillaume_VIE!E1+";7#!}]"</f>
        <v>#VALUE!</v>
      </c>
      <c r="CS31" s="0" t="e">
        <f aca="false">Guillaume_VIE!F1+";7#!}^"</f>
        <v>#VALUE!</v>
      </c>
      <c r="CT31" s="0" t="e">
        <f aca="false">Guillaume_VIE!G1+";7#!}_"</f>
        <v>#VALUE!</v>
      </c>
      <c r="CU31" s="0" t="e">
        <f aca="false">Guillaume_VIE!H1+";7#!}`"</f>
        <v>#VALUE!</v>
      </c>
      <c r="CV31" s="0" t="e">
        <f aca="false">Guillaume_VIE!I1+";7#!}a"</f>
        <v>#VALUE!</v>
      </c>
      <c r="CW31" s="0" t="e">
        <f aca="false">Guillaume_VIE!J1+";7#!}b"</f>
        <v>#VALUE!</v>
      </c>
      <c r="CX31" s="0" t="e">
        <f aca="false">Guillaume_VIE!K1+";7#!}c"</f>
        <v>#VALUE!</v>
      </c>
      <c r="CY31" s="0" t="e">
        <f aca="false">Guillaume_VIE!L1+";7#!}d"</f>
        <v>#VALUE!</v>
      </c>
      <c r="CZ31" s="0" t="e">
        <f aca="false">Guillaume_VIE!M1+";7#!}e"</f>
        <v>#VALUE!</v>
      </c>
      <c r="DA31" s="0" t="e">
        <f aca="false">Guillaume_VIE!N1+";7#!}f"</f>
        <v>#VALUE!</v>
      </c>
      <c r="DB31" s="0" t="e">
        <f aca="false">Guillaume_VIE!O1+";7#!}g"</f>
        <v>#VALUE!</v>
      </c>
      <c r="DC31" s="0" t="e">
        <f aca="false">Guillaume_VIE!A2+";7#!}h"</f>
        <v>#VALUE!</v>
      </c>
      <c r="DD31" s="0" t="e">
        <f aca="false">Guillaume_VIE!B2+";7#!}i"</f>
        <v>#VALUE!</v>
      </c>
      <c r="DE31" s="0" t="e">
        <f aca="false">Guillaume_VIE!C2+";7#!}j"</f>
        <v>#VALUE!</v>
      </c>
      <c r="DF31" s="0" t="e">
        <f aca="false">Guillaume_VIE!D2+";7#!}k"</f>
        <v>#VALUE!</v>
      </c>
      <c r="DG31" s="0" t="e">
        <f aca="false">Guillaume_VIE!E2+";7#!}l"</f>
        <v>#VALUE!</v>
      </c>
      <c r="DH31" s="0" t="e">
        <f aca="false">Guillaume_VIE!F2+";7#!}m"</f>
        <v>#VALUE!</v>
      </c>
      <c r="DI31" s="0" t="e">
        <f aca="false">Guillaume_VIE!G2+";7#!}n"</f>
        <v>#VALUE!</v>
      </c>
      <c r="DJ31" s="0" t="e">
        <f aca="false">Guillaume_VIE!H2+";7#!}o"</f>
        <v>#VALUE!</v>
      </c>
      <c r="DK31" s="0" t="e">
        <f aca="false">Guillaume_VIE!I2+";7#!}p"</f>
        <v>#VALUE!</v>
      </c>
      <c r="DL31" s="0" t="e">
        <f aca="false">Guillaume_VIE!J2+";7#!}q"</f>
        <v>#VALUE!</v>
      </c>
      <c r="DM31" s="0" t="e">
        <f aca="false">Guillaume_VIE!K2+";7#!}r"</f>
        <v>#VALUE!</v>
      </c>
      <c r="DN31" s="0" t="e">
        <f aca="false">Guillaume_VIE!L2+";7#!}s"</f>
        <v>#VALUE!</v>
      </c>
      <c r="DO31" s="0" t="e">
        <f aca="false">Guillaume_VIE!M2+";7#!}t"</f>
        <v>#VALUE!</v>
      </c>
      <c r="DP31" s="0" t="e">
        <f aca="false">Guillaume_VIE!N2+";7#!}u"</f>
        <v>#VALUE!</v>
      </c>
      <c r="DQ31" s="0" t="e">
        <f aca="false">Guillaume_VIE!O2+";7#!}v"</f>
        <v>#VALUE!</v>
      </c>
      <c r="DR31" s="0" t="e">
        <f aca="false">Guillaume_VIE!P2+";7#!}w"</f>
        <v>#VALUE!</v>
      </c>
      <c r="DS31" s="0" t="e">
        <f aca="false">Guillaume_VIE!Q2+";7#!}x"</f>
        <v>#VALUE!</v>
      </c>
      <c r="DT31" s="0" t="e">
        <f aca="false">Guillaume_VIE!A3+";7#!}y"</f>
        <v>#VALUE!</v>
      </c>
      <c r="DU31" s="0" t="e">
        <f aca="false">Guillaume_VIE!B3+";7#!}z"</f>
        <v>#VALUE!</v>
      </c>
      <c r="DV31" s="0" t="e">
        <f aca="false">Guillaume_VIE!C3+";7#!}{"</f>
        <v>#VALUE!</v>
      </c>
      <c r="DW31" s="0" t="e">
        <f aca="false">Guillaume_VIE!D3+";7#!}|"</f>
        <v>#VALUE!</v>
      </c>
      <c r="DX31" s="0" t="e">
        <f aca="false">Guillaume_VIE!E3+";7#!}}"</f>
        <v>#VALUE!</v>
      </c>
      <c r="DY31" s="0" t="e">
        <f aca="false">Guillaume_VIE!F3+";7#!}~"</f>
        <v>#VALUE!</v>
      </c>
      <c r="DZ31" s="0" t="e">
        <f aca="false">Guillaume_VIE!G3+";7#!~#"</f>
        <v>#VALUE!</v>
      </c>
      <c r="EA31" s="0" t="e">
        <f aca="false">Guillaume_VIE!H3+";7#!~$"</f>
        <v>#VALUE!</v>
      </c>
      <c r="EB31" s="0" t="e">
        <f aca="false">Guillaume_VIE!I3+";7#!~%"</f>
        <v>#VALUE!</v>
      </c>
      <c r="EC31" s="0" t="e">
        <f aca="false">Guillaume_VIE!J3+";7#!~&amp;"</f>
        <v>#VALUE!</v>
      </c>
      <c r="ED31" s="0" t="e">
        <f aca="false">Guillaume_VIE!K3+";7#!~'"</f>
        <v>#VALUE!</v>
      </c>
      <c r="EE31" s="0" t="e">
        <f aca="false">Guillaume_VIE!L3+";7#!~("</f>
        <v>#VALUE!</v>
      </c>
      <c r="EF31" s="0" t="e">
        <f aca="false">Guillaume_VIE!M3+";7#!~)"</f>
        <v>#VALUE!</v>
      </c>
      <c r="EG31" s="0" t="e">
        <f aca="false">Guillaume_VIE!N3+";7#!~."</f>
        <v>#VALUE!</v>
      </c>
      <c r="EH31" s="0" t="e">
        <f aca="false">Guillaume_VIE!O3+";7#!~/"</f>
        <v>#VALUE!</v>
      </c>
      <c r="EI31" s="0" t="e">
        <f aca="false">Guillaume_VIE!P3+";7#!~0"</f>
        <v>#VALUE!</v>
      </c>
      <c r="EJ31" s="0" t="e">
        <f aca="false">Guillaume_VIE!Q3+";7#!~1"</f>
        <v>#VALUE!</v>
      </c>
      <c r="EK31" s="0" t="e">
        <f aca="false">Guillaume_VIE!A4+";7#!~2"</f>
        <v>#VALUE!</v>
      </c>
      <c r="EL31" s="0" t="e">
        <f aca="false">Guillaume_VIE!B4+";7#!~3"</f>
        <v>#VALUE!</v>
      </c>
      <c r="EM31" s="0" t="e">
        <f aca="false">Guillaume_VIE!C4+";7#!~4"</f>
        <v>#VALUE!</v>
      </c>
      <c r="EN31" s="0" t="e">
        <f aca="false">Guillaume_VIE!D4+";7#!~5"</f>
        <v>#VALUE!</v>
      </c>
      <c r="EO31" s="0" t="e">
        <f aca="false">Guillaume_VIE!E4+";7#!~6"</f>
        <v>#VALUE!</v>
      </c>
      <c r="EP31" s="0" t="e">
        <f aca="false">Guillaume_VIE!F4+";7#!~7"</f>
        <v>#VALUE!</v>
      </c>
      <c r="EQ31" s="0" t="e">
        <f aca="false">Guillaume_VIE!G4+";7#!~8"</f>
        <v>#VALUE!</v>
      </c>
      <c r="ER31" s="0" t="e">
        <f aca="false">Guillaume_VIE!H4+";7#!~9"</f>
        <v>#VALUE!</v>
      </c>
      <c r="ES31" s="0" t="e">
        <f aca="false">Guillaume_VIE!I4+";7#!~:"</f>
        <v>#VALUE!</v>
      </c>
      <c r="ET31" s="0" t="e">
        <f aca="false">Guillaume_VIE!J4+";7#!~;"</f>
        <v>#VALUE!</v>
      </c>
      <c r="EU31" s="0" t="e">
        <f aca="false">Guillaume_VIE!K4+";7#!~&lt;"</f>
        <v>#VALUE!</v>
      </c>
      <c r="EV31" s="0" t="e">
        <f aca="false">Guillaume_VIE!L4+";7#!~="</f>
        <v>#VALUE!</v>
      </c>
      <c r="EW31" s="0" t="e">
        <f aca="false">Guillaume_VIE!M4+";7#!~&gt;"</f>
        <v>#VALUE!</v>
      </c>
      <c r="EX31" s="0" t="e">
        <f aca="false">Guillaume_VIE!N4+";7#!~?"</f>
        <v>#VALUE!</v>
      </c>
      <c r="EY31" s="0" t="e">
        <f aca="false">Guillaume_VIE!O4+";7#!~@"</f>
        <v>#VALUE!</v>
      </c>
      <c r="EZ31" s="0" t="e">
        <f aca="false">Guillaume_VIE!P4+";7#!~A"</f>
        <v>#VALUE!</v>
      </c>
      <c r="FA31" s="0" t="e">
        <f aca="false">Guillaume_VIE!Q4+";7#!~B"</f>
        <v>#VALUE!</v>
      </c>
      <c r="FB31" s="0" t="e">
        <f aca="false">Guillaume_VIE!A5+";7#!~C"</f>
        <v>#VALUE!</v>
      </c>
      <c r="FC31" s="0" t="e">
        <f aca="false">Guillaume_VIE!B5+";7#!~D"</f>
        <v>#VALUE!</v>
      </c>
      <c r="FD31" s="0" t="e">
        <f aca="false">Guillaume_VIE!C5+";7#!~E"</f>
        <v>#VALUE!</v>
      </c>
      <c r="FE31" s="0" t="e">
        <f aca="false">Guillaume_VIE!D5+";7#!~F"</f>
        <v>#VALUE!</v>
      </c>
      <c r="FF31" s="0" t="e">
        <f aca="false">Guillaume_VIE!E5+";7#!~G"</f>
        <v>#VALUE!</v>
      </c>
      <c r="FG31" s="0" t="e">
        <f aca="false">Guillaume_VIE!F5+";7#!~H"</f>
        <v>#VALUE!</v>
      </c>
      <c r="FH31" s="0" t="e">
        <f aca="false">Guillaume_VIE!G5+";7#!~I"</f>
        <v>#VALUE!</v>
      </c>
      <c r="FI31" s="0" t="e">
        <f aca="false">Guillaume_VIE!H5+";7#!~J"</f>
        <v>#VALUE!</v>
      </c>
      <c r="FJ31" s="0" t="e">
        <f aca="false">Guillaume_VIE!I5+";7#!~K"</f>
        <v>#VALUE!</v>
      </c>
      <c r="FK31" s="0" t="e">
        <f aca="false">Guillaume_VIE!J5+";7#!~L"</f>
        <v>#VALUE!</v>
      </c>
      <c r="FL31" s="0" t="e">
        <f aca="false">Guillaume_VIE!K5+";7#!~M"</f>
        <v>#VALUE!</v>
      </c>
      <c r="FM31" s="0" t="e">
        <f aca="false">Guillaume_VIE!L5+";7#!~N"</f>
        <v>#VALUE!</v>
      </c>
      <c r="FN31" s="0" t="e">
        <f aca="false">Guillaume_VIE!M5+";7#!~O"</f>
        <v>#VALUE!</v>
      </c>
      <c r="FO31" s="0" t="e">
        <f aca="false">Guillaume_VIE!N5+";7#!~P"</f>
        <v>#VALUE!</v>
      </c>
      <c r="FP31" s="0" t="e">
        <f aca="false">Guillaume_VIE!O5+";7#!~Q"</f>
        <v>#VALUE!</v>
      </c>
      <c r="FQ31" s="0" t="e">
        <f aca="false">Guillaume_VIE!P5+";7#!~R"</f>
        <v>#VALUE!</v>
      </c>
      <c r="FR31" s="0" t="e">
        <f aca="false">Guillaume_VIE!A6+";7#!~S"</f>
        <v>#VALUE!</v>
      </c>
      <c r="FS31" s="0" t="e">
        <f aca="false">Guillaume_VIE!B6+";7#!~T"</f>
        <v>#VALUE!</v>
      </c>
      <c r="FT31" s="0" t="e">
        <f aca="false">Guillaume_VIE!C6+";7#!~U"</f>
        <v>#VALUE!</v>
      </c>
      <c r="FU31" s="0" t="e">
        <f aca="false">Guillaume_VIE!D6+";7#!~V"</f>
        <v>#VALUE!</v>
      </c>
      <c r="FV31" s="0" t="e">
        <f aca="false">Guillaume_VIE!E6+";7#!~W"</f>
        <v>#VALUE!</v>
      </c>
      <c r="FW31" s="0" t="e">
        <f aca="false">Guillaume_VIE!F6+";7#!~X"</f>
        <v>#VALUE!</v>
      </c>
      <c r="FX31" s="0" t="e">
        <f aca="false">Guillaume_VIE!G6+";7#!~Y"</f>
        <v>#VALUE!</v>
      </c>
      <c r="FY31" s="0" t="e">
        <f aca="false">Guillaume_VIE!H6+";7#!~Z"</f>
        <v>#VALUE!</v>
      </c>
      <c r="FZ31" s="0" t="e">
        <f aca="false">Guillaume_VIE!I6+";7#!~["</f>
        <v>#VALUE!</v>
      </c>
      <c r="GA31" s="0" t="e">
        <f aca="false">Guillaume_VIE!J6+";7#!~\"</f>
        <v>#VALUE!</v>
      </c>
      <c r="GB31" s="0" t="e">
        <f aca="false">Guillaume_VIE!K6+";7#!~]"</f>
        <v>#VALUE!</v>
      </c>
      <c r="GC31" s="0" t="e">
        <f aca="false">Guillaume_VIE!L6+";7#!~^"</f>
        <v>#VALUE!</v>
      </c>
      <c r="GD31" s="0" t="e">
        <f aca="false">Guillaume_VIE!M6+";7#!~_"</f>
        <v>#VALUE!</v>
      </c>
      <c r="GE31" s="0" t="e">
        <f aca="false">Guillaume_VIE!N6+";7#!~`"</f>
        <v>#VALUE!</v>
      </c>
      <c r="GF31" s="0" t="e">
        <f aca="false">Guillaume_VIE!O6+";7#!~a"</f>
        <v>#VALUE!</v>
      </c>
      <c r="GG31" s="0" t="e">
        <f aca="false">Guillaume_VIE!P6+";7#!~b"</f>
        <v>#VALUE!</v>
      </c>
      <c r="GH31" s="0" t="e">
        <f aca="false">Guillaume_VIE!A7+";7#!~c"</f>
        <v>#VALUE!</v>
      </c>
      <c r="GI31" s="0" t="e">
        <f aca="false">Guillaume_VIE!B7+";7#!~d"</f>
        <v>#VALUE!</v>
      </c>
      <c r="GJ31" s="0" t="e">
        <f aca="false">Guillaume_VIE!C7+";7#!~e"</f>
        <v>#VALUE!</v>
      </c>
      <c r="GK31" s="0" t="e">
        <f aca="false">Guillaume_VIE!D7+";7#!~f"</f>
        <v>#VALUE!</v>
      </c>
      <c r="GL31" s="0" t="e">
        <f aca="false">Guillaume_VIE!E7+";7#!~g"</f>
        <v>#VALUE!</v>
      </c>
      <c r="GM31" s="0" t="e">
        <f aca="false">Guillaume_VIE!F7+";7#!~h"</f>
        <v>#VALUE!</v>
      </c>
      <c r="GN31" s="0" t="e">
        <f aca="false">Guillaume_VIE!G7+";7#!~i"</f>
        <v>#VALUE!</v>
      </c>
      <c r="GO31" s="0" t="e">
        <f aca="false">Guillaume_VIE!H7+";7#!~j"</f>
        <v>#VALUE!</v>
      </c>
      <c r="GP31" s="0" t="e">
        <f aca="false">Guillaume_VIE!I7+";7#!~k"</f>
        <v>#VALUE!</v>
      </c>
      <c r="GQ31" s="0" t="e">
        <f aca="false">Guillaume_VIE!J7+";7#!~l"</f>
        <v>#VALUE!</v>
      </c>
      <c r="GR31" s="0" t="e">
        <f aca="false">Guillaume_VIE!K7+";7#!~m"</f>
        <v>#VALUE!</v>
      </c>
      <c r="GS31" s="0" t="e">
        <f aca="false">Guillaume_VIE!L7+";7#!~n"</f>
        <v>#VALUE!</v>
      </c>
      <c r="GT31" s="0" t="e">
        <f aca="false">Guillaume_VIE!M7+";7#!~o"</f>
        <v>#VALUE!</v>
      </c>
      <c r="GU31" s="0" t="e">
        <f aca="false">Guillaume_VIE!N7+";7#!~p"</f>
        <v>#VALUE!</v>
      </c>
      <c r="GV31" s="0" t="e">
        <f aca="false">Guillaume_VIE!O7+";7#!~q"</f>
        <v>#VALUE!</v>
      </c>
      <c r="GW31" s="0" t="e">
        <f aca="false">Guillaume_VIE!P7+";7#!~r"</f>
        <v>#VALUE!</v>
      </c>
      <c r="GX31" s="0" t="e">
        <f aca="false">Guillaume_VIE!A8+";7#!~s"</f>
        <v>#VALUE!</v>
      </c>
      <c r="GY31" s="0" t="e">
        <f aca="false">Guillaume_VIE!B8+";7#!~t"</f>
        <v>#VALUE!</v>
      </c>
      <c r="GZ31" s="0" t="e">
        <f aca="false">Guillaume_VIE!C8+";7#!~u"</f>
        <v>#VALUE!</v>
      </c>
      <c r="HA31" s="0" t="e">
        <f aca="false">Guillaume_VIE!D8+";7#!~v"</f>
        <v>#VALUE!</v>
      </c>
      <c r="HB31" s="0" t="e">
        <f aca="false">Guillaume_VIE!E8+";7#!~w"</f>
        <v>#VALUE!</v>
      </c>
      <c r="HC31" s="0" t="e">
        <f aca="false">Guillaume_VIE!F8+";7#!~x"</f>
        <v>#VALUE!</v>
      </c>
      <c r="HD31" s="0" t="e">
        <f aca="false">Guillaume_VIE!G8+";7#!~y"</f>
        <v>#VALUE!</v>
      </c>
      <c r="HE31" s="0" t="e">
        <f aca="false">Guillaume_VIE!H8+";7#!~z"</f>
        <v>#VALUE!</v>
      </c>
      <c r="HF31" s="0" t="e">
        <f aca="false">Guillaume_VIE!I8+";7#!~{"</f>
        <v>#VALUE!</v>
      </c>
      <c r="HG31" s="0" t="e">
        <f aca="false">Guillaume_VIE!J8+";7#!~|"</f>
        <v>#VALUE!</v>
      </c>
      <c r="HH31" s="0" t="e">
        <f aca="false">Guillaume_VIE!K8+";7#!~}"</f>
        <v>#VALUE!</v>
      </c>
      <c r="HI31" s="0" t="e">
        <f aca="false">Guillaume_VIE!L8+";7#!~~"</f>
        <v>#VALUE!</v>
      </c>
      <c r="HJ31" s="0" t="e">
        <f aca="false">Guillaume_VIE!M8+";7#!$##"</f>
        <v>#VALUE!</v>
      </c>
      <c r="HK31" s="0" t="e">
        <f aca="false">Guillaume_VIE!N8+";7#!$#$"</f>
        <v>#VALUE!</v>
      </c>
      <c r="HL31" s="0" t="e">
        <f aca="false">Guillaume_VIE!O8+";7#!$#%"</f>
        <v>#VALUE!</v>
      </c>
      <c r="HM31" s="0" t="e">
        <f aca="false">Guillaume_VIE!P8+";7#!$#&amp;"</f>
        <v>#VALUE!</v>
      </c>
      <c r="HN31" s="0" t="e">
        <f aca="false">Guillaume_VIE!A9+";7#!$#'"</f>
        <v>#VALUE!</v>
      </c>
      <c r="HO31" s="0" t="e">
        <f aca="false">Guillaume_VIE!B9+";7#!$#("</f>
        <v>#VALUE!</v>
      </c>
      <c r="HP31" s="0" t="e">
        <f aca="false">Guillaume_VIE!C9+";7#!$#)"</f>
        <v>#VALUE!</v>
      </c>
      <c r="HQ31" s="0" t="e">
        <f aca="false">Guillaume_VIE!D9+";7#!$#."</f>
        <v>#VALUE!</v>
      </c>
      <c r="HR31" s="0" t="e">
        <f aca="false">Guillaume_VIE!E9+";7#!$#/"</f>
        <v>#VALUE!</v>
      </c>
      <c r="HS31" s="0" t="e">
        <f aca="false">Guillaume_VIE!F9+";7#!$#0"</f>
        <v>#VALUE!</v>
      </c>
      <c r="HT31" s="0" t="e">
        <f aca="false">Guillaume_VIE!G9+";7#!$#1"</f>
        <v>#VALUE!</v>
      </c>
      <c r="HU31" s="0" t="e">
        <f aca="false">Guillaume_VIE!H9+";7#!$#2"</f>
        <v>#VALUE!</v>
      </c>
      <c r="HV31" s="35" t="e">
        <f aca="false">Guillaume_VIE!I9+";7#!$#3"</f>
        <v>#VALUE!</v>
      </c>
      <c r="HW31" s="0" t="e">
        <f aca="false">Guillaume_VIE!J9+";7#!$#4"</f>
        <v>#VALUE!</v>
      </c>
      <c r="HX31" s="0" t="e">
        <f aca="false">Guillaume_VIE!K9+";7#!$#5"</f>
        <v>#VALUE!</v>
      </c>
      <c r="HY31" s="0" t="e">
        <f aca="false">Guillaume_VIE!L9+";7#!$#6"</f>
        <v>#VALUE!</v>
      </c>
      <c r="HZ31" s="0" t="e">
        <f aca="false">Guillaume_VIE!M9+";7#!$#7"</f>
        <v>#VALUE!</v>
      </c>
      <c r="IA31" s="0" t="e">
        <f aca="false">Guillaume_VIE!N9+";7#!$#8"</f>
        <v>#VALUE!</v>
      </c>
      <c r="IB31" s="0" t="e">
        <f aca="false">Guillaume_VIE!O9+";7#!$#9"</f>
        <v>#VALUE!</v>
      </c>
      <c r="IC31" s="0" t="e">
        <f aca="false">Guillaume_VIE!P9+";7#!$#:"</f>
        <v>#VALUE!</v>
      </c>
      <c r="ID31" s="0" t="e">
        <f aca="false">Guillaume_VIE!A10+";7#!$#;"</f>
        <v>#VALUE!</v>
      </c>
      <c r="IE31" s="0" t="e">
        <f aca="false">Guillaume_VIE!B10+";7#!$#&lt;"</f>
        <v>#VALUE!</v>
      </c>
      <c r="IF31" s="0" t="e">
        <f aca="false">Guillaume_VIE!C10+";7#!$#="</f>
        <v>#VALUE!</v>
      </c>
      <c r="IG31" s="0" t="e">
        <f aca="false">Guillaume_VIE!D10+";7#!$#&gt;"</f>
        <v>#VALUE!</v>
      </c>
      <c r="IH31" s="0" t="e">
        <f aca="false">Guillaume_VIE!E10+";7#!$#?"</f>
        <v>#VALUE!</v>
      </c>
      <c r="II31" s="0" t="e">
        <f aca="false">Guillaume_VIE!F10+";7#!$#@"</f>
        <v>#VALUE!</v>
      </c>
      <c r="IJ31" s="0" t="e">
        <f aca="false">Guillaume_VIE!G10+";7#!$#A"</f>
        <v>#VALUE!</v>
      </c>
      <c r="IK31" s="0" t="e">
        <f aca="false">Guillaume_VIE!H10+";7#!$#B"</f>
        <v>#VALUE!</v>
      </c>
      <c r="IL31" s="35" t="e">
        <f aca="false">Guillaume_VIE!I10+";7#!$#C"</f>
        <v>#VALUE!</v>
      </c>
      <c r="IM31" s="0" t="e">
        <f aca="false">Guillaume_VIE!J10+";7#!$#D"</f>
        <v>#VALUE!</v>
      </c>
      <c r="IN31" s="0" t="e">
        <f aca="false">Guillaume_VIE!K10+";7#!$#E"</f>
        <v>#VALUE!</v>
      </c>
      <c r="IO31" s="0" t="e">
        <f aca="false">Guillaume_VIE!L10+";7#!$#F"</f>
        <v>#VALUE!</v>
      </c>
      <c r="IP31" s="0" t="e">
        <f aca="false">Guillaume_VIE!M10+";7#!$#G"</f>
        <v>#VALUE!</v>
      </c>
      <c r="IQ31" s="0" t="e">
        <f aca="false">Guillaume_VIE!N10+";7#!$#H"</f>
        <v>#VALUE!</v>
      </c>
      <c r="IR31" s="0" t="e">
        <f aca="false">Guillaume_VIE!O10+";7#!$#I"</f>
        <v>#VALUE!</v>
      </c>
      <c r="IS31" s="0" t="e">
        <f aca="false">Guillaume_VIE!P10+";7#!$#J"</f>
        <v>#VALUE!</v>
      </c>
      <c r="IT31" s="0" t="e">
        <f aca="false">Guillaume_VIE!A11+";7#!$#K"</f>
        <v>#VALUE!</v>
      </c>
      <c r="IU31" s="0" t="e">
        <f aca="false">Guillaume_VIE!B11+";7#!$#L"</f>
        <v>#VALUE!</v>
      </c>
      <c r="IV31" s="0" t="e">
        <f aca="false">Guillaume_VIE!C11+";7#!$#M"</f>
        <v>#VALUE!</v>
      </c>
    </row>
    <row r="32" customFormat="false" ht="15" hidden="false" customHeight="false" outlineLevel="0" collapsed="false">
      <c r="F32" s="0" t="e">
        <f aca="false">Guillaume_VIE!D11+";7#!$#N"</f>
        <v>#VALUE!</v>
      </c>
      <c r="G32" s="0" t="e">
        <f aca="false">Guillaume_VIE!E11+";7#!$#O"</f>
        <v>#VALUE!</v>
      </c>
      <c r="H32" s="0" t="e">
        <f aca="false">Guillaume_VIE!F11+";7#!$#P"</f>
        <v>#VALUE!</v>
      </c>
      <c r="I32" s="0" t="e">
        <f aca="false">Guillaume_VIE!G11+";7#!$#Q"</f>
        <v>#VALUE!</v>
      </c>
      <c r="J32" s="0" t="e">
        <f aca="false">Guillaume_VIE!H11+";7#!$#R"</f>
        <v>#VALUE!</v>
      </c>
      <c r="K32" s="0" t="e">
        <f aca="false">Guillaume_VIE!I11+";7#!$#S"</f>
        <v>#VALUE!</v>
      </c>
      <c r="L32" s="0" t="e">
        <f aca="false">Guillaume_VIE!J11+";7#!$#T"</f>
        <v>#VALUE!</v>
      </c>
      <c r="M32" s="0" t="e">
        <f aca="false">Guillaume_VIE!K11+";7#!$#U"</f>
        <v>#VALUE!</v>
      </c>
      <c r="N32" s="0" t="e">
        <f aca="false">Guillaume_VIE!L11+";7#!$#V"</f>
        <v>#VALUE!</v>
      </c>
      <c r="O32" s="0" t="e">
        <f aca="false">Guillaume_VIE!M11+";7#!$#W"</f>
        <v>#VALUE!</v>
      </c>
      <c r="P32" s="0" t="e">
        <f aca="false">Guillaume_VIE!N11+";7#!$#X"</f>
        <v>#VALUE!</v>
      </c>
      <c r="Q32" s="0" t="e">
        <f aca="false">Guillaume_VIE!O11+";7#!$#Y"</f>
        <v>#VALUE!</v>
      </c>
      <c r="R32" s="0" t="e">
        <f aca="false">Guillaume_VIE!P11+";7#!$#Z"</f>
        <v>#VALUE!</v>
      </c>
      <c r="S32" s="0" t="e">
        <f aca="false">Guillaume_VIE!A12+";7#!$#["</f>
        <v>#VALUE!</v>
      </c>
      <c r="T32" s="0" t="e">
        <f aca="false">Guillaume_VIE!B12+";7#!$#\"</f>
        <v>#VALUE!</v>
      </c>
      <c r="U32" s="0" t="e">
        <f aca="false">Guillaume_VIE!C12+";7#!$#]"</f>
        <v>#VALUE!</v>
      </c>
      <c r="V32" s="0" t="e">
        <f aca="false">Guillaume_VIE!D12+";7#!$#^"</f>
        <v>#VALUE!</v>
      </c>
      <c r="W32" s="0" t="e">
        <f aca="false">Guillaume_VIE!E12+";7#!$#_"</f>
        <v>#VALUE!</v>
      </c>
      <c r="X32" s="0" t="e">
        <f aca="false">Guillaume_VIE!F12+";7#!$#`"</f>
        <v>#VALUE!</v>
      </c>
      <c r="Y32" s="0" t="e">
        <f aca="false">Guillaume_VIE!G12+";7#!$#a"</f>
        <v>#VALUE!</v>
      </c>
      <c r="Z32" s="0" t="e">
        <f aca="false">Guillaume_VIE!H12+";7#!$#b"</f>
        <v>#VALUE!</v>
      </c>
      <c r="AA32" s="0" t="e">
        <f aca="false">Guillaume_VIE!I12+";7#!$#c"</f>
        <v>#VALUE!</v>
      </c>
      <c r="AB32" s="0" t="e">
        <f aca="false">Guillaume_VIE!J12+";7#!$#d"</f>
        <v>#VALUE!</v>
      </c>
      <c r="AC32" s="0" t="e">
        <f aca="false">Guillaume_VIE!K12+";7#!$#e"</f>
        <v>#VALUE!</v>
      </c>
      <c r="AD32" s="0" t="e">
        <f aca="false">Guillaume_VIE!L12+";7#!$#f"</f>
        <v>#VALUE!</v>
      </c>
      <c r="AE32" s="0" t="e">
        <f aca="false">Guillaume_VIE!M12+";7#!$#g"</f>
        <v>#VALUE!</v>
      </c>
      <c r="AF32" s="0" t="e">
        <f aca="false">Guillaume_VIE!N12+";7#!$#h"</f>
        <v>#VALUE!</v>
      </c>
      <c r="AG32" s="0" t="e">
        <f aca="false">Guillaume_VIE!O12+";7#!$#i"</f>
        <v>#VALUE!</v>
      </c>
      <c r="AH32" s="0" t="e">
        <f aca="false">Guillaume_VIE!P12+";7#!$#j"</f>
        <v>#VALUE!</v>
      </c>
      <c r="AI32" s="0" t="e">
        <f aca="false">Guillaume_VIE!A13+";7#!$#k"</f>
        <v>#VALUE!</v>
      </c>
      <c r="AJ32" s="0" t="e">
        <f aca="false">Guillaume_VIE!B13+";7#!$#l"</f>
        <v>#VALUE!</v>
      </c>
      <c r="AK32" s="0" t="e">
        <f aca="false">Guillaume_VIE!C13+";7#!$#m"</f>
        <v>#VALUE!</v>
      </c>
      <c r="AL32" s="0" t="e">
        <f aca="false">Guillaume_VIE!D13+";7#!$#n"</f>
        <v>#VALUE!</v>
      </c>
      <c r="AM32" s="0" t="e">
        <f aca="false">Guillaume_VIE!E13+";7#!$#o"</f>
        <v>#VALUE!</v>
      </c>
      <c r="AN32" s="0" t="e">
        <f aca="false">Guillaume_VIE!F13+";7#!$#p"</f>
        <v>#VALUE!</v>
      </c>
      <c r="AO32" s="0" t="e">
        <f aca="false">Guillaume_VIE!G13+";7#!$#q"</f>
        <v>#VALUE!</v>
      </c>
      <c r="AP32" s="0" t="e">
        <f aca="false">Guillaume_VIE!H13+";7#!$#r"</f>
        <v>#VALUE!</v>
      </c>
      <c r="AQ32" s="0" t="e">
        <f aca="false">Guillaume_VIE!I13+";7#!$#s"</f>
        <v>#VALUE!</v>
      </c>
      <c r="AR32" s="0" t="e">
        <f aca="false">Guillaume_VIE!J13+";7#!$#t"</f>
        <v>#VALUE!</v>
      </c>
      <c r="AS32" s="0" t="e">
        <f aca="false">Guillaume_VIE!K13+";7#!$#u"</f>
        <v>#VALUE!</v>
      </c>
      <c r="AT32" s="0" t="e">
        <f aca="false">Guillaume_VIE!L13+";7#!$#v"</f>
        <v>#VALUE!</v>
      </c>
      <c r="AU32" s="0" t="e">
        <f aca="false">Guillaume_VIE!M13+";7#!$#w"</f>
        <v>#VALUE!</v>
      </c>
      <c r="AV32" s="0" t="e">
        <f aca="false">Guillaume_VIE!N13+";7#!$#x"</f>
        <v>#VALUE!</v>
      </c>
      <c r="AW32" s="0" t="e">
        <f aca="false">Guillaume_VIE!O13+";7#!$#y"</f>
        <v>#VALUE!</v>
      </c>
      <c r="AX32" s="0" t="e">
        <f aca="false">Guillaume_VIE!P13+";7#!$#z"</f>
        <v>#VALUE!</v>
      </c>
      <c r="AY32" s="0" t="e">
        <f aca="false">Guillaume_VIE!A14+";7#!$#{"</f>
        <v>#VALUE!</v>
      </c>
      <c r="AZ32" s="0" t="e">
        <f aca="false">Guillaume_VIE!B14+";7#!$#|"</f>
        <v>#VALUE!</v>
      </c>
      <c r="BA32" s="0" t="e">
        <f aca="false">Guillaume_VIE!C14+";7#!$#}"</f>
        <v>#VALUE!</v>
      </c>
      <c r="BB32" s="0" t="e">
        <f aca="false">Guillaume_VIE!D14+";7#!$#~"</f>
        <v>#VALUE!</v>
      </c>
      <c r="BC32" s="0" t="e">
        <f aca="false">Guillaume_VIE!E14+";7#!$$#"</f>
        <v>#VALUE!</v>
      </c>
      <c r="BD32" s="0" t="e">
        <f aca="false">Guillaume_VIE!F14+";7#!$$$"</f>
        <v>#VALUE!</v>
      </c>
      <c r="BE32" s="35" t="e">
        <f aca="false">Guillaume_VIE!G14+";7#!$$%"</f>
        <v>#VALUE!</v>
      </c>
      <c r="BF32" s="0" t="e">
        <f aca="false">Guillaume_VIE!H14+";7#!$$&amp;"</f>
        <v>#VALUE!</v>
      </c>
      <c r="BG32" s="0" t="e">
        <f aca="false">Guillaume_VIE!I14+";7#!$$'"</f>
        <v>#VALUE!</v>
      </c>
      <c r="BH32" s="0" t="e">
        <f aca="false">Guillaume_VIE!J14+";7#!$$("</f>
        <v>#VALUE!</v>
      </c>
      <c r="BI32" s="0" t="e">
        <f aca="false">Guillaume_VIE!K14+";7#!$$)"</f>
        <v>#VALUE!</v>
      </c>
      <c r="BJ32" s="0" t="e">
        <f aca="false">Guillaume_VIE!L14+";7#!$$."</f>
        <v>#VALUE!</v>
      </c>
      <c r="BK32" s="0" t="e">
        <f aca="false">Guillaume_VIE!M14+";7#!$$/"</f>
        <v>#VALUE!</v>
      </c>
      <c r="BL32" s="0" t="e">
        <f aca="false">Guillaume_VIE!N14+";7#!$$0"</f>
        <v>#VALUE!</v>
      </c>
      <c r="BM32" s="0" t="e">
        <f aca="false">Guillaume_VIE!O14+";7#!$$1"</f>
        <v>#VALUE!</v>
      </c>
      <c r="BN32" s="0" t="e">
        <f aca="false">Guillaume_VIE!P14+";7#!$$2"</f>
        <v>#VALUE!</v>
      </c>
      <c r="BO32" s="0" t="e">
        <f aca="false">Guillaume_VIE!A15+";7#!$$3"</f>
        <v>#VALUE!</v>
      </c>
      <c r="BP32" s="0" t="e">
        <f aca="false">Guillaume_VIE!B15+";7#!$$4"</f>
        <v>#VALUE!</v>
      </c>
      <c r="BQ32" s="0" t="e">
        <f aca="false">Guillaume_VIE!C15+";7#!$$5"</f>
        <v>#VALUE!</v>
      </c>
      <c r="BR32" s="0" t="e">
        <f aca="false">Guillaume_VIE!D15+";7#!$$6"</f>
        <v>#VALUE!</v>
      </c>
      <c r="BS32" s="0" t="e">
        <f aca="false">Guillaume_VIE!E15+";7#!$$7"</f>
        <v>#VALUE!</v>
      </c>
      <c r="BT32" s="0" t="e">
        <f aca="false">Guillaume_VIE!F15+";7#!$$8"</f>
        <v>#VALUE!</v>
      </c>
      <c r="BU32" s="0" t="e">
        <f aca="false">Guillaume_VIE!G15+";7#!$$9"</f>
        <v>#VALUE!</v>
      </c>
      <c r="BV32" s="0" t="e">
        <f aca="false">Guillaume_VIE!H15+";7#!$$:"</f>
        <v>#VALUE!</v>
      </c>
      <c r="BW32" s="0" t="e">
        <f aca="false">Guillaume_VIE!I15+";7#!$$;"</f>
        <v>#VALUE!</v>
      </c>
      <c r="BX32" s="0" t="e">
        <f aca="false">Guillaume_VIE!J15+";7#!$$&lt;"</f>
        <v>#VALUE!</v>
      </c>
      <c r="BY32" s="0" t="e">
        <f aca="false">Guillaume_VIE!K15+";7#!$$="</f>
        <v>#VALUE!</v>
      </c>
      <c r="BZ32" s="0" t="e">
        <f aca="false">Guillaume_VIE!L15+";7#!$$&gt;"</f>
        <v>#VALUE!</v>
      </c>
      <c r="CA32" s="0" t="e">
        <f aca="false">Guillaume_VIE!M15+";7#!$$?"</f>
        <v>#VALUE!</v>
      </c>
      <c r="CB32" s="0" t="e">
        <f aca="false">Guillaume_VIE!N15+";7#!$$@"</f>
        <v>#VALUE!</v>
      </c>
      <c r="CC32" s="0" t="e">
        <f aca="false">Guillaume_VIE!O15+";7#!$$A"</f>
        <v>#VALUE!</v>
      </c>
      <c r="CD32" s="0" t="e">
        <f aca="false">Guillaume_VIE!P15+";7#!$$B"</f>
        <v>#VALUE!</v>
      </c>
      <c r="CE32" s="0" t="e">
        <f aca="false">Guillaume_VIE!A16+";7#!$$C"</f>
        <v>#VALUE!</v>
      </c>
      <c r="CF32" s="0" t="e">
        <f aca="false">Guillaume_VIE!B16+";7#!$$D"</f>
        <v>#VALUE!</v>
      </c>
      <c r="CG32" s="0" t="e">
        <f aca="false">Guillaume_VIE!C16+";7#!$$E"</f>
        <v>#VALUE!</v>
      </c>
      <c r="CH32" s="0" t="e">
        <f aca="false">Guillaume_VIE!D16+";7#!$$F"</f>
        <v>#VALUE!</v>
      </c>
      <c r="CI32" s="0" t="e">
        <f aca="false">Guillaume_VIE!E16+";7#!$$G"</f>
        <v>#VALUE!</v>
      </c>
      <c r="CJ32" s="0" t="e">
        <f aca="false">Guillaume_VIE!F16+";7#!$$H"</f>
        <v>#VALUE!</v>
      </c>
      <c r="CK32" s="0" t="e">
        <f aca="false">Guillaume_VIE!G16+";7#!$$I"</f>
        <v>#VALUE!</v>
      </c>
      <c r="CL32" s="0" t="e">
        <f aca="false">Guillaume_VIE!H16+";7#!$$J"</f>
        <v>#VALUE!</v>
      </c>
      <c r="CM32" s="0" t="e">
        <f aca="false">Guillaume_VIE!I16+";7#!$$K"</f>
        <v>#VALUE!</v>
      </c>
      <c r="CN32" s="0" t="e">
        <f aca="false">Guillaume_VIE!J16+";7#!$$L"</f>
        <v>#VALUE!</v>
      </c>
      <c r="CO32" s="0" t="e">
        <f aca="false">Guillaume_VIE!K16+";7#!$$M"</f>
        <v>#VALUE!</v>
      </c>
      <c r="CP32" s="0" t="e">
        <f aca="false">Guillaume_VIE!L16+";7#!$$N"</f>
        <v>#VALUE!</v>
      </c>
      <c r="CQ32" s="0" t="e">
        <f aca="false">Guillaume_VIE!M16+";7#!$$O"</f>
        <v>#VALUE!</v>
      </c>
      <c r="CR32" s="0" t="e">
        <f aca="false">Guillaume_VIE!N16+";7#!$$P"</f>
        <v>#VALUE!</v>
      </c>
      <c r="CS32" s="0" t="e">
        <f aca="false">Guillaume_VIE!O16+";7#!$$Q"</f>
        <v>#VALUE!</v>
      </c>
      <c r="CT32" s="0" t="e">
        <f aca="false">Guillaume_VIE!P16+";7#!$$R"</f>
        <v>#VALUE!</v>
      </c>
      <c r="CU32" s="0" t="e">
        <f aca="false">Guillaume_VIE!A17+";7#!$$S"</f>
        <v>#VALUE!</v>
      </c>
      <c r="CV32" s="0" t="e">
        <f aca="false">Guillaume_VIE!B17+";7#!$$T"</f>
        <v>#VALUE!</v>
      </c>
      <c r="CW32" s="0" t="e">
        <f aca="false">Guillaume_VIE!C17+";7#!$$U"</f>
        <v>#VALUE!</v>
      </c>
      <c r="CX32" s="0" t="e">
        <f aca="false">Guillaume_VIE!D17+";7#!$$V"</f>
        <v>#VALUE!</v>
      </c>
      <c r="CY32" s="0" t="e">
        <f aca="false">Guillaume_VIE!E17+";7#!$$W"</f>
        <v>#VALUE!</v>
      </c>
      <c r="CZ32" s="0" t="e">
        <f aca="false">Guillaume_VIE!F17+";7#!$$X"</f>
        <v>#VALUE!</v>
      </c>
      <c r="DA32" s="0" t="e">
        <f aca="false">Guillaume_VIE!G17+";7#!$$Y"</f>
        <v>#VALUE!</v>
      </c>
      <c r="DB32" s="0" t="e">
        <f aca="false">Guillaume_VIE!H17+";7#!$$Z"</f>
        <v>#VALUE!</v>
      </c>
      <c r="DC32" s="0" t="e">
        <f aca="false">Guillaume_VIE!I17+";7#!$$["</f>
        <v>#VALUE!</v>
      </c>
      <c r="DD32" s="0" t="e">
        <f aca="false">Guillaume_VIE!J17+";7#!$$\"</f>
        <v>#VALUE!</v>
      </c>
      <c r="DE32" s="0" t="e">
        <f aca="false">Guillaume_VIE!K17+";7#!$$]"</f>
        <v>#VALUE!</v>
      </c>
      <c r="DF32" s="0" t="e">
        <f aca="false">Guillaume_VIE!L17+";7#!$$^"</f>
        <v>#VALUE!</v>
      </c>
      <c r="DG32" s="0" t="e">
        <f aca="false">Guillaume_VIE!M17+";7#!$$_"</f>
        <v>#VALUE!</v>
      </c>
      <c r="DH32" s="0" t="e">
        <f aca="false">Guillaume_VIE!N17+";7#!$$`"</f>
        <v>#VALUE!</v>
      </c>
      <c r="DI32" s="0" t="e">
        <f aca="false">Guillaume_VIE!O17+";7#!$$a"</f>
        <v>#VALUE!</v>
      </c>
      <c r="DJ32" s="0" t="e">
        <f aca="false">Guillaume_VIE!P17+";7#!$$b"</f>
        <v>#VALUE!</v>
      </c>
      <c r="DK32" s="0" t="e">
        <f aca="false">Guillaume_VIE!A18+";7#!$$c"</f>
        <v>#VALUE!</v>
      </c>
      <c r="DL32" s="0" t="e">
        <f aca="false">Guillaume_VIE!B18+";7#!$$d"</f>
        <v>#VALUE!</v>
      </c>
      <c r="DM32" s="0" t="e">
        <f aca="false">Guillaume_VIE!C18+";7#!$$e"</f>
        <v>#VALUE!</v>
      </c>
      <c r="DN32" s="0" t="e">
        <f aca="false">Guillaume_VIE!D18+";7#!$$f"</f>
        <v>#VALUE!</v>
      </c>
      <c r="DO32" s="0" t="e">
        <f aca="false">Guillaume_VIE!E18+";7#!$$g"</f>
        <v>#VALUE!</v>
      </c>
      <c r="DP32" s="0" t="e">
        <f aca="false">Guillaume_VIE!F18+";7#!$$h"</f>
        <v>#VALUE!</v>
      </c>
      <c r="DQ32" s="0" t="e">
        <f aca="false">Guillaume_VIE!G18+";7#!$$i"</f>
        <v>#VALUE!</v>
      </c>
      <c r="DR32" s="0" t="e">
        <f aca="false">Guillaume_VIE!H18+";7#!$$j"</f>
        <v>#VALUE!</v>
      </c>
      <c r="DS32" s="0" t="e">
        <f aca="false">Guillaume_VIE!I18+";7#!$$k"</f>
        <v>#VALUE!</v>
      </c>
      <c r="DT32" s="0" t="e">
        <f aca="false">Guillaume_VIE!J18+";7#!$$l"</f>
        <v>#VALUE!</v>
      </c>
      <c r="DU32" s="0" t="e">
        <f aca="false">Guillaume_VIE!K18+";7#!$$m"</f>
        <v>#VALUE!</v>
      </c>
      <c r="DV32" s="0" t="e">
        <f aca="false">Guillaume_VIE!L18+";7#!$$n"</f>
        <v>#VALUE!</v>
      </c>
      <c r="DW32" s="0" t="e">
        <f aca="false">Guillaume_VIE!M18+";7#!$$o"</f>
        <v>#VALUE!</v>
      </c>
      <c r="DX32" s="0" t="e">
        <f aca="false">Guillaume_VIE!N18+";7#!$$p"</f>
        <v>#VALUE!</v>
      </c>
      <c r="DY32" s="0" t="e">
        <f aca="false">Guillaume_VIE!O18+";7#!$$q"</f>
        <v>#VALUE!</v>
      </c>
      <c r="DZ32" s="0" t="e">
        <f aca="false">Guillaume_VIE!P18+";7#!$$r"</f>
        <v>#VALUE!</v>
      </c>
      <c r="EA32" s="0" t="e">
        <f aca="false">Guillaume_VIE!A19+";7#!$$s"</f>
        <v>#VALUE!</v>
      </c>
      <c r="EB32" s="0" t="e">
        <f aca="false">Guillaume_VIE!B19+";7#!$$t"</f>
        <v>#VALUE!</v>
      </c>
      <c r="EC32" s="0" t="e">
        <f aca="false">Guillaume_VIE!C19+";7#!$$u"</f>
        <v>#VALUE!</v>
      </c>
      <c r="ED32" s="0" t="e">
        <f aca="false">Guillaume_VIE!D19+";7#!$$v"</f>
        <v>#VALUE!</v>
      </c>
      <c r="EE32" s="0" t="e">
        <f aca="false">Guillaume_VIE!E19+";7#!$$w"</f>
        <v>#VALUE!</v>
      </c>
      <c r="EF32" s="0" t="e">
        <f aca="false">Guillaume_VIE!F19+";7#!$$x"</f>
        <v>#VALUE!</v>
      </c>
      <c r="EG32" s="0" t="e">
        <f aca="false">Guillaume_VIE!G19+";7#!$$y"</f>
        <v>#VALUE!</v>
      </c>
      <c r="EH32" s="0" t="e">
        <f aca="false">Guillaume_VIE!H19+";7#!$$z"</f>
        <v>#VALUE!</v>
      </c>
      <c r="EI32" s="0" t="e">
        <f aca="false">Guillaume_VIE!I19+";7#!$${"</f>
        <v>#VALUE!</v>
      </c>
      <c r="EJ32" s="0" t="e">
        <f aca="false">Guillaume_VIE!J19+";7#!$$|"</f>
        <v>#VALUE!</v>
      </c>
      <c r="EK32" s="0" t="e">
        <f aca="false">Guillaume_VIE!K19+";7#!$$}"</f>
        <v>#VALUE!</v>
      </c>
      <c r="EL32" s="0" t="e">
        <f aca="false">Guillaume_VIE!L19+";7#!$$~"</f>
        <v>#VALUE!</v>
      </c>
      <c r="EM32" s="0" t="e">
        <f aca="false">Guillaume_VIE!M19+";7#!$%#"</f>
        <v>#VALUE!</v>
      </c>
      <c r="EN32" s="0" t="e">
        <f aca="false">Guillaume_VIE!N19+";7#!$%$"</f>
        <v>#VALUE!</v>
      </c>
      <c r="EO32" s="0" t="e">
        <f aca="false">Guillaume_VIE!O19+";7#!$%%"</f>
        <v>#VALUE!</v>
      </c>
      <c r="EP32" s="0" t="e">
        <f aca="false">Guillaume_VIE!P19+";7#!$%&amp;"</f>
        <v>#VALUE!</v>
      </c>
      <c r="EQ32" s="0" t="e">
        <f aca="false">Guillaume_VIE!A20+";7#!$%'"</f>
        <v>#VALUE!</v>
      </c>
      <c r="ER32" s="0" t="e">
        <f aca="false">Guillaume_VIE!B20+";7#!$%("</f>
        <v>#VALUE!</v>
      </c>
      <c r="ES32" s="0" t="e">
        <f aca="false">Guillaume_VIE!C20+";7#!$%)"</f>
        <v>#N/A</v>
      </c>
      <c r="ET32" s="0" t="e">
        <f aca="false">Guillaume_VIE!D20+";7#!$%."</f>
        <v>#VALUE!</v>
      </c>
      <c r="EU32" s="0" t="e">
        <f aca="false">Guillaume_VIE!E20+";7#!$%/"</f>
        <v>#VALUE!</v>
      </c>
      <c r="EV32" s="0" t="e">
        <f aca="false">Guillaume_VIE!F20+";7#!$%0"</f>
        <v>#VALUE!</v>
      </c>
      <c r="EW32" s="0" t="e">
        <f aca="false">Guillaume_VIE!G20+";7#!$%1"</f>
        <v>#VALUE!</v>
      </c>
      <c r="EX32" s="0" t="e">
        <f aca="false">Guillaume_VIE!H20+";7#!$%2"</f>
        <v>#VALUE!</v>
      </c>
      <c r="EY32" s="0" t="e">
        <f aca="false">Guillaume_VIE!I20+";7#!$%3"</f>
        <v>#VALUE!</v>
      </c>
      <c r="EZ32" s="0" t="e">
        <f aca="false">Guillaume_VIE!J20+";7#!$%4"</f>
        <v>#VALUE!</v>
      </c>
      <c r="FA32" s="0" t="e">
        <f aca="false">Guillaume_VIE!K20+";7#!$%5"</f>
        <v>#VALUE!</v>
      </c>
      <c r="FB32" s="0" t="e">
        <f aca="false">Guillaume_VIE!L20+";7#!$%6"</f>
        <v>#VALUE!</v>
      </c>
      <c r="FC32" s="0" t="e">
        <f aca="false">Guillaume_VIE!M20+";7#!$%7"</f>
        <v>#VALUE!</v>
      </c>
      <c r="FD32" s="0" t="e">
        <f aca="false">Guillaume_VIE!N20+";7#!$%8"</f>
        <v>#VALUE!</v>
      </c>
      <c r="FE32" s="0" t="e">
        <f aca="false">Guillaume_VIE!O20+";7#!$%9"</f>
        <v>#VALUE!</v>
      </c>
      <c r="FF32" s="0" t="e">
        <f aca="false">Guillaume_VIE!P20+";7#!$%:"</f>
        <v>#VALUE!</v>
      </c>
      <c r="FG32" s="0" t="e">
        <f aca="false">Guillaume_VIE!A21+";7#!$%;"</f>
        <v>#VALUE!</v>
      </c>
      <c r="FH32" s="0" t="e">
        <f aca="false">Guillaume_VIE!B21+";7#!$%&lt;"</f>
        <v>#VALUE!</v>
      </c>
      <c r="FI32" s="0" t="e">
        <f aca="false">Guillaume_VIE!C21+";7#!$%="</f>
        <v>#N/A</v>
      </c>
      <c r="FJ32" s="0" t="e">
        <f aca="false">Guillaume_VIE!D21+";7#!$%&gt;"</f>
        <v>#VALUE!</v>
      </c>
      <c r="FK32" s="0" t="e">
        <f aca="false">Guillaume_VIE!E21+";7#!$%?"</f>
        <v>#VALUE!</v>
      </c>
      <c r="FL32" s="0" t="e">
        <f aca="false">Guillaume_VIE!F21+";7#!$%@"</f>
        <v>#VALUE!</v>
      </c>
      <c r="FM32" s="0" t="e">
        <f aca="false">Guillaume_VIE!G21+";7#!$%A"</f>
        <v>#VALUE!</v>
      </c>
      <c r="FN32" s="0" t="e">
        <f aca="false">Guillaume_VIE!H21+";7#!$%B"</f>
        <v>#VALUE!</v>
      </c>
      <c r="FO32" s="0" t="e">
        <f aca="false">Guillaume_VIE!I21+";7#!$%C"</f>
        <v>#VALUE!</v>
      </c>
      <c r="FP32" s="0" t="e">
        <f aca="false">Guillaume_VIE!J21+";7#!$%D"</f>
        <v>#VALUE!</v>
      </c>
      <c r="FQ32" s="0" t="e">
        <f aca="false">Guillaume_VIE!K21+";7#!$%E"</f>
        <v>#VALUE!</v>
      </c>
      <c r="FR32" s="0" t="e">
        <f aca="false">Guillaume_VIE!L21+";7#!$%F"</f>
        <v>#VALUE!</v>
      </c>
      <c r="FS32" s="0" t="e">
        <f aca="false">Guillaume_VIE!M21+";7#!$%G"</f>
        <v>#VALUE!</v>
      </c>
      <c r="FT32" s="0" t="e">
        <f aca="false">Guillaume_VIE!N21+";7#!$%H"</f>
        <v>#VALUE!</v>
      </c>
      <c r="FU32" s="0" t="e">
        <f aca="false">Guillaume_VIE!O21+";7#!$%I"</f>
        <v>#VALUE!</v>
      </c>
      <c r="FV32" s="0" t="e">
        <f aca="false">Guillaume_VIE!P21+";7#!$%J"</f>
        <v>#VALUE!</v>
      </c>
      <c r="FW32" s="0" t="e">
        <f aca="false">Guillaume_VIE!A22+";7#!$%K"</f>
        <v>#VALUE!</v>
      </c>
      <c r="FX32" s="0" t="e">
        <f aca="false">Guillaume_VIE!B22+";7#!$%L"</f>
        <v>#VALUE!</v>
      </c>
      <c r="FY32" s="0" t="e">
        <f aca="false">Guillaume_VIE!C22+";7#!$%M"</f>
        <v>#N/A</v>
      </c>
      <c r="FZ32" s="0" t="e">
        <f aca="false">Guillaume_VIE!D22+";7#!$%N"</f>
        <v>#VALUE!</v>
      </c>
      <c r="GA32" s="0" t="e">
        <f aca="false">Guillaume_VIE!E22+";7#!$%O"</f>
        <v>#VALUE!</v>
      </c>
      <c r="GB32" s="0" t="e">
        <f aca="false">Guillaume_VIE!F22+";7#!$%P"</f>
        <v>#VALUE!</v>
      </c>
      <c r="GC32" s="0" t="e">
        <f aca="false">Guillaume_VIE!G22+";7#!$%Q"</f>
        <v>#VALUE!</v>
      </c>
      <c r="GD32" s="0" t="e">
        <f aca="false">Guillaume_VIE!H22+";7#!$%R"</f>
        <v>#VALUE!</v>
      </c>
      <c r="GE32" s="0" t="e">
        <f aca="false">Guillaume_VIE!I22+";7#!$%S"</f>
        <v>#VALUE!</v>
      </c>
      <c r="GF32" s="0" t="e">
        <f aca="false">Guillaume_VIE!J22+";7#!$%T"</f>
        <v>#VALUE!</v>
      </c>
      <c r="GG32" s="0" t="e">
        <f aca="false">Guillaume_VIE!K22+";7#!$%U"</f>
        <v>#VALUE!</v>
      </c>
      <c r="GH32" s="0" t="e">
        <f aca="false">Guillaume_VIE!L22+";7#!$%V"</f>
        <v>#VALUE!</v>
      </c>
      <c r="GI32" s="0" t="e">
        <f aca="false">Guillaume_VIE!M22+";7#!$%W"</f>
        <v>#VALUE!</v>
      </c>
      <c r="GJ32" s="0" t="e">
        <f aca="false">Guillaume_VIE!N22+";7#!$%X"</f>
        <v>#VALUE!</v>
      </c>
      <c r="GK32" s="0" t="e">
        <f aca="false">Guillaume_VIE!O22+";7#!$%Y"</f>
        <v>#VALUE!</v>
      </c>
      <c r="GL32" s="0" t="e">
        <f aca="false">Guillaume_VIE!P22+";7#!$%Z"</f>
        <v>#VALUE!</v>
      </c>
      <c r="GM32" s="0" t="e">
        <f aca="false">Guillaume_VIE!A23+";7#!$%["</f>
        <v>#VALUE!</v>
      </c>
      <c r="GN32" s="0" t="e">
        <f aca="false">Guillaume_VIE!B23+";7#!$%\"</f>
        <v>#VALUE!</v>
      </c>
      <c r="GO32" s="0" t="e">
        <f aca="false">Guillaume_VIE!C23+";7#!$%]"</f>
        <v>#VALUE!</v>
      </c>
      <c r="GP32" s="35" t="e">
        <f aca="false">Guillaume_VIE!D23+";7#!$%^"</f>
        <v>#VALUE!</v>
      </c>
      <c r="GQ32" s="35" t="e">
        <f aca="false">Guillaume_VIE!E23+";7#!$%_"</f>
        <v>#VALUE!</v>
      </c>
      <c r="GR32" s="35" t="e">
        <f aca="false">Guillaume_VIE!F23+";7#!$%`"</f>
        <v>#VALUE!</v>
      </c>
      <c r="GS32" s="35" t="e">
        <f aca="false">Guillaume_VIE!G23+";7#!$%a"</f>
        <v>#VALUE!</v>
      </c>
      <c r="GT32" s="35" t="e">
        <f aca="false">Guillaume_VIE!H23+";7#!$%b"</f>
        <v>#VALUE!</v>
      </c>
      <c r="GU32" s="35" t="e">
        <f aca="false">Guillaume_VIE!I23+";7#!$%c"</f>
        <v>#VALUE!</v>
      </c>
      <c r="GV32" s="35" t="e">
        <f aca="false">Guillaume_VIE!J23+";7#!$%d"</f>
        <v>#VALUE!</v>
      </c>
      <c r="GW32" s="35" t="e">
        <f aca="false">Guillaume_VIE!K23+";7#!$%e"</f>
        <v>#VALUE!</v>
      </c>
      <c r="GX32" s="35" t="e">
        <f aca="false">Guillaume_VIE!L23+";7#!$%f"</f>
        <v>#VALUE!</v>
      </c>
      <c r="GY32" s="35" t="e">
        <f aca="false">Guillaume_VIE!M23+";7#!$%g"</f>
        <v>#VALUE!</v>
      </c>
      <c r="GZ32" s="35" t="e">
        <f aca="false">Guillaume_VIE!N23+";7#!$%h"</f>
        <v>#VALUE!</v>
      </c>
      <c r="HA32" s="35" t="e">
        <f aca="false">Guillaume_VIE!O23+";7#!$%i"</f>
        <v>#VALUE!</v>
      </c>
      <c r="HB32" s="35" t="e">
        <f aca="false">Guillaume_VIE!P23+";7#!$%j"</f>
        <v>#VALUE!</v>
      </c>
      <c r="HC32" s="0" t="e">
        <f aca="false">Guillaume_VIE!A24+";7#!$%k"</f>
        <v>#VALUE!</v>
      </c>
      <c r="HD32" s="0" t="e">
        <f aca="false">Guillaume_VIE!B24+";7#!$%l"</f>
        <v>#VALUE!</v>
      </c>
      <c r="HE32" s="0" t="e">
        <f aca="false">Guillaume_VIE!C24+";7#!$%m"</f>
        <v>#VALUE!</v>
      </c>
      <c r="HF32" s="35" t="e">
        <f aca="false">Guillaume_VIE!D24+";7#!$%n"</f>
        <v>#VALUE!</v>
      </c>
      <c r="HG32" s="35" t="e">
        <f aca="false">Guillaume_VIE!E24+";7#!$%o"</f>
        <v>#VALUE!</v>
      </c>
      <c r="HH32" s="35" t="e">
        <f aca="false">Guillaume_VIE!F24+";7#!$%p"</f>
        <v>#VALUE!</v>
      </c>
      <c r="HI32" s="35" t="e">
        <f aca="false">Guillaume_VIE!G24+";7#!$%q"</f>
        <v>#VALUE!</v>
      </c>
      <c r="HJ32" s="35" t="e">
        <f aca="false">Guillaume_VIE!H24+";7#!$%r"</f>
        <v>#VALUE!</v>
      </c>
      <c r="HK32" s="35" t="e">
        <f aca="false">Guillaume_VIE!I24+";7#!$%s"</f>
        <v>#VALUE!</v>
      </c>
      <c r="HL32" s="35" t="e">
        <f aca="false">Guillaume_VIE!J24+";7#!$%t"</f>
        <v>#VALUE!</v>
      </c>
      <c r="HM32" s="35" t="e">
        <f aca="false">Guillaume_VIE!K24+";7#!$%u"</f>
        <v>#VALUE!</v>
      </c>
      <c r="HN32" s="35" t="e">
        <f aca="false">Guillaume_VIE!L24+";7#!$%v"</f>
        <v>#VALUE!</v>
      </c>
      <c r="HO32" s="35" t="e">
        <f aca="false">Guillaume_VIE!M24+";7#!$%w"</f>
        <v>#VALUE!</v>
      </c>
      <c r="HP32" s="35" t="e">
        <f aca="false">Guillaume_VIE!N24+";7#!$%x"</f>
        <v>#VALUE!</v>
      </c>
      <c r="HQ32" s="35" t="e">
        <f aca="false">Guillaume_VIE!O24+";7#!$%y"</f>
        <v>#VALUE!</v>
      </c>
      <c r="HR32" s="35" t="e">
        <f aca="false">Guillaume_VIE!P24+";7#!$%z"</f>
        <v>#VALUE!</v>
      </c>
      <c r="HS32" s="0" t="e">
        <f aca="false">Guillaume_VIE!A25+";7#!$%{"</f>
        <v>#VALUE!</v>
      </c>
      <c r="HT32" s="0" t="e">
        <f aca="false">Guillaume_VIE!B25+";7#!$%|"</f>
        <v>#VALUE!</v>
      </c>
      <c r="HU32" s="0" t="e">
        <f aca="false">Guillaume_VIE!C25+";7#!$%}"</f>
        <v>#VALUE!</v>
      </c>
      <c r="HV32" s="35" t="e">
        <f aca="false">Guillaume_VIE!D25+";7#!$%~"</f>
        <v>#VALUE!</v>
      </c>
      <c r="HW32" s="35" t="e">
        <f aca="false">Guillaume_VIE!E25+";7#!$&amp;#"</f>
        <v>#VALUE!</v>
      </c>
      <c r="HX32" s="35" t="e">
        <f aca="false">Guillaume_VIE!F25+";7#!$&amp;$"</f>
        <v>#VALUE!</v>
      </c>
      <c r="HY32" s="35" t="e">
        <f aca="false">Guillaume_VIE!G25+";7#!$&amp;%"</f>
        <v>#VALUE!</v>
      </c>
      <c r="HZ32" s="35" t="e">
        <f aca="false">Guillaume_VIE!H25+";7#!$&amp;&amp;"</f>
        <v>#VALUE!</v>
      </c>
      <c r="IA32" s="35" t="e">
        <f aca="false">Guillaume_VIE!I25+";7#!$&amp;'"</f>
        <v>#VALUE!</v>
      </c>
      <c r="IB32" s="35" t="e">
        <f aca="false">Guillaume_VIE!J25+";7#!$&amp;("</f>
        <v>#VALUE!</v>
      </c>
      <c r="IC32" s="35" t="e">
        <f aca="false">Guillaume_VIE!K25+";7#!$&amp;)"</f>
        <v>#VALUE!</v>
      </c>
      <c r="ID32" s="35" t="e">
        <f aca="false">Guillaume_VIE!L25+";7#!$&amp;."</f>
        <v>#VALUE!</v>
      </c>
      <c r="IE32" s="35" t="e">
        <f aca="false">Guillaume_VIE!M25+";7#!$&amp;/"</f>
        <v>#VALUE!</v>
      </c>
      <c r="IF32" s="35" t="e">
        <f aca="false">Guillaume_VIE!N25+";7#!$&amp;0"</f>
        <v>#VALUE!</v>
      </c>
      <c r="IG32" s="35" t="e">
        <f aca="false">Guillaume_VIE!O25+";7#!$&amp;1"</f>
        <v>#VALUE!</v>
      </c>
      <c r="IH32" s="35" t="e">
        <f aca="false">Guillaume_VIE!P25+";7#!$&amp;2"</f>
        <v>#VALUE!</v>
      </c>
      <c r="II32" s="0" t="e">
        <f aca="false">Guillaume_VIE!A26+";7#!$&amp;3"</f>
        <v>#VALUE!</v>
      </c>
      <c r="IJ32" s="0" t="e">
        <f aca="false">Guillaume_VIE!B26+";7#!$&amp;4"</f>
        <v>#VALUE!</v>
      </c>
      <c r="IK32" s="0" t="e">
        <f aca="false">Guillaume_VIE!C26+";7#!$&amp;5"</f>
        <v>#VALUE!</v>
      </c>
      <c r="IL32" s="36" t="e">
        <f aca="false">Guillaume_VIE!D26+";7#!$&amp;6"</f>
        <v>#VALUE!</v>
      </c>
      <c r="IM32" s="36" t="e">
        <f aca="false">Guillaume_VIE!E26+";7#!$&amp;7"</f>
        <v>#VALUE!</v>
      </c>
      <c r="IN32" s="36" t="e">
        <f aca="false">Guillaume_VIE!F26+";7#!$&amp;8"</f>
        <v>#VALUE!</v>
      </c>
      <c r="IO32" s="36" t="e">
        <f aca="false">Guillaume_VIE!G26+";7#!$&amp;9"</f>
        <v>#VALUE!</v>
      </c>
      <c r="IP32" s="36" t="e">
        <f aca="false">Guillaume_VIE!H26+";7#!$&amp;:"</f>
        <v>#VALUE!</v>
      </c>
      <c r="IQ32" s="36" t="e">
        <f aca="false">Guillaume_VIE!I26+";7#!$&amp;;"</f>
        <v>#VALUE!</v>
      </c>
      <c r="IR32" s="36" t="e">
        <f aca="false">Guillaume_VIE!J26+";7#!$&amp;&lt;"</f>
        <v>#DIV/0!</v>
      </c>
      <c r="IS32" s="36" t="e">
        <f aca="false">Guillaume_VIE!K26+";7#!$&amp;="</f>
        <v>#DIV/0!</v>
      </c>
      <c r="IT32" s="36" t="e">
        <f aca="false">Guillaume_VIE!L26+";7#!$&amp;&gt;"</f>
        <v>#DIV/0!</v>
      </c>
      <c r="IU32" s="36" t="e">
        <f aca="false">Guillaume_VIE!M26+";7#!$&amp;?"</f>
        <v>#DIV/0!</v>
      </c>
      <c r="IV32" s="36" t="e">
        <f aca="false">Guillaume_VIE!N26+";7#!$&amp;@"</f>
        <v>#DIV/0!</v>
      </c>
    </row>
    <row r="33" customFormat="false" ht="15" hidden="false" customHeight="false" outlineLevel="0" collapsed="false">
      <c r="F33" s="36" t="e">
        <f aca="false">Guillaume_VIE!O26+";7#!$&amp;A"</f>
        <v>#DIV/0!</v>
      </c>
      <c r="G33" s="36" t="e">
        <f aca="false">Guillaume_VIE!P26+";7#!$&amp;B"</f>
        <v>#VALUE!</v>
      </c>
      <c r="H33" s="0" t="e">
        <f aca="false">Benjamin_VIE!A:A*";7#!$&amp;C"</f>
        <v>#VALUE!</v>
      </c>
      <c r="I33" s="0" t="e">
        <f aca="false">Benjamin_VIE!B:B*";7#!$&amp;D"</f>
        <v>#VALUE!</v>
      </c>
      <c r="J33" s="0" t="e">
        <f aca="false">Benjamin_VIE!C:C*";7#!$&amp;E"</f>
        <v>#VALUE!</v>
      </c>
      <c r="K33" s="0" t="e">
        <f aca="false">Benjamin_VIE!D:D*";7#!$&amp;F"</f>
        <v>#VALUE!</v>
      </c>
      <c r="L33" s="0" t="e">
        <f aca="false">Benjamin_VIE!E:E*";7#!$&amp;G"</f>
        <v>#VALUE!</v>
      </c>
      <c r="M33" s="0" t="e">
        <f aca="false">Benjamin_VIE!F:F*";7#!$&amp;H"</f>
        <v>#VALUE!</v>
      </c>
      <c r="N33" s="0" t="e">
        <f aca="false">Benjamin_VIE!G:G*";7#!$&amp;I"</f>
        <v>#VALUE!</v>
      </c>
      <c r="O33" s="0" t="e">
        <f aca="false">Benjamin_VIE!H:H*";7#!$&amp;J"</f>
        <v>#VALUE!</v>
      </c>
      <c r="P33" s="0" t="e">
        <f aca="false">Benjamin_VIE!I:I*";7#!$&amp;K"</f>
        <v>#VALUE!</v>
      </c>
      <c r="Q33" s="0" t="e">
        <f aca="false">Benjamin_VIE!J:J*";7#!$&amp;L"</f>
        <v>#VALUE!</v>
      </c>
      <c r="R33" s="0" t="e">
        <f aca="false">Benjamin_VIE!K:K*";7#!$&amp;M"</f>
        <v>#VALUE!</v>
      </c>
      <c r="S33" s="0" t="e">
        <f aca="false">Benjamin_VIE!L:L*";7#!$&amp;N"</f>
        <v>#VALUE!</v>
      </c>
      <c r="T33" s="0" t="e">
        <f aca="false">Benjamin_VIE!M:M*";7#!$&amp;O"</f>
        <v>#VALUE!</v>
      </c>
      <c r="U33" s="0" t="e">
        <f aca="false">Benjamin_VIE!N:N*";7#!$&amp;P"</f>
        <v>#VALUE!</v>
      </c>
      <c r="V33" s="0" t="e">
        <f aca="false">Benjamin_VIE!O:O*";7#!$&amp;Q"</f>
        <v>#VALUE!</v>
      </c>
      <c r="W33" s="0" t="e">
        <f aca="false">Benjamin_VIE!P:P*";7#!$&amp;R"</f>
        <v>#VALUE!</v>
      </c>
      <c r="X33" s="0" t="e">
        <f aca="false">Benjamin_VIE!Q:Q*";7#!$&amp;S"</f>
        <v>#VALUE!</v>
      </c>
      <c r="Y33" s="0" t="e">
        <f aca="false">Benjamin_VIE!R:R*";7#!$&amp;T"</f>
        <v>#VALUE!</v>
      </c>
      <c r="Z33" s="0" t="e">
        <f aca="false">Benjamin_VIE!S:S*";7#!$&amp;U"</f>
        <v>#VALUE!</v>
      </c>
      <c r="AA33" s="0" t="e">
        <f aca="false">Benjamin_VIE!T:T*";7#!$&amp;V"</f>
        <v>#VALUE!</v>
      </c>
      <c r="AB33" s="0" t="e">
        <f aca="false">Benjamin_VIE!U:U*";7#!$&amp;W"</f>
        <v>#VALUE!</v>
      </c>
      <c r="AC33" s="0" t="e">
        <f aca="false">Benjamin_VIE!V:V*";7#!$&amp;X"</f>
        <v>#VALUE!</v>
      </c>
      <c r="AD33" s="0" t="e">
        <f aca="false">Benjamin_VIE!W:W*";7#!$&amp;Y"</f>
        <v>#VALUE!</v>
      </c>
      <c r="AE33" s="0" t="e">
        <f aca="false">Benjamin_VIE!X:X*";7#!$&amp;Z"</f>
        <v>#VALUE!</v>
      </c>
      <c r="AF33" s="0" t="e">
        <f aca="false">Benjamin_VIE!Y:Y*";7#!$&amp;["</f>
        <v>#VALUE!</v>
      </c>
      <c r="AG33" s="0" t="e">
        <f aca="false">Benjamin_VIE!Z:Z*";7#!$&amp;\"</f>
        <v>#VALUE!</v>
      </c>
      <c r="AH33" s="0" t="e">
        <f aca="false">Benjamin_VIE!AA:AA*";7#!$&amp;]"</f>
        <v>#VALUE!</v>
      </c>
      <c r="AI33" s="0" t="e">
        <f aca="false">Benjamin_VIE!AB:AB*";7#!$&amp;^"</f>
        <v>#VALUE!</v>
      </c>
      <c r="AJ33" s="0" t="e">
        <f aca="false">Benjamin_VIE!AC:AC*";7#!$&amp;_"</f>
        <v>#VALUE!</v>
      </c>
      <c r="AK33" s="0" t="e">
        <f aca="false">Benjamin_VIE!AD:AD*";7#!$&amp;`"</f>
        <v>#VALUE!</v>
      </c>
      <c r="AL33" s="0" t="e">
        <f aca="false">Benjamin_VIE!AE:AE*";7#!$&amp;a"</f>
        <v>#VALUE!</v>
      </c>
      <c r="AM33" s="0" t="e">
        <f aca="false">Benjamin_VIE!AF:AF*";7#!$&amp;b"</f>
        <v>#VALUE!</v>
      </c>
      <c r="AN33" s="0" t="e">
        <f aca="false">Benjamin_VIE!AG:AG*";7#!$&amp;c"</f>
        <v>#VALUE!</v>
      </c>
      <c r="AO33" s="0" t="e">
        <f aca="false">Benjamin_VIE!AH:AH*";7#!$&amp;d"</f>
        <v>#VALUE!</v>
      </c>
      <c r="AP33" s="0" t="e">
        <f aca="false">Benjamin_VIE!AI:AI*";7#!$&amp;e"</f>
        <v>#VALUE!</v>
      </c>
      <c r="AQ33" s="0" t="e">
        <f aca="false">Benjamin_VIE!AJ:AJ*";7#!$&amp;f"</f>
        <v>#VALUE!</v>
      </c>
      <c r="AR33" s="0" t="e">
        <f aca="false">Benjamin_VIE!AK:AK*";7#!$&amp;g"</f>
        <v>#VALUE!</v>
      </c>
      <c r="AS33" s="0" t="e">
        <f aca="false">Benjamin_VIE!AL:AL*";7#!$&amp;h"</f>
        <v>#VALUE!</v>
      </c>
      <c r="AT33" s="0" t="e">
        <f aca="false">Benjamin_VIE!AM:AM*";7#!$&amp;i"</f>
        <v>#VALUE!</v>
      </c>
      <c r="AU33" s="0" t="e">
        <f aca="false">Benjamin_VIE!AN:AN*";7#!$&amp;j"</f>
        <v>#VALUE!</v>
      </c>
      <c r="AV33" s="0" t="e">
        <f aca="false">Benjamin_VIE!AO:AO*";7#!$&amp;k"</f>
        <v>#VALUE!</v>
      </c>
      <c r="AW33" s="0" t="e">
        <f aca="false">Benjamin_VIE!AP:AP*";7#!$&amp;l"</f>
        <v>#VALUE!</v>
      </c>
      <c r="AX33" s="0" t="e">
        <f aca="false">Benjamin_VIE!AQ:AQ*";7#!$&amp;m"</f>
        <v>#VALUE!</v>
      </c>
      <c r="AY33" s="0" t="e">
        <f aca="false">Benjamin_VIE!AR:AR*";7#!$&amp;n"</f>
        <v>#VALUE!</v>
      </c>
      <c r="AZ33" s="0" t="e">
        <f aca="false">Benjamin_VIE!AS:AS*";7#!$&amp;o"</f>
        <v>#VALUE!</v>
      </c>
      <c r="BA33" s="0" t="e">
        <f aca="false">Benjamin_VIE!AT:AT*";7#!$&amp;p"</f>
        <v>#VALUE!</v>
      </c>
      <c r="BB33" s="0" t="e">
        <f aca="false">Benjamin_VIE!AU:AU*";7#!$&amp;q"</f>
        <v>#VALUE!</v>
      </c>
      <c r="BC33" s="0" t="e">
        <f aca="false">Benjamin_VIE!AV:AV*";7#!$&amp;r"</f>
        <v>#VALUE!</v>
      </c>
      <c r="BD33" s="0" t="e">
        <f aca="false">Benjamin_VIE!AW:AW*";7#!$&amp;s"</f>
        <v>#VALUE!</v>
      </c>
      <c r="BE33" s="0" t="e">
        <f aca="false">Benjamin_VIE!AX:AX*";7#!$&amp;t"</f>
        <v>#VALUE!</v>
      </c>
      <c r="BF33" s="0" t="e">
        <f aca="false">Benjamin_VIE!AY:AY*";7#!$&amp;u"</f>
        <v>#VALUE!</v>
      </c>
      <c r="BG33" s="0" t="e">
        <f aca="false">Benjamin_VIE!AZ:AZ*";7#!$&amp;v"</f>
        <v>#VALUE!</v>
      </c>
      <c r="BH33" s="0" t="e">
        <f aca="false">Benjamin_VIE!BA:BA*";7#!$&amp;w"</f>
        <v>#VALUE!</v>
      </c>
      <c r="BI33" s="0" t="e">
        <f aca="false">Benjamin_VIE!BB:BB*";7#!$&amp;x"</f>
        <v>#VALUE!</v>
      </c>
      <c r="BJ33" s="0" t="e">
        <f aca="false">Benjamin_VIE!BC:BC*";7#!$&amp;y"</f>
        <v>#VALUE!</v>
      </c>
      <c r="BK33" s="0" t="e">
        <f aca="false">Benjamin_VIE!BD:BD*";7#!$&amp;z"</f>
        <v>#VALUE!</v>
      </c>
      <c r="BL33" s="0" t="e">
        <f aca="false">Benjamin_VIE!BE:BE*";7#!$&amp;{"</f>
        <v>#VALUE!</v>
      </c>
      <c r="BM33" s="0" t="e">
        <f aca="false">Benjamin_VIE!BF:BF*";7#!$&amp;|"</f>
        <v>#VALUE!</v>
      </c>
      <c r="BN33" s="0" t="e">
        <f aca="false">Benjamin_VIE!BG:BG*";7#!$&amp;}"</f>
        <v>#VALUE!</v>
      </c>
      <c r="BO33" s="0" t="e">
        <f aca="false">Benjamin_VIE!BH:BH*";7#!$&amp;~"</f>
        <v>#VALUE!</v>
      </c>
      <c r="BP33" s="0" t="e">
        <f aca="false">Benjamin_VIE!BI:BI*";7#!$'#"</f>
        <v>#VALUE!</v>
      </c>
      <c r="BQ33" s="0" t="e">
        <f aca="false">Benjamin_VIE!BJ:BJ*";7#!$'$"</f>
        <v>#VALUE!</v>
      </c>
      <c r="BR33" s="0" t="e">
        <f aca="false">Benjamin_VIE!BK:BK*";7#!$'%"</f>
        <v>#VALUE!</v>
      </c>
      <c r="BS33" s="0" t="e">
        <f aca="false">Benjamin_VIE!BL:BL*";7#!$'&amp;"</f>
        <v>#VALUE!</v>
      </c>
      <c r="BT33" s="0" t="e">
        <f aca="false">Benjamin_VIE!BM:BM*";7#!$''"</f>
        <v>#VALUE!</v>
      </c>
      <c r="BU33" s="0" t="e">
        <f aca="false">Benjamin_VIE!BN:BN*";7#!$'("</f>
        <v>#VALUE!</v>
      </c>
      <c r="BV33" s="0" t="e">
        <f aca="false">Benjamin_VIE!BO:BO*";7#!$')"</f>
        <v>#VALUE!</v>
      </c>
      <c r="BW33" s="0" t="e">
        <f aca="false">Benjamin_VIE!BP:BP*";7#!$'."</f>
        <v>#VALUE!</v>
      </c>
      <c r="BX33" s="0" t="e">
        <f aca="false">Benjamin_VIE!BQ:BQ*";7#!$'/"</f>
        <v>#VALUE!</v>
      </c>
      <c r="BY33" s="0" t="e">
        <f aca="false">Benjamin_VIE!BR:BR*";7#!$'0"</f>
        <v>#VALUE!</v>
      </c>
      <c r="BZ33" s="0" t="e">
        <f aca="false">Benjamin_VIE!BS:BS*";7#!$'1"</f>
        <v>#VALUE!</v>
      </c>
      <c r="CA33" s="0" t="e">
        <f aca="false">Benjamin_VIE!BT:BT*";7#!$'2"</f>
        <v>#VALUE!</v>
      </c>
      <c r="CB33" s="0" t="e">
        <f aca="false">Benjamin_VIE!BU:BU*";7#!$'3"</f>
        <v>#VALUE!</v>
      </c>
      <c r="CC33" s="0" t="e">
        <f aca="false">Benjamin_VIE!BV:BV*";7#!$'4"</f>
        <v>#VALUE!</v>
      </c>
      <c r="CD33" s="0" t="e">
        <f aca="false">Benjamin_VIE!BW:BW*";7#!$'5"</f>
        <v>#VALUE!</v>
      </c>
      <c r="CE33" s="0" t="e">
        <f aca="false">Benjamin_VIE!BX:BX*";7#!$'6"</f>
        <v>#VALUE!</v>
      </c>
      <c r="CF33" s="0" t="e">
        <f aca="false">Benjamin_VIE!BY:BY*";7#!$'7"</f>
        <v>#VALUE!</v>
      </c>
      <c r="CG33" s="0" t="e">
        <f aca="false">Benjamin_VIE!BZ:BZ*";7#!$'8"</f>
        <v>#VALUE!</v>
      </c>
      <c r="CH33" s="0" t="e">
        <f aca="false">Benjamin_VIE!CA:CA*";7#!$'9"</f>
        <v>#VALUE!</v>
      </c>
      <c r="CI33" s="0" t="e">
        <f aca="false">Benjamin_VIE!CB:CB*";7#!$':"</f>
        <v>#VALUE!</v>
      </c>
      <c r="CJ33" s="0" t="e">
        <f aca="false">Benjamin_VIE!1:1-";7#!$';"</f>
        <v>#VALUE!</v>
      </c>
      <c r="CK33" s="0" t="e">
        <f aca="false">Benjamin_VIE!2:2-";7#!$'&lt;"</f>
        <v>#VALUE!</v>
      </c>
      <c r="CL33" s="0" t="e">
        <f aca="false">Benjamin_VIE!3:3-";7#!$'="</f>
        <v>#VALUE!</v>
      </c>
      <c r="CM33" s="0" t="e">
        <f aca="false">Benjamin_VIE!4:4-";7#!$'&gt;"</f>
        <v>#VALUE!</v>
      </c>
      <c r="CN33" s="0" t="e">
        <f aca="false">Benjamin_VIE!5:5-";7#!$'?"</f>
        <v>#VALUE!</v>
      </c>
      <c r="CO33" s="0" t="e">
        <f aca="false">Benjamin_VIE!6:6-";7#!$'@"</f>
        <v>#VALUE!</v>
      </c>
      <c r="CP33" s="0" t="e">
        <f aca="false">Benjamin_VIE!7:7-";7#!$'A"</f>
        <v>#VALUE!</v>
      </c>
      <c r="CQ33" s="0" t="e">
        <f aca="false">Benjamin_VIE!8:8-";7#!$'B"</f>
        <v>#VALUE!</v>
      </c>
      <c r="CR33" s="0" t="e">
        <f aca="false">Benjamin_VIE!9:9-";7#!$'C"</f>
        <v>#VALUE!</v>
      </c>
      <c r="CS33" s="0" t="e">
        <f aca="false">Benjamin_VIE!10:10-";7#!$'D"</f>
        <v>#VALUE!</v>
      </c>
      <c r="CT33" s="0" t="e">
        <f aca="false">Benjamin_VIE!11:11-";7#!$'E"</f>
        <v>#VALUE!</v>
      </c>
      <c r="CU33" s="0" t="e">
        <f aca="false">Benjamin_VIE!12:12-";7#!$'F"</f>
        <v>#VALUE!</v>
      </c>
      <c r="CV33" s="0" t="e">
        <f aca="false">Benjamin_VIE!13:13-";7#!$'G"</f>
        <v>#VALUE!</v>
      </c>
      <c r="CW33" s="0" t="e">
        <f aca="false">Benjamin_VIE!14:14-";7#!$'H"</f>
        <v>#VALUE!</v>
      </c>
      <c r="CX33" s="0" t="e">
        <f aca="false">Benjamin_VIE!15:15-";7#!$'I"</f>
        <v>#VALUE!</v>
      </c>
      <c r="CY33" s="0" t="e">
        <f aca="false">Benjamin_VIE!16:16-";7#!$'J"</f>
        <v>#VALUE!</v>
      </c>
      <c r="CZ33" s="0" t="e">
        <f aca="false">Benjamin_VIE!17:17-";7#!$'K"</f>
        <v>#VALUE!</v>
      </c>
      <c r="DA33" s="0" t="e">
        <f aca="false">Benjamin_VIE!18:18-";7#!$'L"</f>
        <v>#VALUE!</v>
      </c>
      <c r="DB33" s="0" t="e">
        <f aca="false">Benjamin_VIE!19:19-";7#!$'M"</f>
        <v>#VALUE!</v>
      </c>
      <c r="DC33" s="0" t="e">
        <f aca="false">Benjamin_VIE!20:20-";7#!$'N"</f>
        <v>#VALUE!</v>
      </c>
      <c r="DD33" s="0" t="e">
        <f aca="false">Benjamin_VIE!21:21-";7#!$'O"</f>
        <v>#VALUE!</v>
      </c>
      <c r="DE33" s="0" t="e">
        <f aca="false">Benjamin_VIE!22:22-";7#!$'P"</f>
        <v>#VALUE!</v>
      </c>
      <c r="DF33" s="0" t="e">
        <f aca="false">Benjamin_VIE!23:23-";7#!$'Q"</f>
        <v>#VALUE!</v>
      </c>
      <c r="DG33" s="0" t="e">
        <f aca="false">Benjamin_VIE!24:24-";7#!$'R"</f>
        <v>#VALUE!</v>
      </c>
      <c r="DH33" s="0" t="e">
        <f aca="false">Benjamin_VIE!25:25-";7#!$'S"</f>
        <v>#VALUE!</v>
      </c>
      <c r="DI33" s="0" t="e">
        <f aca="false">Benjamin_VIE!26:26-";7#!$'T"</f>
        <v>#VALUE!</v>
      </c>
      <c r="DJ33" s="0" t="e">
        <f aca="false">Benjamin_VIE!27:27-";7#!$'U"</f>
        <v>#VALUE!</v>
      </c>
      <c r="DK33" s="0" t="e">
        <f aca="false">Benjamin_VIE!28:28-";7#!$'V"</f>
        <v>#VALUE!</v>
      </c>
      <c r="DL33" s="0" t="e">
        <f aca="false">Benjamin_VIE!29:29-";7#!$'W"</f>
        <v>#VALUE!</v>
      </c>
      <c r="DM33" s="0" t="e">
        <f aca="false">Benjamin_VIE!30:30-";7#!$'X"</f>
        <v>#VALUE!</v>
      </c>
      <c r="DN33" s="0" t="e">
        <f aca="false">Benjamin_VIE!31:31-";7#!$'Y"</f>
        <v>#VALUE!</v>
      </c>
      <c r="DO33" s="0" t="e">
        <f aca="false">Benjamin_VIE!32:32-";7#!$'Z"</f>
        <v>#VALUE!</v>
      </c>
      <c r="DP33" s="0" t="e">
        <f aca="false">Benjamin_VIE!33:33-";7#!$'["</f>
        <v>#VALUE!</v>
      </c>
      <c r="DQ33" s="0" t="e">
        <f aca="false">Benjamin_VIE!34:34-";7#!$'\"</f>
        <v>#VALUE!</v>
      </c>
      <c r="DR33" s="0" t="e">
        <f aca="false">Benjamin_VIE!35:35-";7#!$']"</f>
        <v>#VALUE!</v>
      </c>
      <c r="DS33" s="0" t="e">
        <f aca="false">Benjamin_VIE!36:36-";7#!$'^"</f>
        <v>#VALUE!</v>
      </c>
      <c r="DT33" s="0" t="e">
        <f aca="false">Benjamin_VIE!37:37-";7#!$'_"</f>
        <v>#VALUE!</v>
      </c>
      <c r="DU33" s="0" t="e">
        <f aca="false">Benjamin_VIE!38:38-";7#!$'`"</f>
        <v>#VALUE!</v>
      </c>
      <c r="DV33" s="0" t="e">
        <f aca="false">Benjamin_VIE!39:39-";7#!$'a"</f>
        <v>#VALUE!</v>
      </c>
      <c r="DW33" s="0" t="e">
        <f aca="false">Benjamin_VIE!40:40-";7#!$'b"</f>
        <v>#VALUE!</v>
      </c>
      <c r="DX33" s="0" t="e">
        <f aca="false">Benjamin_VIE!41:41-";7#!$'c"</f>
        <v>#VALUE!</v>
      </c>
      <c r="DY33" s="0" t="e">
        <f aca="false">Benjamin_VIE!42:42-";7#!$'d"</f>
        <v>#VALUE!</v>
      </c>
      <c r="DZ33" s="0" t="e">
        <f aca="false">Benjamin_VIE!43:43-";7#!$'e"</f>
        <v>#VALUE!</v>
      </c>
      <c r="EA33" s="0" t="e">
        <f aca="false">Benjamin_VIE!44:44-";7#!$'f"</f>
        <v>#VALUE!</v>
      </c>
      <c r="EB33" s="0" t="e">
        <f aca="false">Benjamin_VIE!45:45-";7#!$'g"</f>
        <v>#VALUE!</v>
      </c>
      <c r="EC33" s="0" t="e">
        <f aca="false">Benjamin_VIE!46:46-";7#!$'h"</f>
        <v>#VALUE!</v>
      </c>
      <c r="ED33" s="0" t="e">
        <f aca="false">Benjamin_VIE!47:47-";7#!$'i"</f>
        <v>#VALUE!</v>
      </c>
      <c r="EE33" s="0" t="e">
        <f aca="false">Benjamin_VIE!48:48-";7#!$'j"</f>
        <v>#VALUE!</v>
      </c>
      <c r="EF33" s="0" t="e">
        <f aca="false">Benjamin_VIE!49:49-";7#!$'k"</f>
        <v>#VALUE!</v>
      </c>
      <c r="EG33" s="0" t="e">
        <f aca="false">Benjamin_VIE!50:50-";7#!$'l"</f>
        <v>#VALUE!</v>
      </c>
      <c r="EH33" s="0" t="e">
        <f aca="false">Benjamin_VIE!51:51-";7#!$'m"</f>
        <v>#VALUE!</v>
      </c>
      <c r="EI33" s="0" t="e">
        <f aca="false">Benjamin_VIE!52:52-";7#!$'n"</f>
        <v>#VALUE!</v>
      </c>
      <c r="EJ33" s="0" t="e">
        <f aca="false">Benjamin_VIE!53:53-";7#!$'o"</f>
        <v>#VALUE!</v>
      </c>
      <c r="EK33" s="0" t="e">
        <f aca="false">Benjamin_VIE!54:54-";7#!$'p"</f>
        <v>#VALUE!</v>
      </c>
      <c r="EL33" s="0" t="e">
        <f aca="false">Benjamin_VIE!55:55-";7#!$'q"</f>
        <v>#VALUE!</v>
      </c>
      <c r="EM33" s="0" t="e">
        <f aca="false">Benjamin_VIE!56:56-";7#!$'r"</f>
        <v>#VALUE!</v>
      </c>
      <c r="EN33" s="0" t="e">
        <f aca="false">Benjamin_VIE!57:57-";7#!$'s"</f>
        <v>#VALUE!</v>
      </c>
      <c r="EO33" s="0" t="e">
        <f aca="false">Benjamin_VIE!58:58-";7#!$'t"</f>
        <v>#VALUE!</v>
      </c>
      <c r="EP33" s="0" t="e">
        <f aca="false">Benjamin_VIE!59:59-";7#!$'u"</f>
        <v>#VALUE!</v>
      </c>
      <c r="EQ33" s="0" t="e">
        <f aca="false">Benjamin_VIE!60:60-";7#!$'v"</f>
        <v>#VALUE!</v>
      </c>
      <c r="ER33" s="0" t="e">
        <f aca="false">Benjamin_VIE!61:61-";7#!$'w"</f>
        <v>#VALUE!</v>
      </c>
      <c r="ES33" s="0" t="e">
        <f aca="false">Benjamin_VIE!62:62-";7#!$'x"</f>
        <v>#VALUE!</v>
      </c>
      <c r="ET33" s="0" t="e">
        <f aca="false">Benjamin_VIE!63:63-";7#!$'y"</f>
        <v>#VALUE!</v>
      </c>
      <c r="EU33" s="0" t="e">
        <f aca="false">Benjamin_VIE!64:64-";7#!$'z"</f>
        <v>#VALUE!</v>
      </c>
      <c r="EV33" s="0" t="e">
        <f aca="false">Benjamin_VIE!65:65-";7#!$'{"</f>
        <v>#VALUE!</v>
      </c>
      <c r="EW33" s="0" t="e">
        <f aca="false">Benjamin_VIE!66:66-";7#!$'|"</f>
        <v>#VALUE!</v>
      </c>
      <c r="EX33" s="0" t="e">
        <f aca="false">Benjamin_VIE!67:67-";7#!$'}"</f>
        <v>#VALUE!</v>
      </c>
      <c r="EY33" s="0" t="e">
        <f aca="false">Benjamin_VIE!68:68-";7#!$'~"</f>
        <v>#VALUE!</v>
      </c>
      <c r="EZ33" s="0" t="e">
        <f aca="false">Benjamin_VIE!69:69-";7#!$(#"</f>
        <v>#VALUE!</v>
      </c>
      <c r="FA33" s="0" t="e">
        <f aca="false">Benjamin_VIE!70:70-";7#!$($"</f>
        <v>#VALUE!</v>
      </c>
      <c r="FB33" s="0" t="e">
        <f aca="false">Benjamin_VIE!71:71-";7#!$(%"</f>
        <v>#VALUE!</v>
      </c>
      <c r="FC33" s="0" t="e">
        <f aca="false">Benjamin_VIE!72:72-";7#!$(&amp;"</f>
        <v>#VALUE!</v>
      </c>
      <c r="FD33" s="0" t="e">
        <f aca="false">Benjamin_VIE!73:73-";7#!$('"</f>
        <v>#VALUE!</v>
      </c>
      <c r="FE33" s="0" t="e">
        <f aca="false">Benjamin_VIE!74:74-";7#!$(("</f>
        <v>#VALUE!</v>
      </c>
      <c r="FF33" s="0" t="e">
        <f aca="false">Benjamin_VIE!75:75-";7#!$()"</f>
        <v>#VALUE!</v>
      </c>
      <c r="FG33" s="0" t="e">
        <f aca="false">Benjamin_VIE!76:76-";7#!$(."</f>
        <v>#VALUE!</v>
      </c>
      <c r="FH33" s="0" t="e">
        <f aca="false">Benjamin_VIE!77:77-";7#!$(/"</f>
        <v>#VALUE!</v>
      </c>
      <c r="FI33" s="0" t="e">
        <f aca="false">Benjamin_VIE!78:78-";7#!$(0"</f>
        <v>#VALUE!</v>
      </c>
      <c r="FJ33" s="0" t="e">
        <f aca="false">Benjamin_VIE!79:79-";7#!$(1"</f>
        <v>#VALUE!</v>
      </c>
      <c r="FK33" s="0" t="e">
        <f aca="false">Benjamin_VIE!80:80-";7#!$(2"</f>
        <v>#VALUE!</v>
      </c>
      <c r="FL33" s="0" t="e">
        <f aca="false">Benjamin_VIE!81:81-";7#!$(3"</f>
        <v>#VALUE!</v>
      </c>
      <c r="FM33" s="0" t="e">
        <f aca="false">Benjamin_VIE!82:82-";7#!$(4"</f>
        <v>#VALUE!</v>
      </c>
      <c r="FN33" s="0" t="e">
        <f aca="false">Benjamin_VIE!83:83-";7#!$(5"</f>
        <v>#VALUE!</v>
      </c>
      <c r="FO33" s="0" t="e">
        <f aca="false">Benjamin_VIE!84:84-";7#!$(6"</f>
        <v>#VALUE!</v>
      </c>
      <c r="FP33" s="0" t="e">
        <f aca="false">Benjamin_VIE!85:85-";7#!$(7"</f>
        <v>#VALUE!</v>
      </c>
      <c r="FQ33" s="0" t="e">
        <f aca="false">Benjamin_VIE!86:86-";7#!$(8"</f>
        <v>#VALUE!</v>
      </c>
      <c r="FR33" s="0" t="e">
        <f aca="false">Benjamin_VIE!87:87-";7#!$(9"</f>
        <v>#VALUE!</v>
      </c>
      <c r="FS33" s="0" t="e">
        <f aca="false">Benjamin_VIE!88:88-";7#!$(:"</f>
        <v>#VALUE!</v>
      </c>
      <c r="FT33" s="0" t="e">
        <f aca="false">Benjamin_VIE!89:89-";7#!$(;"</f>
        <v>#VALUE!</v>
      </c>
      <c r="FU33" s="0" t="e">
        <f aca="false">Benjamin_VIE!90:90-";7#!$(&lt;"</f>
        <v>#VALUE!</v>
      </c>
      <c r="FV33" s="0" t="e">
        <f aca="false">Benjamin_VIE!91:91-";7#!$(="</f>
        <v>#VALUE!</v>
      </c>
      <c r="FW33" s="0" t="e">
        <f aca="false">Benjamin_VIE!92:92-";7#!$(&gt;"</f>
        <v>#VALUE!</v>
      </c>
      <c r="FX33" s="0" t="e">
        <f aca="false">Benjamin_VIE!93:93-";7#!$(?"</f>
        <v>#VALUE!</v>
      </c>
      <c r="FY33" s="0" t="e">
        <f aca="false">Benjamin_VIE!94:94-";7#!$(@"</f>
        <v>#VALUE!</v>
      </c>
      <c r="FZ33" s="0" t="e">
        <f aca="false">Benjamin_VIE!95:95-";7#!$(A"</f>
        <v>#VALUE!</v>
      </c>
      <c r="GA33" s="0" t="e">
        <f aca="false">Benjamin_VIE!96:96-";7#!$(B"</f>
        <v>#VALUE!</v>
      </c>
      <c r="GB33" s="0" t="e">
        <f aca="false">Benjamin_VIE!97:97-";7#!$(C"</f>
        <v>#VALUE!</v>
      </c>
      <c r="GC33" s="0" t="e">
        <f aca="false">Benjamin_VIE!98:98-";7#!$(D"</f>
        <v>#VALUE!</v>
      </c>
      <c r="GD33" s="0" t="e">
        <f aca="false">Benjamin_VIE!99:99-";7#!$(E"</f>
        <v>#VALUE!</v>
      </c>
      <c r="GE33" s="0" t="e">
        <f aca="false">Benjamin_VIE!100:100-";7#!$(F"</f>
        <v>#VALUE!</v>
      </c>
      <c r="GF33" s="0" t="e">
        <f aca="false">Benjamin_VIE!101:101-";7#!$(G"</f>
        <v>#VALUE!</v>
      </c>
      <c r="GG33" s="0" t="e">
        <f aca="false">Benjamin_VIE!102:102-";7#!$(H"</f>
        <v>#VALUE!</v>
      </c>
      <c r="GH33" s="0" t="e">
        <f aca="false">Benjamin_VIE!103:103-";7#!$(I"</f>
        <v>#VALUE!</v>
      </c>
      <c r="GI33" s="0" t="e">
        <f aca="false">Benjamin_VIE!104:104-";7#!$(J"</f>
        <v>#VALUE!</v>
      </c>
      <c r="GJ33" s="0" t="e">
        <f aca="false">Benjamin_VIE!105:105-";7#!$(K"</f>
        <v>#VALUE!</v>
      </c>
      <c r="GK33" s="0" t="e">
        <f aca="false">Benjamin_VIE!106:106-";7#!$(L"</f>
        <v>#VALUE!</v>
      </c>
      <c r="GL33" s="0" t="e">
        <f aca="false">Benjamin_VIE!107:107-";7#!$(M"</f>
        <v>#VALUE!</v>
      </c>
      <c r="GM33" s="0" t="e">
        <f aca="false">Benjamin_VIE!108:108-";7#!$(N"</f>
        <v>#VALUE!</v>
      </c>
      <c r="GN33" s="0" t="e">
        <f aca="false">Benjamin_VIE!109:109-";7#!$(O"</f>
        <v>#VALUE!</v>
      </c>
      <c r="GO33" s="0" t="e">
        <f aca="false">Benjamin_VIE!110:110-";7#!$(P"</f>
        <v>#VALUE!</v>
      </c>
      <c r="GP33" s="0" t="e">
        <f aca="false">Benjamin_VIE!111:111-";7#!$(Q"</f>
        <v>#VALUE!</v>
      </c>
      <c r="GQ33" s="0" t="e">
        <f aca="false">Benjamin_VIE!112:112-";7#!$(R"</f>
        <v>#VALUE!</v>
      </c>
      <c r="GR33" s="0" t="e">
        <f aca="false">Benjamin_VIE!113:113-";7#!$(S"</f>
        <v>#VALUE!</v>
      </c>
      <c r="GS33" s="0" t="e">
        <f aca="false">Benjamin_VIE!114:114-";7#!$(T"</f>
        <v>#VALUE!</v>
      </c>
      <c r="GT33" s="0" t="e">
        <f aca="false">Benjamin_VIE!115:115-";7#!$(U"</f>
        <v>#VALUE!</v>
      </c>
      <c r="GU33" s="0" t="e">
        <f aca="false">Benjamin_VIE!116:116-";7#!$(V"</f>
        <v>#VALUE!</v>
      </c>
      <c r="GV33" s="0" t="e">
        <f aca="false">Benjamin_VIE!117:117-";7#!$(W"</f>
        <v>#VALUE!</v>
      </c>
      <c r="GW33" s="0" t="e">
        <f aca="false">Benjamin_VIE!118:118-";7#!$(X"</f>
        <v>#VALUE!</v>
      </c>
      <c r="GX33" s="0" t="e">
        <f aca="false">Benjamin_VIE!119:119-";7#!$(Y"</f>
        <v>#VALUE!</v>
      </c>
      <c r="GY33" s="0" t="e">
        <f aca="false">Benjamin_VIE!120:120-";7#!$(Z"</f>
        <v>#VALUE!</v>
      </c>
      <c r="GZ33" s="0" t="e">
        <f aca="false">Benjamin_VIE!121:121-";7#!$(["</f>
        <v>#VALUE!</v>
      </c>
      <c r="HA33" s="0" t="e">
        <f aca="false">Benjamin_VIE!122:122-";7#!$(\"</f>
        <v>#VALUE!</v>
      </c>
      <c r="HB33" s="0" t="e">
        <f aca="false">Benjamin_VIE!123:123-";7#!$(]"</f>
        <v>#VALUE!</v>
      </c>
      <c r="HC33" s="0" t="e">
        <f aca="false">Benjamin_VIE!124:124-";7#!$(^"</f>
        <v>#VALUE!</v>
      </c>
      <c r="HD33" s="0" t="e">
        <f aca="false">Benjamin_VIE!125:125-";7#!$(_"</f>
        <v>#VALUE!</v>
      </c>
      <c r="HE33" s="0" t="e">
        <f aca="false">Benjamin_VIE!126:126-";7#!$(`"</f>
        <v>#VALUE!</v>
      </c>
      <c r="HF33" s="0" t="e">
        <f aca="false">Benjamin_VIE!127:127-";7#!$(a"</f>
        <v>#VALUE!</v>
      </c>
      <c r="HG33" s="0" t="e">
        <f aca="false">Benjamin_VIE!128:128-";7#!$(b"</f>
        <v>#VALUE!</v>
      </c>
      <c r="HH33" s="0" t="e">
        <f aca="false">Benjamin_VIE!129:129-";7#!$(c"</f>
        <v>#VALUE!</v>
      </c>
      <c r="HI33" s="0" t="e">
        <f aca="false">Benjamin_VIE!130:130-";7#!$(d"</f>
        <v>#VALUE!</v>
      </c>
      <c r="HJ33" s="0" t="e">
        <f aca="false">Benjamin_VIE!131:131-";7#!$(e"</f>
        <v>#VALUE!</v>
      </c>
      <c r="HK33" s="0" t="e">
        <f aca="false">Benjamin_VIE!132:132-";7#!$(f"</f>
        <v>#VALUE!</v>
      </c>
      <c r="HL33" s="0" t="e">
        <f aca="false">Benjamin_VIE!133:133-";7#!$(g"</f>
        <v>#VALUE!</v>
      </c>
      <c r="HM33" s="0" t="e">
        <f aca="false">Benjamin_VIE!134:134-";7#!$(h"</f>
        <v>#VALUE!</v>
      </c>
      <c r="HN33" s="0" t="e">
        <f aca="false">Benjamin_VIE!135:135-";7#!$(i"</f>
        <v>#VALUE!</v>
      </c>
      <c r="HO33" s="0" t="e">
        <f aca="false">Benjamin_VIE!136:136-";7#!$(j"</f>
        <v>#VALUE!</v>
      </c>
      <c r="HP33" s="0" t="e">
        <f aca="false">Benjamin_VIE!137:137-";7#!$(k"</f>
        <v>#VALUE!</v>
      </c>
      <c r="HQ33" s="0" t="e">
        <f aca="false">Benjamin_VIE!138:138-";7#!$(l"</f>
        <v>#VALUE!</v>
      </c>
      <c r="HR33" s="0" t="e">
        <f aca="false">Benjamin_VIE!139:139-";7#!$(m"</f>
        <v>#VALUE!</v>
      </c>
      <c r="HS33" s="0" t="e">
        <f aca="false">Benjamin_VIE!140:140-";7#!$(n"</f>
        <v>#VALUE!</v>
      </c>
      <c r="HT33" s="0" t="e">
        <f aca="false">Benjamin_VIE!141:141-";7#!$(o"</f>
        <v>#VALUE!</v>
      </c>
      <c r="HU33" s="0" t="e">
        <f aca="false">Benjamin_VIE!142:142-";7#!$(p"</f>
        <v>#VALUE!</v>
      </c>
      <c r="HV33" s="0" t="e">
        <f aca="false">Benjamin_VIE!143:143-";7#!$(q"</f>
        <v>#VALUE!</v>
      </c>
      <c r="HW33" s="0" t="e">
        <f aca="false">Benjamin_VIE!144:144-";7#!$(r"</f>
        <v>#VALUE!</v>
      </c>
      <c r="HX33" s="0" t="e">
        <f aca="false">Benjamin_VIE!145:145-";7#!$(s"</f>
        <v>#VALUE!</v>
      </c>
      <c r="HY33" s="0" t="e">
        <f aca="false">Benjamin_VIE!146:146-";7#!$(t"</f>
        <v>#VALUE!</v>
      </c>
      <c r="HZ33" s="0" t="e">
        <f aca="false">Benjamin_VIE!147:147-";7#!$(u"</f>
        <v>#VALUE!</v>
      </c>
      <c r="IA33" s="0" t="e">
        <f aca="false">Benjamin_VIE!148:148-";7#!$(v"</f>
        <v>#VALUE!</v>
      </c>
      <c r="IB33" s="0" t="e">
        <f aca="false">Benjamin_VIE!149:149-";7#!$(w"</f>
        <v>#VALUE!</v>
      </c>
      <c r="IC33" s="0" t="e">
        <f aca="false">Benjamin_VIE!150:150-";7#!$(x"</f>
        <v>#VALUE!</v>
      </c>
      <c r="ID33" s="0" t="e">
        <f aca="false">Benjamin_VIE!151:151-";7#!$(y"</f>
        <v>#VALUE!</v>
      </c>
      <c r="IE33" s="0" t="e">
        <f aca="false">Benjamin_VIE!152:152-";7#!$(z"</f>
        <v>#VALUE!</v>
      </c>
      <c r="IF33" s="0" t="e">
        <f aca="false">Benjamin_VIE!153:153-";7#!$({"</f>
        <v>#VALUE!</v>
      </c>
      <c r="IG33" s="0" t="e">
        <f aca="false">Benjamin_VIE!154:154-";7#!$(|"</f>
        <v>#VALUE!</v>
      </c>
      <c r="IH33" s="0" t="e">
        <f aca="false">Benjamin_VIE!155:155-";7#!$(}"</f>
        <v>#VALUE!</v>
      </c>
      <c r="II33" s="0" t="e">
        <f aca="false">Benjamin_VIE!156:156-";7#!$(~"</f>
        <v>#VALUE!</v>
      </c>
      <c r="IJ33" s="0" t="e">
        <f aca="false">Benjamin_VIE!157:157-";7#!$)#"</f>
        <v>#VALUE!</v>
      </c>
      <c r="IK33" s="0" t="e">
        <f aca="false">Benjamin_VIE!158:158-";7#!$)$"</f>
        <v>#VALUE!</v>
      </c>
      <c r="IL33" s="0" t="e">
        <f aca="false">Benjamin_VIE!159:159-";7#!$)%"</f>
        <v>#VALUE!</v>
      </c>
      <c r="IM33" s="0" t="e">
        <f aca="false">Benjamin_VIE!160:160-";7#!$)&amp;"</f>
        <v>#VALUE!</v>
      </c>
      <c r="IN33" s="0" t="e">
        <f aca="false">Benjamin_VIE!161:161-";7#!$)'"</f>
        <v>#VALUE!</v>
      </c>
      <c r="IO33" s="0" t="e">
        <f aca="false">Benjamin_VIE!162:162-";7#!$)("</f>
        <v>#VALUE!</v>
      </c>
      <c r="IP33" s="0" t="e">
        <f aca="false">Benjamin_VIE!163:163-";7#!$))"</f>
        <v>#VALUE!</v>
      </c>
      <c r="IQ33" s="0" t="e">
        <f aca="false">Benjamin_VIE!164:164-";7#!$)."</f>
        <v>#VALUE!</v>
      </c>
      <c r="IR33" s="0" t="e">
        <f aca="false">Benjamin_VIE!165:165-";7#!$)/"</f>
        <v>#VALUE!</v>
      </c>
      <c r="IS33" s="0" t="e">
        <f aca="false">Benjamin_VIE!166:166-";7#!$)0"</f>
        <v>#VALUE!</v>
      </c>
      <c r="IT33" s="0" t="e">
        <f aca="false">Benjamin_VIE!167:167-";7#!$)1"</f>
        <v>#VALUE!</v>
      </c>
      <c r="IU33" s="0" t="e">
        <f aca="false">Benjamin_VIE!168:168-";7#!$)2"</f>
        <v>#VALUE!</v>
      </c>
      <c r="IV33" s="0" t="e">
        <f aca="false">Benjamin_VIE!169:169-";7#!$)3"</f>
        <v>#VALUE!</v>
      </c>
    </row>
    <row r="34" customFormat="false" ht="15" hidden="false" customHeight="false" outlineLevel="0" collapsed="false">
      <c r="F34" s="0" t="e">
        <f aca="false">Benjamin_VIE!170:170-";7#!$)4"</f>
        <v>#VALUE!</v>
      </c>
      <c r="G34" s="0" t="e">
        <f aca="false">Benjamin_VIE!171:171-";7#!$)5"</f>
        <v>#VALUE!</v>
      </c>
      <c r="H34" s="0" t="e">
        <f aca="false">Benjamin_VIE!172:172-";7#!$)6"</f>
        <v>#VALUE!</v>
      </c>
      <c r="I34" s="0" t="e">
        <f aca="false">Benjamin_VIE!173:173-";7#!$)7"</f>
        <v>#VALUE!</v>
      </c>
      <c r="J34" s="0" t="e">
        <f aca="false">Benjamin_VIE!174:174-";7#!$)8"</f>
        <v>#VALUE!</v>
      </c>
      <c r="K34" s="0" t="e">
        <f aca="false">Benjamin_VIE!175:175-";7#!$)9"</f>
        <v>#VALUE!</v>
      </c>
      <c r="L34" s="0" t="e">
        <f aca="false">Benjamin_VIE!176:176-";7#!$):"</f>
        <v>#VALUE!</v>
      </c>
      <c r="M34" s="0" t="e">
        <f aca="false">Benjamin_VIE!177:177-";7#!$);"</f>
        <v>#VALUE!</v>
      </c>
      <c r="N34" s="0" t="e">
        <f aca="false">Benjamin_VIE!178:178-";7#!$)&lt;"</f>
        <v>#VALUE!</v>
      </c>
      <c r="O34" s="0" t="e">
        <f aca="false">Benjamin_VIE!179:179-";7#!$)="</f>
        <v>#VALUE!</v>
      </c>
      <c r="P34" s="0" t="e">
        <f aca="false">Benjamin_VIE!180:180-";7#!$)&gt;"</f>
        <v>#VALUE!</v>
      </c>
      <c r="Q34" s="0" t="e">
        <f aca="false">Benjamin_VIE!181:181-";7#!$)?"</f>
        <v>#VALUE!</v>
      </c>
      <c r="R34" s="0" t="e">
        <f aca="false">Benjamin_VIE!182:182-";7#!$)@"</f>
        <v>#VALUE!</v>
      </c>
      <c r="S34" s="0" t="e">
        <f aca="false">Benjamin_VIE!183:183-";7#!$)A"</f>
        <v>#VALUE!</v>
      </c>
      <c r="T34" s="0" t="e">
        <f aca="false">Benjamin_VIE!184:184-";7#!$)B"</f>
        <v>#VALUE!</v>
      </c>
      <c r="U34" s="0" t="e">
        <f aca="false">Benjamin_VIE!185:185-";7#!$)C"</f>
        <v>#VALUE!</v>
      </c>
      <c r="V34" s="0" t="e">
        <f aca="false">Benjamin_VIE!186:186-";7#!$)D"</f>
        <v>#VALUE!</v>
      </c>
      <c r="W34" s="0" t="e">
        <f aca="false">Benjamin_VIE!187:187-";7#!$)E"</f>
        <v>#VALUE!</v>
      </c>
      <c r="X34" s="0" t="e">
        <f aca="false">Benjamin_VIE!188:188-";7#!$)F"</f>
        <v>#VALUE!</v>
      </c>
      <c r="Y34" s="0" t="e">
        <f aca="false">Benjamin_VIE!189:189-";7#!$)G"</f>
        <v>#VALUE!</v>
      </c>
      <c r="Z34" s="0" t="e">
        <f aca="false">Benjamin_VIE!190:190-";7#!$)H"</f>
        <v>#VALUE!</v>
      </c>
      <c r="AA34" s="0" t="e">
        <f aca="false">Benjamin_VIE!191:191-";7#!$)I"</f>
        <v>#VALUE!</v>
      </c>
      <c r="AB34" s="0" t="e">
        <f aca="false">Benjamin_VIE!192:192-";7#!$)J"</f>
        <v>#VALUE!</v>
      </c>
      <c r="AC34" s="0" t="e">
        <f aca="false">Benjamin_VIE!193:193-";7#!$)K"</f>
        <v>#VALUE!</v>
      </c>
      <c r="AD34" s="0" t="e">
        <f aca="false">Benjamin_VIE!194:194-";7#!$)L"</f>
        <v>#VALUE!</v>
      </c>
      <c r="AE34" s="0" t="e">
        <f aca="false">Benjamin_VIE!195:195-";7#!$)M"</f>
        <v>#VALUE!</v>
      </c>
      <c r="AF34" s="0" t="e">
        <f aca="false">Benjamin_VIE!196:196-";7#!$)N"</f>
        <v>#VALUE!</v>
      </c>
      <c r="AG34" s="0" t="e">
        <f aca="false">Benjamin_VIE!197:197-";7#!$)O"</f>
        <v>#VALUE!</v>
      </c>
      <c r="AH34" s="0" t="e">
        <f aca="false">Benjamin_VIE!198:198-";7#!$)P"</f>
        <v>#VALUE!</v>
      </c>
      <c r="AI34" s="0" t="e">
        <f aca="false">Benjamin_VIE!199:199-";7#!$)Q"</f>
        <v>#VALUE!</v>
      </c>
      <c r="AJ34" s="0" t="e">
        <f aca="false">Benjamin_VIE!200:200-";7#!$)R"</f>
        <v>#VALUE!</v>
      </c>
      <c r="AK34" s="0" t="e">
        <f aca="false">Benjamin_VIE!201:201-";7#!$)S"</f>
        <v>#VALUE!</v>
      </c>
      <c r="AL34" s="0" t="e">
        <f aca="false">Benjamin_VIE!202:202-";7#!$)T"</f>
        <v>#VALUE!</v>
      </c>
      <c r="AM34" s="0" t="e">
        <f aca="false">Benjamin_VIE!203:203-";7#!$)U"</f>
        <v>#VALUE!</v>
      </c>
      <c r="AN34" s="0" t="e">
        <f aca="false">Benjamin_VIE!204:204-";7#!$)V"</f>
        <v>#VALUE!</v>
      </c>
      <c r="AO34" s="0" t="e">
        <f aca="false">Benjamin_VIE!205:205-";7#!$)W"</f>
        <v>#VALUE!</v>
      </c>
      <c r="AP34" s="0" t="e">
        <f aca="false">Benjamin_VIE!206:206-";7#!$)X"</f>
        <v>#VALUE!</v>
      </c>
      <c r="AQ34" s="0" t="e">
        <f aca="false">Benjamin_VIE!207:207-";7#!$)Y"</f>
        <v>#VALUE!</v>
      </c>
      <c r="AR34" s="0" t="e">
        <f aca="false">Benjamin_VIE!208:208-";7#!$)Z"</f>
        <v>#VALUE!</v>
      </c>
      <c r="AS34" s="0" t="e">
        <f aca="false">Benjamin_VIE!209:209-";7#!$)["</f>
        <v>#VALUE!</v>
      </c>
      <c r="AT34" s="0" t="e">
        <f aca="false">Benjamin_VIE!210:210-";7#!$)\"</f>
        <v>#VALUE!</v>
      </c>
      <c r="AU34" s="0" t="e">
        <f aca="false">Benjamin_VIE!211:211-";7#!$)]"</f>
        <v>#VALUE!</v>
      </c>
      <c r="AV34" s="0" t="e">
        <f aca="false">Benjamin_VIE!212:212-";7#!$)^"</f>
        <v>#VALUE!</v>
      </c>
      <c r="AW34" s="0" t="e">
        <f aca="false">Benjamin_VIE!213:213-";7#!$)_"</f>
        <v>#VALUE!</v>
      </c>
      <c r="AX34" s="0" t="e">
        <f aca="false">Benjamin_VIE!214:214-";7#!$)`"</f>
        <v>#VALUE!</v>
      </c>
      <c r="AY34" s="0" t="e">
        <f aca="false">Benjamin_VIE!215:215-";7#!$)a"</f>
        <v>#VALUE!</v>
      </c>
      <c r="AZ34" s="0" t="e">
        <f aca="false">Benjamin_VIE!216:216-";7#!$)b"</f>
        <v>#VALUE!</v>
      </c>
      <c r="BA34" s="0" t="e">
        <f aca="false">Benjamin_VIE!217:217-";7#!$)c"</f>
        <v>#VALUE!</v>
      </c>
      <c r="BB34" s="0" t="e">
        <f aca="false">Benjamin_VIE!218:218-";7#!$)d"</f>
        <v>#VALUE!</v>
      </c>
      <c r="BC34" s="0" t="e">
        <f aca="false">Benjamin_VIE!219:219-";7#!$)e"</f>
        <v>#VALUE!</v>
      </c>
      <c r="BD34" s="0" t="e">
        <f aca="false">Benjamin_VIE!220:220-";7#!$)f"</f>
        <v>#VALUE!</v>
      </c>
      <c r="BE34" s="0" t="e">
        <f aca="false">Benjamin_VIE!221:221-";7#!$)g"</f>
        <v>#VALUE!</v>
      </c>
      <c r="BF34" s="0" t="e">
        <f aca="false">Benjamin_VIE!222:222-";7#!$)h"</f>
        <v>#VALUE!</v>
      </c>
      <c r="BG34" s="0" t="e">
        <f aca="false">Benjamin_VIE!223:223-";7#!$)i"</f>
        <v>#VALUE!</v>
      </c>
      <c r="BH34" s="0" t="e">
        <f aca="false">Benjamin_VIE!224:224-";7#!$)j"</f>
        <v>#VALUE!</v>
      </c>
      <c r="BI34" s="0" t="e">
        <f aca="false">Benjamin_VIE!225:225-";7#!$)k"</f>
        <v>#VALUE!</v>
      </c>
      <c r="BJ34" s="0" t="e">
        <f aca="false">Benjamin_VIE!226:226-";7#!$)l"</f>
        <v>#VALUE!</v>
      </c>
      <c r="BK34" s="0" t="e">
        <f aca="false">Benjamin_VIE!227:227-";7#!$)m"</f>
        <v>#VALUE!</v>
      </c>
      <c r="BL34" s="0" t="e">
        <f aca="false">Benjamin_VIE!228:228-";7#!$)n"</f>
        <v>#VALUE!</v>
      </c>
      <c r="BM34" s="0" t="e">
        <f aca="false">Benjamin_VIE!229:229-";7#!$)o"</f>
        <v>#VALUE!</v>
      </c>
      <c r="BN34" s="0" t="e">
        <f aca="false">Benjamin_VIE!230:230-";7#!$)p"</f>
        <v>#VALUE!</v>
      </c>
      <c r="BO34" s="0" t="e">
        <f aca="false">Benjamin_VIE!231:231-";7#!$)q"</f>
        <v>#VALUE!</v>
      </c>
      <c r="BP34" s="0" t="e">
        <f aca="false">Benjamin_VIE!232:232-";7#!$)r"</f>
        <v>#VALUE!</v>
      </c>
      <c r="BQ34" s="0" t="e">
        <f aca="false">Benjamin_VIE!A1+";7#!$)s"</f>
        <v>#VALUE!</v>
      </c>
      <c r="BR34" s="0" t="e">
        <f aca="false">Benjamin_VIE!B1+";7#!$)t"</f>
        <v>#VALUE!</v>
      </c>
      <c r="BS34" s="0" t="e">
        <f aca="false">Benjamin_VIE!C1+";7#!$)u"</f>
        <v>#VALUE!</v>
      </c>
      <c r="BT34" s="0" t="e">
        <f aca="false">Benjamin_VIE!D1+";7#!$)v"</f>
        <v>#VALUE!</v>
      </c>
      <c r="BU34" s="0" t="e">
        <f aca="false">Benjamin_VIE!E1+";7#!$)w"</f>
        <v>#VALUE!</v>
      </c>
      <c r="BV34" s="0" t="e">
        <f aca="false">Benjamin_VIE!F1+";7#!$)x"</f>
        <v>#VALUE!</v>
      </c>
      <c r="BW34" s="0" t="e">
        <f aca="false">Benjamin_VIE!G1+";7#!$)y"</f>
        <v>#VALUE!</v>
      </c>
      <c r="BX34" s="0" t="e">
        <f aca="false">Benjamin_VIE!H1+";7#!$)z"</f>
        <v>#VALUE!</v>
      </c>
      <c r="BY34" s="0" t="e">
        <f aca="false">Benjamin_VIE!I1+";7#!$){"</f>
        <v>#VALUE!</v>
      </c>
      <c r="BZ34" s="0" t="e">
        <f aca="false">Benjamin_VIE!J1+";7#!$)|"</f>
        <v>#VALUE!</v>
      </c>
      <c r="CA34" s="0" t="e">
        <f aca="false">Benjamin_VIE!K1+";7#!$)}"</f>
        <v>#VALUE!</v>
      </c>
      <c r="CB34" s="0" t="e">
        <f aca="false">Benjamin_VIE!L1+";7#!$)~"</f>
        <v>#VALUE!</v>
      </c>
      <c r="CC34" s="0" t="e">
        <f aca="false">Benjamin_VIE!M1+";7#!$.#"</f>
        <v>#VALUE!</v>
      </c>
      <c r="CD34" s="0" t="e">
        <f aca="false">Benjamin_VIE!N1+";7#!$.$"</f>
        <v>#VALUE!</v>
      </c>
      <c r="CE34" s="0" t="e">
        <f aca="false">Benjamin_VIE!O1+";7#!$.%"</f>
        <v>#VALUE!</v>
      </c>
      <c r="CF34" s="0" t="e">
        <f aca="false">Benjamin_VIE!A2+";7#!$.&amp;"</f>
        <v>#VALUE!</v>
      </c>
      <c r="CG34" s="0" t="e">
        <f aca="false">Benjamin_VIE!B2+";7#!$.'"</f>
        <v>#VALUE!</v>
      </c>
      <c r="CH34" s="0" t="e">
        <f aca="false">Benjamin_VIE!C2+";7#!$.("</f>
        <v>#VALUE!</v>
      </c>
      <c r="CI34" s="0" t="e">
        <f aca="false">Benjamin_VIE!D2+";7#!$.)"</f>
        <v>#VALUE!</v>
      </c>
      <c r="CJ34" s="0" t="e">
        <f aca="false">Benjamin_VIE!E2+";7#!$.."</f>
        <v>#VALUE!</v>
      </c>
      <c r="CK34" s="0" t="e">
        <f aca="false">Benjamin_VIE!F2+";7#!$./"</f>
        <v>#VALUE!</v>
      </c>
      <c r="CL34" s="0" t="e">
        <f aca="false">Benjamin_VIE!G2+";7#!$.0"</f>
        <v>#VALUE!</v>
      </c>
      <c r="CM34" s="0" t="e">
        <f aca="false">Benjamin_VIE!H2+";7#!$.1"</f>
        <v>#VALUE!</v>
      </c>
      <c r="CN34" s="0" t="e">
        <f aca="false">Benjamin_VIE!I2+";7#!$.2"</f>
        <v>#VALUE!</v>
      </c>
      <c r="CO34" s="0" t="e">
        <f aca="false">Benjamin_VIE!J2+";7#!$.3"</f>
        <v>#VALUE!</v>
      </c>
      <c r="CP34" s="0" t="e">
        <f aca="false">Benjamin_VIE!K2+";7#!$.4"</f>
        <v>#VALUE!</v>
      </c>
      <c r="CQ34" s="0" t="e">
        <f aca="false">Benjamin_VIE!L2+";7#!$.5"</f>
        <v>#VALUE!</v>
      </c>
      <c r="CR34" s="0" t="e">
        <f aca="false">Benjamin_VIE!M2+";7#!$.6"</f>
        <v>#VALUE!</v>
      </c>
      <c r="CS34" s="0" t="e">
        <f aca="false">Benjamin_VIE!N2+";7#!$.7"</f>
        <v>#VALUE!</v>
      </c>
      <c r="CT34" s="0" t="e">
        <f aca="false">Benjamin_VIE!O2+";7#!$.8"</f>
        <v>#VALUE!</v>
      </c>
      <c r="CU34" s="0" t="e">
        <f aca="false">Benjamin_VIE!P2+";7#!$.9"</f>
        <v>#VALUE!</v>
      </c>
      <c r="CV34" s="0" t="e">
        <f aca="false">Benjamin_VIE!Q2+";7#!$.:"</f>
        <v>#VALUE!</v>
      </c>
      <c r="CW34" s="0" t="e">
        <f aca="false">Benjamin_VIE!A3+";7#!$.;"</f>
        <v>#VALUE!</v>
      </c>
      <c r="CX34" s="0" t="e">
        <f aca="false">Benjamin_VIE!B3+";7#!$.&lt;"</f>
        <v>#VALUE!</v>
      </c>
      <c r="CY34" s="0" t="e">
        <f aca="false">Benjamin_VIE!C3+";7#!$.="</f>
        <v>#VALUE!</v>
      </c>
      <c r="CZ34" s="0" t="e">
        <f aca="false">Benjamin_VIE!D3+";7#!$.&gt;"</f>
        <v>#VALUE!</v>
      </c>
      <c r="DA34" s="0" t="e">
        <f aca="false">Benjamin_VIE!E3+";7#!$.?"</f>
        <v>#VALUE!</v>
      </c>
      <c r="DB34" s="0" t="e">
        <f aca="false">Benjamin_VIE!F3+";7#!$.@"</f>
        <v>#VALUE!</v>
      </c>
      <c r="DC34" s="0" t="e">
        <f aca="false">Benjamin_VIE!G3+";7#!$.A"</f>
        <v>#VALUE!</v>
      </c>
      <c r="DD34" s="0" t="e">
        <f aca="false">Benjamin_VIE!H3+";7#!$.B"</f>
        <v>#VALUE!</v>
      </c>
      <c r="DE34" s="0" t="e">
        <f aca="false">Benjamin_VIE!I3+";7#!$.C"</f>
        <v>#VALUE!</v>
      </c>
      <c r="DF34" s="0" t="e">
        <f aca="false">Benjamin_VIE!J3+";7#!$.D"</f>
        <v>#VALUE!</v>
      </c>
      <c r="DG34" s="0" t="e">
        <f aca="false">Benjamin_VIE!K3+";7#!$.E"</f>
        <v>#VALUE!</v>
      </c>
      <c r="DH34" s="0" t="e">
        <f aca="false">Benjamin_VIE!L3+";7#!$.F"</f>
        <v>#VALUE!</v>
      </c>
      <c r="DI34" s="0" t="e">
        <f aca="false">Benjamin_VIE!M3+";7#!$.G"</f>
        <v>#VALUE!</v>
      </c>
      <c r="DJ34" s="0" t="e">
        <f aca="false">Benjamin_VIE!N3+";7#!$.H"</f>
        <v>#VALUE!</v>
      </c>
      <c r="DK34" s="0" t="e">
        <f aca="false">Benjamin_VIE!O3+";7#!$.I"</f>
        <v>#VALUE!</v>
      </c>
      <c r="DL34" s="0" t="e">
        <f aca="false">Benjamin_VIE!P3+";7#!$.J"</f>
        <v>#VALUE!</v>
      </c>
      <c r="DM34" s="0" t="e">
        <f aca="false">Benjamin_VIE!Q3+";7#!$.K"</f>
        <v>#VALUE!</v>
      </c>
      <c r="DN34" s="0" t="e">
        <f aca="false">Benjamin_VIE!A4+";7#!$.L"</f>
        <v>#VALUE!</v>
      </c>
      <c r="DO34" s="0" t="e">
        <f aca="false">Benjamin_VIE!B4+";7#!$.M"</f>
        <v>#VALUE!</v>
      </c>
      <c r="DP34" s="0" t="e">
        <f aca="false">Benjamin_VIE!C4+";7#!$.N"</f>
        <v>#VALUE!</v>
      </c>
      <c r="DQ34" s="0" t="e">
        <f aca="false">Benjamin_VIE!D4+";7#!$.O"</f>
        <v>#VALUE!</v>
      </c>
      <c r="DR34" s="0" t="e">
        <f aca="false">Benjamin_VIE!E4+";7#!$.P"</f>
        <v>#VALUE!</v>
      </c>
      <c r="DS34" s="0" t="e">
        <f aca="false">Benjamin_VIE!F4+";7#!$.Q"</f>
        <v>#VALUE!</v>
      </c>
      <c r="DT34" s="0" t="e">
        <f aca="false">Benjamin_VIE!G4+";7#!$.R"</f>
        <v>#VALUE!</v>
      </c>
      <c r="DU34" s="0" t="e">
        <f aca="false">Benjamin_VIE!H4+";7#!$.S"</f>
        <v>#VALUE!</v>
      </c>
      <c r="DV34" s="0" t="e">
        <f aca="false">Benjamin_VIE!I4+";7#!$.T"</f>
        <v>#VALUE!</v>
      </c>
      <c r="DW34" s="0" t="e">
        <f aca="false">Benjamin_VIE!J4+";7#!$.U"</f>
        <v>#VALUE!</v>
      </c>
      <c r="DX34" s="0" t="e">
        <f aca="false">Benjamin_VIE!K4+";7#!$.V"</f>
        <v>#VALUE!</v>
      </c>
      <c r="DY34" s="0" t="e">
        <f aca="false">Benjamin_VIE!L4+";7#!$.W"</f>
        <v>#VALUE!</v>
      </c>
      <c r="DZ34" s="0" t="e">
        <f aca="false">Benjamin_VIE!M4+";7#!$.X"</f>
        <v>#VALUE!</v>
      </c>
      <c r="EA34" s="0" t="e">
        <f aca="false">Benjamin_VIE!N4+";7#!$.Y"</f>
        <v>#VALUE!</v>
      </c>
      <c r="EB34" s="0" t="e">
        <f aca="false">Benjamin_VIE!O4+";7#!$.Z"</f>
        <v>#VALUE!</v>
      </c>
      <c r="EC34" s="0" t="e">
        <f aca="false">Benjamin_VIE!P4+";7#!$.["</f>
        <v>#VALUE!</v>
      </c>
      <c r="ED34" s="0" t="e">
        <f aca="false">Benjamin_VIE!Q4+";7#!$.\"</f>
        <v>#VALUE!</v>
      </c>
      <c r="EE34" s="0" t="e">
        <f aca="false">Benjamin_VIE!A5+";7#!$.]"</f>
        <v>#VALUE!</v>
      </c>
      <c r="EF34" s="0" t="e">
        <f aca="false">Benjamin_VIE!B5+";7#!$.^"</f>
        <v>#VALUE!</v>
      </c>
      <c r="EG34" s="0" t="e">
        <f aca="false">Benjamin_VIE!C5+";7#!$._"</f>
        <v>#VALUE!</v>
      </c>
      <c r="EH34" s="0" t="e">
        <f aca="false">Benjamin_VIE!D5+";7#!$.`"</f>
        <v>#VALUE!</v>
      </c>
      <c r="EI34" s="0" t="e">
        <f aca="false">Benjamin_VIE!E5+";7#!$.a"</f>
        <v>#VALUE!</v>
      </c>
      <c r="EJ34" s="0" t="e">
        <f aca="false">Benjamin_VIE!F5+";7#!$.b"</f>
        <v>#VALUE!</v>
      </c>
      <c r="EK34" s="0" t="e">
        <f aca="false">Benjamin_VIE!G5+";7#!$.c"</f>
        <v>#VALUE!</v>
      </c>
      <c r="EL34" s="0" t="e">
        <f aca="false">Benjamin_VIE!H5+";7#!$.d"</f>
        <v>#VALUE!</v>
      </c>
      <c r="EM34" s="0" t="e">
        <f aca="false">Benjamin_VIE!I5+";7#!$.e"</f>
        <v>#VALUE!</v>
      </c>
      <c r="EN34" s="0" t="e">
        <f aca="false">Benjamin_VIE!J5+";7#!$.f"</f>
        <v>#VALUE!</v>
      </c>
      <c r="EO34" s="0" t="e">
        <f aca="false">Benjamin_VIE!K5+";7#!$.g"</f>
        <v>#VALUE!</v>
      </c>
      <c r="EP34" s="0" t="e">
        <f aca="false">Benjamin_VIE!L5+";7#!$.h"</f>
        <v>#VALUE!</v>
      </c>
      <c r="EQ34" s="0" t="e">
        <f aca="false">Benjamin_VIE!M5+";7#!$.i"</f>
        <v>#VALUE!</v>
      </c>
      <c r="ER34" s="0" t="e">
        <f aca="false">Benjamin_VIE!N5+";7#!$.j"</f>
        <v>#VALUE!</v>
      </c>
      <c r="ES34" s="0" t="e">
        <f aca="false">Benjamin_VIE!O5+";7#!$.k"</f>
        <v>#VALUE!</v>
      </c>
      <c r="ET34" s="0" t="e">
        <f aca="false">Benjamin_VIE!P5+";7#!$.l"</f>
        <v>#VALUE!</v>
      </c>
      <c r="EU34" s="0" t="e">
        <f aca="false">Benjamin_VIE!A6+";7#!$.m"</f>
        <v>#VALUE!</v>
      </c>
      <c r="EV34" s="0" t="e">
        <f aca="false">Benjamin_VIE!B6+";7#!$.n"</f>
        <v>#VALUE!</v>
      </c>
      <c r="EW34" s="0" t="e">
        <f aca="false">Benjamin_VIE!C6+";7#!$.o"</f>
        <v>#VALUE!</v>
      </c>
      <c r="EX34" s="0" t="e">
        <f aca="false">Benjamin_VIE!D6+";7#!$.p"</f>
        <v>#VALUE!</v>
      </c>
      <c r="EY34" s="0" t="e">
        <f aca="false">Benjamin_VIE!E6+";7#!$.q"</f>
        <v>#VALUE!</v>
      </c>
      <c r="EZ34" s="0" t="e">
        <f aca="false">Benjamin_VIE!F6+";7#!$.r"</f>
        <v>#VALUE!</v>
      </c>
      <c r="FA34" s="0" t="e">
        <f aca="false">Benjamin_VIE!G6+";7#!$.s"</f>
        <v>#VALUE!</v>
      </c>
      <c r="FB34" s="0" t="e">
        <f aca="false">Benjamin_VIE!H6+";7#!$.t"</f>
        <v>#VALUE!</v>
      </c>
      <c r="FC34" s="0" t="e">
        <f aca="false">Benjamin_VIE!I6+";7#!$.u"</f>
        <v>#VALUE!</v>
      </c>
      <c r="FD34" s="0" t="e">
        <f aca="false">Benjamin_VIE!J6+";7#!$.v"</f>
        <v>#VALUE!</v>
      </c>
      <c r="FE34" s="0" t="e">
        <f aca="false">Benjamin_VIE!K6+";7#!$.w"</f>
        <v>#VALUE!</v>
      </c>
      <c r="FF34" s="0" t="e">
        <f aca="false">Benjamin_VIE!L6+";7#!$.x"</f>
        <v>#VALUE!</v>
      </c>
      <c r="FG34" s="0" t="e">
        <f aca="false">Benjamin_VIE!M6+";7#!$.y"</f>
        <v>#VALUE!</v>
      </c>
      <c r="FH34" s="0" t="e">
        <f aca="false">Benjamin_VIE!N6+";7#!$.z"</f>
        <v>#VALUE!</v>
      </c>
      <c r="FI34" s="0" t="e">
        <f aca="false">Benjamin_VIE!O6+";7#!$.{"</f>
        <v>#VALUE!</v>
      </c>
      <c r="FJ34" s="0" t="e">
        <f aca="false">Benjamin_VIE!P6+";7#!$.|"</f>
        <v>#VALUE!</v>
      </c>
      <c r="FK34" s="0" t="e">
        <f aca="false">Benjamin_VIE!A7+";7#!$.}"</f>
        <v>#VALUE!</v>
      </c>
      <c r="FL34" s="0" t="e">
        <f aca="false">Benjamin_VIE!B7+";7#!$.~"</f>
        <v>#VALUE!</v>
      </c>
      <c r="FM34" s="0" t="e">
        <f aca="false">Benjamin_VIE!C7+";7#!$/#"</f>
        <v>#VALUE!</v>
      </c>
      <c r="FN34" s="0" t="e">
        <f aca="false">Benjamin_VIE!D7+";7#!$/$"</f>
        <v>#VALUE!</v>
      </c>
      <c r="FO34" s="0" t="e">
        <f aca="false">Benjamin_VIE!E7+";7#!$/%"</f>
        <v>#VALUE!</v>
      </c>
      <c r="FP34" s="0" t="e">
        <f aca="false">Benjamin_VIE!F7+";7#!$/&amp;"</f>
        <v>#VALUE!</v>
      </c>
      <c r="FQ34" s="0" t="e">
        <f aca="false">Benjamin_VIE!G7+";7#!$/'"</f>
        <v>#VALUE!</v>
      </c>
      <c r="FR34" s="0" t="e">
        <f aca="false">Benjamin_VIE!H7+";7#!$/("</f>
        <v>#VALUE!</v>
      </c>
      <c r="FS34" s="0" t="e">
        <f aca="false">Benjamin_VIE!I7+";7#!$/)"</f>
        <v>#VALUE!</v>
      </c>
      <c r="FT34" s="0" t="e">
        <f aca="false">Benjamin_VIE!J7+";7#!$/."</f>
        <v>#VALUE!</v>
      </c>
      <c r="FU34" s="0" t="e">
        <f aca="false">Benjamin_VIE!K7+";7#!$//"</f>
        <v>#VALUE!</v>
      </c>
      <c r="FV34" s="0" t="e">
        <f aca="false">Benjamin_VIE!L7+";7#!$/0"</f>
        <v>#VALUE!</v>
      </c>
      <c r="FW34" s="0" t="e">
        <f aca="false">Benjamin_VIE!M7+";7#!$/1"</f>
        <v>#VALUE!</v>
      </c>
      <c r="FX34" s="0" t="e">
        <f aca="false">Benjamin_VIE!N7+";7#!$/2"</f>
        <v>#VALUE!</v>
      </c>
      <c r="FY34" s="0" t="e">
        <f aca="false">Benjamin_VIE!O7+";7#!$/3"</f>
        <v>#VALUE!</v>
      </c>
      <c r="FZ34" s="0" t="e">
        <f aca="false">Benjamin_VIE!P7+";7#!$/4"</f>
        <v>#VALUE!</v>
      </c>
      <c r="GA34" s="0" t="e">
        <f aca="false">Benjamin_VIE!A8+";7#!$/5"</f>
        <v>#VALUE!</v>
      </c>
      <c r="GB34" s="0" t="e">
        <f aca="false">Benjamin_VIE!B8+";7#!$/6"</f>
        <v>#VALUE!</v>
      </c>
      <c r="GC34" s="0" t="e">
        <f aca="false">Benjamin_VIE!C8+";7#!$/7"</f>
        <v>#VALUE!</v>
      </c>
      <c r="GD34" s="0" t="e">
        <f aca="false">Benjamin_VIE!D8+";7#!$/8"</f>
        <v>#VALUE!</v>
      </c>
      <c r="GE34" s="0" t="e">
        <f aca="false">Benjamin_VIE!E8+";7#!$/9"</f>
        <v>#VALUE!</v>
      </c>
      <c r="GF34" s="0" t="e">
        <f aca="false">Benjamin_VIE!F8+";7#!$/:"</f>
        <v>#VALUE!</v>
      </c>
      <c r="GG34" s="0" t="e">
        <f aca="false">Benjamin_VIE!G8+";7#!$/;"</f>
        <v>#VALUE!</v>
      </c>
      <c r="GH34" s="0" t="e">
        <f aca="false">Benjamin_VIE!H8+";7#!$/&lt;"</f>
        <v>#VALUE!</v>
      </c>
      <c r="GI34" s="0" t="e">
        <f aca="false">Benjamin_VIE!I8+";7#!$/="</f>
        <v>#VALUE!</v>
      </c>
      <c r="GJ34" s="0" t="e">
        <f aca="false">Benjamin_VIE!J8+";7#!$/&gt;"</f>
        <v>#VALUE!</v>
      </c>
      <c r="GK34" s="0" t="e">
        <f aca="false">Benjamin_VIE!K8+";7#!$/?"</f>
        <v>#VALUE!</v>
      </c>
      <c r="GL34" s="0" t="e">
        <f aca="false">Benjamin_VIE!L8+";7#!$/@"</f>
        <v>#VALUE!</v>
      </c>
      <c r="GM34" s="0" t="e">
        <f aca="false">Benjamin_VIE!M8+";7#!$/A"</f>
        <v>#VALUE!</v>
      </c>
      <c r="GN34" s="0" t="e">
        <f aca="false">Benjamin_VIE!N8+";7#!$/B"</f>
        <v>#VALUE!</v>
      </c>
      <c r="GO34" s="0" t="e">
        <f aca="false">Benjamin_VIE!O8+";7#!$/C"</f>
        <v>#VALUE!</v>
      </c>
      <c r="GP34" s="0" t="e">
        <f aca="false">Benjamin_VIE!P8+";7#!$/D"</f>
        <v>#VALUE!</v>
      </c>
      <c r="GQ34" s="0" t="e">
        <f aca="false">Benjamin_VIE!A9+";7#!$/E"</f>
        <v>#VALUE!</v>
      </c>
      <c r="GR34" s="0" t="e">
        <f aca="false">Benjamin_VIE!B9+";7#!$/F"</f>
        <v>#VALUE!</v>
      </c>
      <c r="GS34" s="0" t="e">
        <f aca="false">Benjamin_VIE!C9+";7#!$/G"</f>
        <v>#VALUE!</v>
      </c>
      <c r="GT34" s="0" t="e">
        <f aca="false">Benjamin_VIE!D9+";7#!$/H"</f>
        <v>#VALUE!</v>
      </c>
      <c r="GU34" s="0" t="e">
        <f aca="false">Benjamin_VIE!E9+";7#!$/I"</f>
        <v>#VALUE!</v>
      </c>
      <c r="GV34" s="0" t="e">
        <f aca="false">Benjamin_VIE!F9+";7#!$/J"</f>
        <v>#VALUE!</v>
      </c>
      <c r="GW34" s="0" t="e">
        <f aca="false">Benjamin_VIE!G9+";7#!$/K"</f>
        <v>#VALUE!</v>
      </c>
      <c r="GX34" s="0" t="e">
        <f aca="false">Benjamin_VIE!H9+";7#!$/L"</f>
        <v>#VALUE!</v>
      </c>
      <c r="GY34" s="35" t="e">
        <f aca="false">Benjamin_VIE!I9+";7#!$/M"</f>
        <v>#VALUE!</v>
      </c>
      <c r="GZ34" s="0" t="e">
        <f aca="false">Benjamin_VIE!J9+";7#!$/N"</f>
        <v>#VALUE!</v>
      </c>
      <c r="HA34" s="0" t="e">
        <f aca="false">Benjamin_VIE!K9+";7#!$/O"</f>
        <v>#VALUE!</v>
      </c>
      <c r="HB34" s="0" t="e">
        <f aca="false">Benjamin_VIE!L9+";7#!$/P"</f>
        <v>#VALUE!</v>
      </c>
      <c r="HC34" s="0" t="e">
        <f aca="false">Benjamin_VIE!M9+";7#!$/Q"</f>
        <v>#VALUE!</v>
      </c>
      <c r="HD34" s="0" t="e">
        <f aca="false">Benjamin_VIE!N9+";7#!$/R"</f>
        <v>#VALUE!</v>
      </c>
      <c r="HE34" s="0" t="e">
        <f aca="false">Benjamin_VIE!O9+";7#!$/S"</f>
        <v>#VALUE!</v>
      </c>
      <c r="HF34" s="0" t="e">
        <f aca="false">Benjamin_VIE!P9+";7#!$/T"</f>
        <v>#VALUE!</v>
      </c>
      <c r="HG34" s="0" t="e">
        <f aca="false">Benjamin_VIE!A10+";7#!$/U"</f>
        <v>#VALUE!</v>
      </c>
      <c r="HH34" s="0" t="e">
        <f aca="false">Benjamin_VIE!B10+";7#!$/V"</f>
        <v>#VALUE!</v>
      </c>
      <c r="HI34" s="0" t="e">
        <f aca="false">Benjamin_VIE!C10+";7#!$/W"</f>
        <v>#VALUE!</v>
      </c>
      <c r="HJ34" s="0" t="e">
        <f aca="false">Benjamin_VIE!D10+";7#!$/X"</f>
        <v>#VALUE!</v>
      </c>
      <c r="HK34" s="0" t="e">
        <f aca="false">Benjamin_VIE!E10+";7#!$/Y"</f>
        <v>#VALUE!</v>
      </c>
      <c r="HL34" s="0" t="e">
        <f aca="false">Benjamin_VIE!F10+";7#!$/Z"</f>
        <v>#VALUE!</v>
      </c>
      <c r="HM34" s="0" t="e">
        <f aca="false">Benjamin_VIE!G10+";7#!$/["</f>
        <v>#VALUE!</v>
      </c>
      <c r="HN34" s="0" t="e">
        <f aca="false">Benjamin_VIE!H10+";7#!$/\"</f>
        <v>#VALUE!</v>
      </c>
      <c r="HO34" s="35" t="e">
        <f aca="false">Benjamin_VIE!I10+";7#!$/]"</f>
        <v>#VALUE!</v>
      </c>
      <c r="HP34" s="0" t="e">
        <f aca="false">Benjamin_VIE!J10+";7#!$/^"</f>
        <v>#VALUE!</v>
      </c>
      <c r="HQ34" s="0" t="e">
        <f aca="false">Benjamin_VIE!K10+";7#!$/_"</f>
        <v>#VALUE!</v>
      </c>
      <c r="HR34" s="0" t="e">
        <f aca="false">Benjamin_VIE!L10+";7#!$/`"</f>
        <v>#VALUE!</v>
      </c>
      <c r="HS34" s="0" t="e">
        <f aca="false">Benjamin_VIE!M10+";7#!$/a"</f>
        <v>#VALUE!</v>
      </c>
      <c r="HT34" s="0" t="e">
        <f aca="false">Benjamin_VIE!N10+";7#!$/b"</f>
        <v>#VALUE!</v>
      </c>
      <c r="HU34" s="0" t="e">
        <f aca="false">Benjamin_VIE!O10+";7#!$/c"</f>
        <v>#VALUE!</v>
      </c>
      <c r="HV34" s="0" t="e">
        <f aca="false">Benjamin_VIE!P10+";7#!$/d"</f>
        <v>#VALUE!</v>
      </c>
      <c r="HW34" s="0" t="e">
        <f aca="false">Benjamin_VIE!A11+";7#!$/e"</f>
        <v>#VALUE!</v>
      </c>
      <c r="HX34" s="0" t="e">
        <f aca="false">Benjamin_VIE!B11+";7#!$/f"</f>
        <v>#VALUE!</v>
      </c>
      <c r="HY34" s="0" t="e">
        <f aca="false">Benjamin_VIE!C11+";7#!$/g"</f>
        <v>#VALUE!</v>
      </c>
      <c r="HZ34" s="0" t="e">
        <f aca="false">Benjamin_VIE!D11+";7#!$/h"</f>
        <v>#VALUE!</v>
      </c>
      <c r="IA34" s="0" t="e">
        <f aca="false">Benjamin_VIE!E11+";7#!$/i"</f>
        <v>#VALUE!</v>
      </c>
      <c r="IB34" s="0" t="e">
        <f aca="false">Benjamin_VIE!F11+";7#!$/j"</f>
        <v>#VALUE!</v>
      </c>
      <c r="IC34" s="0" t="e">
        <f aca="false">Benjamin_VIE!G11+";7#!$/k"</f>
        <v>#VALUE!</v>
      </c>
      <c r="ID34" s="0" t="e">
        <f aca="false">Benjamin_VIE!H11+";7#!$/l"</f>
        <v>#VALUE!</v>
      </c>
      <c r="IE34" s="0" t="e">
        <f aca="false">Benjamin_VIE!I11+";7#!$/m"</f>
        <v>#VALUE!</v>
      </c>
      <c r="IF34" s="0" t="e">
        <f aca="false">Benjamin_VIE!J11+";7#!$/n"</f>
        <v>#VALUE!</v>
      </c>
      <c r="IG34" s="0" t="e">
        <f aca="false">Benjamin_VIE!K11+";7#!$/o"</f>
        <v>#VALUE!</v>
      </c>
      <c r="IH34" s="0" t="e">
        <f aca="false">Benjamin_VIE!L11+";7#!$/p"</f>
        <v>#VALUE!</v>
      </c>
      <c r="II34" s="0" t="e">
        <f aca="false">Benjamin_VIE!M11+";7#!$/q"</f>
        <v>#VALUE!</v>
      </c>
      <c r="IJ34" s="0" t="e">
        <f aca="false">Benjamin_VIE!N11+";7#!$/r"</f>
        <v>#VALUE!</v>
      </c>
      <c r="IK34" s="0" t="e">
        <f aca="false">Benjamin_VIE!O11+";7#!$/s"</f>
        <v>#VALUE!</v>
      </c>
      <c r="IL34" s="0" t="e">
        <f aca="false">Benjamin_VIE!P11+";7#!$/t"</f>
        <v>#VALUE!</v>
      </c>
      <c r="IM34" s="0" t="e">
        <f aca="false">Benjamin_VIE!A12+";7#!$/u"</f>
        <v>#VALUE!</v>
      </c>
      <c r="IN34" s="0" t="e">
        <f aca="false">Benjamin_VIE!B12+";7#!$/v"</f>
        <v>#VALUE!</v>
      </c>
      <c r="IO34" s="0" t="e">
        <f aca="false">Benjamin_VIE!C12+";7#!$/w"</f>
        <v>#VALUE!</v>
      </c>
      <c r="IP34" s="0" t="e">
        <f aca="false">Benjamin_VIE!D12+";7#!$/x"</f>
        <v>#VALUE!</v>
      </c>
      <c r="IQ34" s="0" t="e">
        <f aca="false">Benjamin_VIE!E12+";7#!$/y"</f>
        <v>#VALUE!</v>
      </c>
      <c r="IR34" s="0" t="e">
        <f aca="false">Benjamin_VIE!F12+";7#!$/z"</f>
        <v>#VALUE!</v>
      </c>
      <c r="IS34" s="0" t="e">
        <f aca="false">Benjamin_VIE!G12+";7#!$/{"</f>
        <v>#VALUE!</v>
      </c>
      <c r="IT34" s="0" t="e">
        <f aca="false">Benjamin_VIE!H12+";7#!$/|"</f>
        <v>#VALUE!</v>
      </c>
      <c r="IU34" s="0" t="e">
        <f aca="false">Benjamin_VIE!I12+";7#!$/}"</f>
        <v>#VALUE!</v>
      </c>
      <c r="IV34" s="0" t="e">
        <f aca="false">Benjamin_VIE!J12+";7#!$/~"</f>
        <v>#VALUE!</v>
      </c>
    </row>
    <row r="35" customFormat="false" ht="15" hidden="false" customHeight="false" outlineLevel="0" collapsed="false">
      <c r="F35" s="0" t="e">
        <f aca="false">Benjamin_VIE!K12+";7#!$0#"</f>
        <v>#VALUE!</v>
      </c>
      <c r="G35" s="0" t="e">
        <f aca="false">Benjamin_VIE!L12+";7#!$0$"</f>
        <v>#VALUE!</v>
      </c>
      <c r="H35" s="0" t="e">
        <f aca="false">Benjamin_VIE!M12+";7#!$0%"</f>
        <v>#VALUE!</v>
      </c>
      <c r="I35" s="0" t="e">
        <f aca="false">Benjamin_VIE!N12+";7#!$0&amp;"</f>
        <v>#VALUE!</v>
      </c>
      <c r="J35" s="0" t="e">
        <f aca="false">Benjamin_VIE!O12+";7#!$0'"</f>
        <v>#VALUE!</v>
      </c>
      <c r="K35" s="0" t="e">
        <f aca="false">Benjamin_VIE!P12+";7#!$0("</f>
        <v>#VALUE!</v>
      </c>
      <c r="L35" s="0" t="e">
        <f aca="false">Benjamin_VIE!A13+";7#!$0)"</f>
        <v>#VALUE!</v>
      </c>
      <c r="M35" s="0" t="e">
        <f aca="false">Benjamin_VIE!B13+";7#!$0."</f>
        <v>#VALUE!</v>
      </c>
      <c r="N35" s="0" t="e">
        <f aca="false">Benjamin_VIE!C13+";7#!$0/"</f>
        <v>#VALUE!</v>
      </c>
      <c r="O35" s="0" t="e">
        <f aca="false">Benjamin_VIE!D13+";7#!$00"</f>
        <v>#VALUE!</v>
      </c>
      <c r="P35" s="0" t="e">
        <f aca="false">Benjamin_VIE!E13+";7#!$01"</f>
        <v>#VALUE!</v>
      </c>
      <c r="Q35" s="0" t="e">
        <f aca="false">Benjamin_VIE!F13+";7#!$02"</f>
        <v>#VALUE!</v>
      </c>
      <c r="R35" s="0" t="e">
        <f aca="false">Benjamin_VIE!G13+";7#!$03"</f>
        <v>#VALUE!</v>
      </c>
      <c r="S35" s="0" t="e">
        <f aca="false">Benjamin_VIE!H13+";7#!$04"</f>
        <v>#VALUE!</v>
      </c>
      <c r="T35" s="0" t="e">
        <f aca="false">Benjamin_VIE!I13+";7#!$05"</f>
        <v>#VALUE!</v>
      </c>
      <c r="U35" s="0" t="e">
        <f aca="false">Benjamin_VIE!J13+";7#!$06"</f>
        <v>#VALUE!</v>
      </c>
      <c r="V35" s="0" t="e">
        <f aca="false">Benjamin_VIE!K13+";7#!$07"</f>
        <v>#VALUE!</v>
      </c>
      <c r="W35" s="0" t="e">
        <f aca="false">Benjamin_VIE!L13+";7#!$08"</f>
        <v>#VALUE!</v>
      </c>
      <c r="X35" s="0" t="e">
        <f aca="false">Benjamin_VIE!M13+";7#!$09"</f>
        <v>#VALUE!</v>
      </c>
      <c r="Y35" s="0" t="e">
        <f aca="false">Benjamin_VIE!N13+";7#!$0:"</f>
        <v>#VALUE!</v>
      </c>
      <c r="Z35" s="0" t="e">
        <f aca="false">Benjamin_VIE!O13+";7#!$0;"</f>
        <v>#VALUE!</v>
      </c>
      <c r="AA35" s="0" t="e">
        <f aca="false">Benjamin_VIE!P13+";7#!$0&lt;"</f>
        <v>#VALUE!</v>
      </c>
      <c r="AB35" s="0" t="e">
        <f aca="false">Benjamin_VIE!A14+";7#!$0="</f>
        <v>#VALUE!</v>
      </c>
      <c r="AC35" s="0" t="e">
        <f aca="false">Benjamin_VIE!B14+";7#!$0&gt;"</f>
        <v>#VALUE!</v>
      </c>
      <c r="AD35" s="0" t="e">
        <f aca="false">Benjamin_VIE!C14+";7#!$0?"</f>
        <v>#VALUE!</v>
      </c>
      <c r="AE35" s="0" t="e">
        <f aca="false">Benjamin_VIE!D14+";7#!$0@"</f>
        <v>#VALUE!</v>
      </c>
      <c r="AF35" s="0" t="e">
        <f aca="false">Benjamin_VIE!E14+";7#!$0A"</f>
        <v>#VALUE!</v>
      </c>
      <c r="AG35" s="0" t="e">
        <f aca="false">Benjamin_VIE!F14+";7#!$0B"</f>
        <v>#VALUE!</v>
      </c>
      <c r="AH35" s="0" t="e">
        <f aca="false">Benjamin_VIE!G14+";7#!$0C"</f>
        <v>#VALUE!</v>
      </c>
      <c r="AI35" s="0" t="e">
        <f aca="false">Benjamin_VIE!H14+";7#!$0D"</f>
        <v>#VALUE!</v>
      </c>
      <c r="AJ35" s="0" t="e">
        <f aca="false">Benjamin_VIE!I14+";7#!$0E"</f>
        <v>#VALUE!</v>
      </c>
      <c r="AK35" s="0" t="e">
        <f aca="false">Benjamin_VIE!J14+";7#!$0F"</f>
        <v>#VALUE!</v>
      </c>
      <c r="AL35" s="0" t="e">
        <f aca="false">Benjamin_VIE!K14+";7#!$0G"</f>
        <v>#VALUE!</v>
      </c>
      <c r="AM35" s="0" t="e">
        <f aca="false">Benjamin_VIE!L14+";7#!$0H"</f>
        <v>#VALUE!</v>
      </c>
      <c r="AN35" s="0" t="e">
        <f aca="false">Benjamin_VIE!M14+";7#!$0I"</f>
        <v>#VALUE!</v>
      </c>
      <c r="AO35" s="0" t="e">
        <f aca="false">Benjamin_VIE!N14+";7#!$0J"</f>
        <v>#VALUE!</v>
      </c>
      <c r="AP35" s="0" t="e">
        <f aca="false">Benjamin_VIE!O14+";7#!$0K"</f>
        <v>#VALUE!</v>
      </c>
      <c r="AQ35" s="0" t="e">
        <f aca="false">Benjamin_VIE!P14+";7#!$0L"</f>
        <v>#VALUE!</v>
      </c>
      <c r="AR35" s="0" t="e">
        <f aca="false">Benjamin_VIE!A15+";7#!$0M"</f>
        <v>#VALUE!</v>
      </c>
      <c r="AS35" s="0" t="e">
        <f aca="false">Benjamin_VIE!B15+";7#!$0N"</f>
        <v>#VALUE!</v>
      </c>
      <c r="AT35" s="0" t="e">
        <f aca="false">Benjamin_VIE!C15+";7#!$0O"</f>
        <v>#VALUE!</v>
      </c>
      <c r="AU35" s="0" t="e">
        <f aca="false">Benjamin_VIE!D15+";7#!$0P"</f>
        <v>#VALUE!</v>
      </c>
      <c r="AV35" s="0" t="e">
        <f aca="false">Benjamin_VIE!E15+";7#!$0Q"</f>
        <v>#VALUE!</v>
      </c>
      <c r="AW35" s="0" t="e">
        <f aca="false">Benjamin_VIE!F15+";7#!$0R"</f>
        <v>#VALUE!</v>
      </c>
      <c r="AX35" s="0" t="e">
        <f aca="false">Benjamin_VIE!G15+";7#!$0S"</f>
        <v>#VALUE!</v>
      </c>
      <c r="AY35" s="0" t="e">
        <f aca="false">Benjamin_VIE!H15+";7#!$0T"</f>
        <v>#VALUE!</v>
      </c>
      <c r="AZ35" s="0" t="e">
        <f aca="false">Benjamin_VIE!I15+";7#!$0U"</f>
        <v>#VALUE!</v>
      </c>
      <c r="BA35" s="0" t="e">
        <f aca="false">Benjamin_VIE!J15+";7#!$0V"</f>
        <v>#VALUE!</v>
      </c>
      <c r="BB35" s="0" t="e">
        <f aca="false">Benjamin_VIE!K15+";7#!$0W"</f>
        <v>#VALUE!</v>
      </c>
      <c r="BC35" s="0" t="e">
        <f aca="false">Benjamin_VIE!L15+";7#!$0X"</f>
        <v>#VALUE!</v>
      </c>
      <c r="BD35" s="0" t="e">
        <f aca="false">Benjamin_VIE!M15+";7#!$0Y"</f>
        <v>#VALUE!</v>
      </c>
      <c r="BE35" s="0" t="e">
        <f aca="false">Benjamin_VIE!N15+";7#!$0Z"</f>
        <v>#VALUE!</v>
      </c>
      <c r="BF35" s="0" t="e">
        <f aca="false">Benjamin_VIE!O15+";7#!$0["</f>
        <v>#VALUE!</v>
      </c>
      <c r="BG35" s="0" t="e">
        <f aca="false">Benjamin_VIE!P15+";7#!$0\"</f>
        <v>#VALUE!</v>
      </c>
      <c r="BH35" s="0" t="e">
        <f aca="false">Benjamin_VIE!A16+";7#!$0]"</f>
        <v>#VALUE!</v>
      </c>
      <c r="BI35" s="0" t="e">
        <f aca="false">Benjamin_VIE!B16+";7#!$0^"</f>
        <v>#VALUE!</v>
      </c>
      <c r="BJ35" s="0" t="e">
        <f aca="false">Benjamin_VIE!C16+";7#!$0_"</f>
        <v>#VALUE!</v>
      </c>
      <c r="BK35" s="0" t="e">
        <f aca="false">Benjamin_VIE!D16+";7#!$0`"</f>
        <v>#VALUE!</v>
      </c>
      <c r="BL35" s="0" t="e">
        <f aca="false">Benjamin_VIE!E16+";7#!$0a"</f>
        <v>#VALUE!</v>
      </c>
      <c r="BM35" s="0" t="e">
        <f aca="false">Benjamin_VIE!F16+";7#!$0b"</f>
        <v>#VALUE!</v>
      </c>
      <c r="BN35" s="0" t="e">
        <f aca="false">Benjamin_VIE!G16+";7#!$0c"</f>
        <v>#VALUE!</v>
      </c>
      <c r="BO35" s="0" t="e">
        <f aca="false">Benjamin_VIE!H16+";7#!$0d"</f>
        <v>#VALUE!</v>
      </c>
      <c r="BP35" s="0" t="e">
        <f aca="false">Benjamin_VIE!I16+";7#!$0e"</f>
        <v>#VALUE!</v>
      </c>
      <c r="BQ35" s="0" t="e">
        <f aca="false">Benjamin_VIE!J16+";7#!$0f"</f>
        <v>#VALUE!</v>
      </c>
      <c r="BR35" s="0" t="e">
        <f aca="false">Benjamin_VIE!K16+";7#!$0g"</f>
        <v>#VALUE!</v>
      </c>
      <c r="BS35" s="0" t="e">
        <f aca="false">Benjamin_VIE!L16+";7#!$0h"</f>
        <v>#VALUE!</v>
      </c>
      <c r="BT35" s="0" t="e">
        <f aca="false">Benjamin_VIE!M16+";7#!$0i"</f>
        <v>#VALUE!</v>
      </c>
      <c r="BU35" s="0" t="e">
        <f aca="false">Benjamin_VIE!N16+";7#!$0j"</f>
        <v>#VALUE!</v>
      </c>
      <c r="BV35" s="0" t="e">
        <f aca="false">Benjamin_VIE!O16+";7#!$0k"</f>
        <v>#VALUE!</v>
      </c>
      <c r="BW35" s="0" t="e">
        <f aca="false">Benjamin_VIE!P16+";7#!$0l"</f>
        <v>#VALUE!</v>
      </c>
      <c r="BX35" s="0" t="e">
        <f aca="false">Benjamin_VIE!A17+";7#!$0m"</f>
        <v>#VALUE!</v>
      </c>
      <c r="BY35" s="0" t="e">
        <f aca="false">Benjamin_VIE!B17+";7#!$0n"</f>
        <v>#VALUE!</v>
      </c>
      <c r="BZ35" s="0" t="e">
        <f aca="false">Benjamin_VIE!C17+";7#!$0o"</f>
        <v>#VALUE!</v>
      </c>
      <c r="CA35" s="0" t="e">
        <f aca="false">Benjamin_VIE!D17+";7#!$0p"</f>
        <v>#VALUE!</v>
      </c>
      <c r="CB35" s="0" t="e">
        <f aca="false">Benjamin_VIE!E17+";7#!$0q"</f>
        <v>#VALUE!</v>
      </c>
      <c r="CC35" s="0" t="e">
        <f aca="false">Benjamin_VIE!F17+";7#!$0r"</f>
        <v>#VALUE!</v>
      </c>
      <c r="CD35" s="0" t="e">
        <f aca="false">Benjamin_VIE!G17+";7#!$0s"</f>
        <v>#VALUE!</v>
      </c>
      <c r="CE35" s="0" t="e">
        <f aca="false">Benjamin_VIE!H17+";7#!$0t"</f>
        <v>#VALUE!</v>
      </c>
      <c r="CF35" s="0" t="e">
        <f aca="false">Benjamin_VIE!I17+";7#!$0u"</f>
        <v>#VALUE!</v>
      </c>
      <c r="CG35" s="0" t="e">
        <f aca="false">Benjamin_VIE!J17+";7#!$0v"</f>
        <v>#VALUE!</v>
      </c>
      <c r="CH35" s="0" t="e">
        <f aca="false">Benjamin_VIE!K17+";7#!$0w"</f>
        <v>#VALUE!</v>
      </c>
      <c r="CI35" s="0" t="e">
        <f aca="false">Benjamin_VIE!L17+";7#!$0x"</f>
        <v>#VALUE!</v>
      </c>
      <c r="CJ35" s="0" t="e">
        <f aca="false">Benjamin_VIE!M17+";7#!$0y"</f>
        <v>#VALUE!</v>
      </c>
      <c r="CK35" s="0" t="e">
        <f aca="false">Benjamin_VIE!N17+";7#!$0z"</f>
        <v>#VALUE!</v>
      </c>
      <c r="CL35" s="0" t="e">
        <f aca="false">Benjamin_VIE!O17+";7#!$0{"</f>
        <v>#VALUE!</v>
      </c>
      <c r="CM35" s="0" t="e">
        <f aca="false">Benjamin_VIE!P17+";7#!$0|"</f>
        <v>#VALUE!</v>
      </c>
      <c r="CN35" s="0" t="e">
        <f aca="false">Benjamin_VIE!A18+";7#!$0}"</f>
        <v>#VALUE!</v>
      </c>
      <c r="CO35" s="0" t="e">
        <f aca="false">Benjamin_VIE!B18+";7#!$0~"</f>
        <v>#VALUE!</v>
      </c>
      <c r="CP35" s="0" t="e">
        <f aca="false">Benjamin_VIE!C18+";7#!$1#"</f>
        <v>#N/A</v>
      </c>
      <c r="CQ35" s="0" t="e">
        <f aca="false">Benjamin_VIE!D18+";7#!$1$"</f>
        <v>#VALUE!</v>
      </c>
      <c r="CR35" s="0" t="e">
        <f aca="false">Benjamin_VIE!E18+";7#!$1%"</f>
        <v>#VALUE!</v>
      </c>
      <c r="CS35" s="0" t="e">
        <f aca="false">Benjamin_VIE!F18+";7#!$1&amp;"</f>
        <v>#VALUE!</v>
      </c>
      <c r="CT35" s="0" t="e">
        <f aca="false">Benjamin_VIE!G18+";7#!$1'"</f>
        <v>#VALUE!</v>
      </c>
      <c r="CU35" s="0" t="e">
        <f aca="false">Benjamin_VIE!H18+";7#!$1("</f>
        <v>#VALUE!</v>
      </c>
      <c r="CV35" s="0" t="e">
        <f aca="false">Benjamin_VIE!I18+";7#!$1)"</f>
        <v>#VALUE!</v>
      </c>
      <c r="CW35" s="0" t="e">
        <f aca="false">Benjamin_VIE!J18+";7#!$1."</f>
        <v>#VALUE!</v>
      </c>
      <c r="CX35" s="0" t="e">
        <f aca="false">Benjamin_VIE!K18+";7#!$1/"</f>
        <v>#VALUE!</v>
      </c>
      <c r="CY35" s="0" t="e">
        <f aca="false">Benjamin_VIE!L18+";7#!$10"</f>
        <v>#VALUE!</v>
      </c>
      <c r="CZ35" s="0" t="e">
        <f aca="false">Benjamin_VIE!M18+";7#!$11"</f>
        <v>#VALUE!</v>
      </c>
      <c r="DA35" s="0" t="e">
        <f aca="false">Benjamin_VIE!N18+";7#!$12"</f>
        <v>#VALUE!</v>
      </c>
      <c r="DB35" s="0" t="e">
        <f aca="false">Benjamin_VIE!O18+";7#!$13"</f>
        <v>#VALUE!</v>
      </c>
      <c r="DC35" s="0" t="e">
        <f aca="false">Benjamin_VIE!P18+";7#!$14"</f>
        <v>#VALUE!</v>
      </c>
      <c r="DD35" s="0" t="e">
        <f aca="false">Benjamin_VIE!A19+";7#!$15"</f>
        <v>#VALUE!</v>
      </c>
      <c r="DE35" s="0" t="e">
        <f aca="false">Benjamin_VIE!B19+";7#!$16"</f>
        <v>#VALUE!</v>
      </c>
      <c r="DF35" s="0" t="e">
        <f aca="false">Benjamin_VIE!C19+";7#!$17"</f>
        <v>#VALUE!</v>
      </c>
      <c r="DG35" s="0" t="e">
        <f aca="false">Benjamin_VIE!D19+";7#!$18"</f>
        <v>#VALUE!</v>
      </c>
      <c r="DH35" s="0" t="e">
        <f aca="false">Benjamin_VIE!E19+";7#!$19"</f>
        <v>#VALUE!</v>
      </c>
      <c r="DI35" s="0" t="e">
        <f aca="false">Benjamin_VIE!F19+";7#!$1:"</f>
        <v>#VALUE!</v>
      </c>
      <c r="DJ35" s="0" t="e">
        <f aca="false">Benjamin_VIE!G19+";7#!$1;"</f>
        <v>#VALUE!</v>
      </c>
      <c r="DK35" s="0" t="e">
        <f aca="false">Benjamin_VIE!H19+";7#!$1&lt;"</f>
        <v>#VALUE!</v>
      </c>
      <c r="DL35" s="0" t="e">
        <f aca="false">Benjamin_VIE!I19+";7#!$1="</f>
        <v>#VALUE!</v>
      </c>
      <c r="DM35" s="0" t="e">
        <f aca="false">Benjamin_VIE!J19+";7#!$1&gt;"</f>
        <v>#VALUE!</v>
      </c>
      <c r="DN35" s="0" t="e">
        <f aca="false">Benjamin_VIE!K19+";7#!$1?"</f>
        <v>#VALUE!</v>
      </c>
      <c r="DO35" s="0" t="e">
        <f aca="false">Benjamin_VIE!L19+";7#!$1@"</f>
        <v>#VALUE!</v>
      </c>
      <c r="DP35" s="0" t="e">
        <f aca="false">Benjamin_VIE!M19+";7#!$1A"</f>
        <v>#VALUE!</v>
      </c>
      <c r="DQ35" s="0" t="e">
        <f aca="false">Benjamin_VIE!N19+";7#!$1B"</f>
        <v>#VALUE!</v>
      </c>
      <c r="DR35" s="0" t="e">
        <f aca="false">Benjamin_VIE!O19+";7#!$1C"</f>
        <v>#VALUE!</v>
      </c>
      <c r="DS35" s="0" t="e">
        <f aca="false">Benjamin_VIE!P19+";7#!$1D"</f>
        <v>#VALUE!</v>
      </c>
      <c r="DT35" s="0" t="e">
        <f aca="false">Benjamin_VIE!A20+";7#!$1E"</f>
        <v>#VALUE!</v>
      </c>
      <c r="DU35" s="0" t="e">
        <f aca="false">Benjamin_VIE!B20+";7#!$1F"</f>
        <v>#VALUE!</v>
      </c>
      <c r="DV35" s="0" t="e">
        <f aca="false">Benjamin_VIE!C20+";7#!$1G"</f>
        <v>#VALUE!</v>
      </c>
      <c r="DW35" s="0" t="e">
        <f aca="false">Benjamin_VIE!D20+";7#!$1H"</f>
        <v>#VALUE!</v>
      </c>
      <c r="DX35" s="0" t="e">
        <f aca="false">Benjamin_VIE!E20+";7#!$1I"</f>
        <v>#VALUE!</v>
      </c>
      <c r="DY35" s="0" t="e">
        <f aca="false">Benjamin_VIE!F20+";7#!$1J"</f>
        <v>#VALUE!</v>
      </c>
      <c r="DZ35" s="0" t="e">
        <f aca="false">Benjamin_VIE!G20+";7#!$1K"</f>
        <v>#VALUE!</v>
      </c>
      <c r="EA35" s="0" t="e">
        <f aca="false">Benjamin_VIE!H20+";7#!$1L"</f>
        <v>#VALUE!</v>
      </c>
      <c r="EB35" s="0" t="e">
        <f aca="false">Benjamin_VIE!I20+";7#!$1M"</f>
        <v>#VALUE!</v>
      </c>
      <c r="EC35" s="0" t="e">
        <f aca="false">Benjamin_VIE!J20+";7#!$1N"</f>
        <v>#VALUE!</v>
      </c>
      <c r="ED35" s="0" t="e">
        <f aca="false">Benjamin_VIE!K20+";7#!$1O"</f>
        <v>#VALUE!</v>
      </c>
      <c r="EE35" s="0" t="e">
        <f aca="false">Benjamin_VIE!L20+";7#!$1P"</f>
        <v>#VALUE!</v>
      </c>
      <c r="EF35" s="0" t="e">
        <f aca="false">Benjamin_VIE!M20+";7#!$1Q"</f>
        <v>#VALUE!</v>
      </c>
      <c r="EG35" s="0" t="e">
        <f aca="false">Benjamin_VIE!N20+";7#!$1R"</f>
        <v>#VALUE!</v>
      </c>
      <c r="EH35" s="0" t="e">
        <f aca="false">Benjamin_VIE!O20+";7#!$1S"</f>
        <v>#VALUE!</v>
      </c>
      <c r="EI35" s="0" t="e">
        <f aca="false">Benjamin_VIE!P20+";7#!$1T"</f>
        <v>#VALUE!</v>
      </c>
      <c r="EJ35" s="0" t="e">
        <f aca="false">Benjamin_VIE!A21+";7#!$1U"</f>
        <v>#VALUE!</v>
      </c>
      <c r="EK35" s="0" t="e">
        <f aca="false">Benjamin_VIE!B21+";7#!$1V"</f>
        <v>#VALUE!</v>
      </c>
      <c r="EL35" s="0" t="e">
        <f aca="false">Benjamin_VIE!C21+";7#!$1W"</f>
        <v>#N/A</v>
      </c>
      <c r="EM35" s="0" t="e">
        <f aca="false">Benjamin_VIE!D21+";7#!$1X"</f>
        <v>#VALUE!</v>
      </c>
      <c r="EN35" s="0" t="e">
        <f aca="false">Benjamin_VIE!E21+";7#!$1Y"</f>
        <v>#VALUE!</v>
      </c>
      <c r="EO35" s="0" t="e">
        <f aca="false">Benjamin_VIE!F21+";7#!$1Z"</f>
        <v>#VALUE!</v>
      </c>
      <c r="EP35" s="0" t="e">
        <f aca="false">Benjamin_VIE!G21+";7#!$1["</f>
        <v>#VALUE!</v>
      </c>
      <c r="EQ35" s="0" t="e">
        <f aca="false">Benjamin_VIE!H21+";7#!$1\"</f>
        <v>#VALUE!</v>
      </c>
      <c r="ER35" s="0" t="e">
        <f aca="false">Benjamin_VIE!I21+";7#!$1]"</f>
        <v>#VALUE!</v>
      </c>
      <c r="ES35" s="0" t="e">
        <f aca="false">Benjamin_VIE!J21+";7#!$1^"</f>
        <v>#VALUE!</v>
      </c>
      <c r="ET35" s="0" t="e">
        <f aca="false">Benjamin_VIE!K21+";7#!$1_"</f>
        <v>#VALUE!</v>
      </c>
      <c r="EU35" s="0" t="e">
        <f aca="false">Benjamin_VIE!L21+";7#!$1`"</f>
        <v>#VALUE!</v>
      </c>
      <c r="EV35" s="0" t="e">
        <f aca="false">Benjamin_VIE!M21+";7#!$1a"</f>
        <v>#VALUE!</v>
      </c>
      <c r="EW35" s="0" t="e">
        <f aca="false">Benjamin_VIE!N21+";7#!$1b"</f>
        <v>#VALUE!</v>
      </c>
      <c r="EX35" s="0" t="e">
        <f aca="false">Benjamin_VIE!O21+";7#!$1c"</f>
        <v>#VALUE!</v>
      </c>
      <c r="EY35" s="0" t="e">
        <f aca="false">Benjamin_VIE!P21+";7#!$1d"</f>
        <v>#VALUE!</v>
      </c>
      <c r="EZ35" s="0" t="e">
        <f aca="false">Benjamin_VIE!A22+";7#!$1e"</f>
        <v>#VALUE!</v>
      </c>
      <c r="FA35" s="0" t="e">
        <f aca="false">Benjamin_VIE!B22+";7#!$1f"</f>
        <v>#VALUE!</v>
      </c>
      <c r="FB35" s="0" t="e">
        <f aca="false">Benjamin_VIE!C22+";7#!$1g"</f>
        <v>#N/A</v>
      </c>
      <c r="FC35" s="0" t="e">
        <f aca="false">Benjamin_VIE!D22+";7#!$1h"</f>
        <v>#VALUE!</v>
      </c>
      <c r="FD35" s="0" t="e">
        <f aca="false">Benjamin_VIE!E22+";7#!$1i"</f>
        <v>#VALUE!</v>
      </c>
      <c r="FE35" s="0" t="e">
        <f aca="false">Benjamin_VIE!F22+";7#!$1j"</f>
        <v>#VALUE!</v>
      </c>
      <c r="FF35" s="0" t="e">
        <f aca="false">Benjamin_VIE!G22+";7#!$1k"</f>
        <v>#VALUE!</v>
      </c>
      <c r="FG35" s="0" t="e">
        <f aca="false">Benjamin_VIE!H22+";7#!$1l"</f>
        <v>#VALUE!</v>
      </c>
      <c r="FH35" s="0" t="e">
        <f aca="false">Benjamin_VIE!I22+";7#!$1m"</f>
        <v>#VALUE!</v>
      </c>
      <c r="FI35" s="0" t="e">
        <f aca="false">Benjamin_VIE!J22+";7#!$1n"</f>
        <v>#VALUE!</v>
      </c>
      <c r="FJ35" s="0" t="e">
        <f aca="false">Benjamin_VIE!K22+";7#!$1o"</f>
        <v>#VALUE!</v>
      </c>
      <c r="FK35" s="0" t="e">
        <f aca="false">Benjamin_VIE!L22+";7#!$1p"</f>
        <v>#VALUE!</v>
      </c>
      <c r="FL35" s="0" t="e">
        <f aca="false">Benjamin_VIE!M22+";7#!$1q"</f>
        <v>#VALUE!</v>
      </c>
      <c r="FM35" s="0" t="e">
        <f aca="false">Benjamin_VIE!N22+";7#!$1r"</f>
        <v>#VALUE!</v>
      </c>
      <c r="FN35" s="0" t="e">
        <f aca="false">Benjamin_VIE!O22+";7#!$1s"</f>
        <v>#VALUE!</v>
      </c>
      <c r="FO35" s="0" t="e">
        <f aca="false">Benjamin_VIE!P22+";7#!$1t"</f>
        <v>#VALUE!</v>
      </c>
      <c r="FP35" s="0" t="e">
        <f aca="false">Benjamin_VIE!A23+";7#!$1u"</f>
        <v>#VALUE!</v>
      </c>
      <c r="FQ35" s="0" t="e">
        <f aca="false">Benjamin_VIE!B23+";7#!$1v"</f>
        <v>#VALUE!</v>
      </c>
      <c r="FR35" s="0" t="e">
        <f aca="false">Benjamin_VIE!C23+";7#!$1w"</f>
        <v>#VALUE!</v>
      </c>
      <c r="FS35" s="35" t="e">
        <f aca="false">Benjamin_VIE!D23+";7#!$1x"</f>
        <v>#VALUE!</v>
      </c>
      <c r="FT35" s="35" t="e">
        <f aca="false">Benjamin_VIE!E23+";7#!$1y"</f>
        <v>#VALUE!</v>
      </c>
      <c r="FU35" s="35" t="e">
        <f aca="false">Benjamin_VIE!F23+";7#!$1z"</f>
        <v>#VALUE!</v>
      </c>
      <c r="FV35" s="35" t="e">
        <f aca="false">Benjamin_VIE!G23+";7#!$1{"</f>
        <v>#VALUE!</v>
      </c>
      <c r="FW35" s="35" t="e">
        <f aca="false">Benjamin_VIE!H23+";7#!$1|"</f>
        <v>#VALUE!</v>
      </c>
      <c r="FX35" s="35" t="e">
        <f aca="false">Benjamin_VIE!I23+";7#!$1}"</f>
        <v>#VALUE!</v>
      </c>
      <c r="FY35" s="35" t="e">
        <f aca="false">Benjamin_VIE!J23+";7#!$1~"</f>
        <v>#VALUE!</v>
      </c>
      <c r="FZ35" s="35" t="e">
        <f aca="false">Benjamin_VIE!K23+";7#!$2#"</f>
        <v>#VALUE!</v>
      </c>
      <c r="GA35" s="35" t="e">
        <f aca="false">Benjamin_VIE!L23+";7#!$2$"</f>
        <v>#VALUE!</v>
      </c>
      <c r="GB35" s="35" t="e">
        <f aca="false">Benjamin_VIE!M23+";7#!$2%"</f>
        <v>#VALUE!</v>
      </c>
      <c r="GC35" s="35" t="e">
        <f aca="false">Benjamin_VIE!N23+";7#!$2&amp;"</f>
        <v>#VALUE!</v>
      </c>
      <c r="GD35" s="35" t="e">
        <f aca="false">Benjamin_VIE!O23+";7#!$2'"</f>
        <v>#VALUE!</v>
      </c>
      <c r="GE35" s="35" t="e">
        <f aca="false">Benjamin_VIE!P23+";7#!$2("</f>
        <v>#VALUE!</v>
      </c>
      <c r="GF35" s="0" t="e">
        <f aca="false">Benjamin_VIE!A24+";7#!$2)"</f>
        <v>#VALUE!</v>
      </c>
      <c r="GG35" s="0" t="e">
        <f aca="false">Benjamin_VIE!B24+";7#!$2."</f>
        <v>#VALUE!</v>
      </c>
      <c r="GH35" s="0" t="e">
        <f aca="false">Benjamin_VIE!C24+";7#!$2/"</f>
        <v>#VALUE!</v>
      </c>
      <c r="GI35" s="35" t="e">
        <f aca="false">Benjamin_VIE!D24+";7#!$20"</f>
        <v>#VALUE!</v>
      </c>
      <c r="GJ35" s="35" t="e">
        <f aca="false">Benjamin_VIE!E24+";7#!$21"</f>
        <v>#VALUE!</v>
      </c>
      <c r="GK35" s="35" t="e">
        <f aca="false">Benjamin_VIE!F24+";7#!$22"</f>
        <v>#VALUE!</v>
      </c>
      <c r="GL35" s="35" t="e">
        <f aca="false">Benjamin_VIE!G24+";7#!$23"</f>
        <v>#VALUE!</v>
      </c>
      <c r="GM35" s="35" t="e">
        <f aca="false">Benjamin_VIE!H24+";7#!$24"</f>
        <v>#VALUE!</v>
      </c>
      <c r="GN35" s="35" t="e">
        <f aca="false">Benjamin_VIE!I24+";7#!$25"</f>
        <v>#VALUE!</v>
      </c>
      <c r="GO35" s="35" t="e">
        <f aca="false">Benjamin_VIE!J24+";7#!$26"</f>
        <v>#VALUE!</v>
      </c>
      <c r="GP35" s="35" t="e">
        <f aca="false">Benjamin_VIE!K24+";7#!$27"</f>
        <v>#VALUE!</v>
      </c>
      <c r="GQ35" s="35" t="e">
        <f aca="false">Benjamin_VIE!L24+";7#!$28"</f>
        <v>#VALUE!</v>
      </c>
      <c r="GR35" s="35" t="e">
        <f aca="false">Benjamin_VIE!M24+";7#!$29"</f>
        <v>#VALUE!</v>
      </c>
      <c r="GS35" s="35" t="e">
        <f aca="false">Benjamin_VIE!N24+";7#!$2:"</f>
        <v>#VALUE!</v>
      </c>
      <c r="GT35" s="35" t="e">
        <f aca="false">Benjamin_VIE!O24+";7#!$2;"</f>
        <v>#VALUE!</v>
      </c>
      <c r="GU35" s="35" t="e">
        <f aca="false">Benjamin_VIE!P24+";7#!$2&lt;"</f>
        <v>#VALUE!</v>
      </c>
      <c r="GV35" s="0" t="e">
        <f aca="false">Benjamin_VIE!A25+";7#!$2="</f>
        <v>#VALUE!</v>
      </c>
      <c r="GW35" s="0" t="e">
        <f aca="false">Benjamin_VIE!B25+";7#!$2&gt;"</f>
        <v>#VALUE!</v>
      </c>
      <c r="GX35" s="0" t="e">
        <f aca="false">Benjamin_VIE!C25+";7#!$2?"</f>
        <v>#VALUE!</v>
      </c>
      <c r="GY35" s="35" t="e">
        <f aca="false">Benjamin_VIE!D25+";7#!$2@"</f>
        <v>#VALUE!</v>
      </c>
      <c r="GZ35" s="35" t="e">
        <f aca="false">Benjamin_VIE!E25+";7#!$2A"</f>
        <v>#VALUE!</v>
      </c>
      <c r="HA35" s="35" t="e">
        <f aca="false">Benjamin_VIE!F25+";7#!$2B"</f>
        <v>#VALUE!</v>
      </c>
      <c r="HB35" s="35" t="e">
        <f aca="false">Benjamin_VIE!G25+";7#!$2C"</f>
        <v>#VALUE!</v>
      </c>
      <c r="HC35" s="35" t="e">
        <f aca="false">Benjamin_VIE!H25+";7#!$2D"</f>
        <v>#VALUE!</v>
      </c>
      <c r="HD35" s="35" t="e">
        <f aca="false">Benjamin_VIE!I25+";7#!$2E"</f>
        <v>#VALUE!</v>
      </c>
      <c r="HE35" s="35" t="e">
        <f aca="false">Benjamin_VIE!J25+";7#!$2F"</f>
        <v>#VALUE!</v>
      </c>
      <c r="HF35" s="35" t="e">
        <f aca="false">Benjamin_VIE!K25+";7#!$2G"</f>
        <v>#VALUE!</v>
      </c>
      <c r="HG35" s="35" t="e">
        <f aca="false">Benjamin_VIE!L25+";7#!$2H"</f>
        <v>#VALUE!</v>
      </c>
      <c r="HH35" s="35" t="e">
        <f aca="false">Benjamin_VIE!M25+";7#!$2I"</f>
        <v>#VALUE!</v>
      </c>
      <c r="HI35" s="35" t="e">
        <f aca="false">Benjamin_VIE!N25+";7#!$2J"</f>
        <v>#VALUE!</v>
      </c>
      <c r="HJ35" s="35" t="e">
        <f aca="false">Benjamin_VIE!O25+";7#!$2K"</f>
        <v>#VALUE!</v>
      </c>
      <c r="HK35" s="35" t="e">
        <f aca="false">Benjamin_VIE!P25+";7#!$2L"</f>
        <v>#VALUE!</v>
      </c>
      <c r="HL35" s="0" t="e">
        <f aca="false">Benjamin_VIE!A26+";7#!$2M"</f>
        <v>#VALUE!</v>
      </c>
      <c r="HM35" s="0" t="e">
        <f aca="false">Benjamin_VIE!B26+";7#!$2N"</f>
        <v>#VALUE!</v>
      </c>
      <c r="HN35" s="0" t="e">
        <f aca="false">Benjamin_VIE!C26+";7#!$2O"</f>
        <v>#VALUE!</v>
      </c>
      <c r="HO35" s="36" t="e">
        <f aca="false">Benjamin_VIE!D26+";7#!$2P"</f>
        <v>#VALUE!</v>
      </c>
      <c r="HP35" s="36" t="e">
        <f aca="false">Benjamin_VIE!E26+";7#!$2Q"</f>
        <v>#VALUE!</v>
      </c>
      <c r="HQ35" s="36" t="e">
        <f aca="false">Benjamin_VIE!F26+";7#!$2R"</f>
        <v>#VALUE!</v>
      </c>
      <c r="HR35" s="36" t="e">
        <f aca="false">Benjamin_VIE!G26+";7#!$2S"</f>
        <v>#VALUE!</v>
      </c>
      <c r="HS35" s="36" t="e">
        <f aca="false">Benjamin_VIE!H26+";7#!$2T"</f>
        <v>#VALUE!</v>
      </c>
      <c r="HT35" s="36" t="e">
        <f aca="false">Benjamin_VIE!I26+";7#!$2U"</f>
        <v>#VALUE!</v>
      </c>
      <c r="HU35" s="36" t="e">
        <f aca="false">Benjamin_VIE!J26+";7#!$2V"</f>
        <v>#DIV/0!</v>
      </c>
      <c r="HV35" s="36" t="e">
        <f aca="false">Benjamin_VIE!K26+";7#!$2W"</f>
        <v>#DIV/0!</v>
      </c>
      <c r="HW35" s="36" t="e">
        <f aca="false">Benjamin_VIE!L26+";7#!$2X"</f>
        <v>#DIV/0!</v>
      </c>
      <c r="HX35" s="36" t="e">
        <f aca="false">Benjamin_VIE!M26+";7#!$2Y"</f>
        <v>#DIV/0!</v>
      </c>
      <c r="HY35" s="36" t="e">
        <f aca="false">Benjamin_VIE!N26+";7#!$2Z"</f>
        <v>#DIV/0!</v>
      </c>
      <c r="HZ35" s="36" t="e">
        <f aca="false">Benjamin_VIE!O26+";7#!$2["</f>
        <v>#DIV/0!</v>
      </c>
      <c r="IA35" s="36" t="e">
        <f aca="false">Benjamin_VIE!P26+";7#!$2\"</f>
        <v>#VALUE!</v>
      </c>
      <c r="IB35" s="0" t="e">
        <f aca="false">Lists!A:A*";7#!$2]"</f>
        <v>#VALUE!</v>
      </c>
      <c r="IC35" s="0" t="e">
        <f aca="false">Lists!B:B*";7#!$2^"</f>
        <v>#VALUE!</v>
      </c>
      <c r="ID35" s="0" t="e">
        <f aca="false">Lists!C:C*";7#!$2_"</f>
        <v>#VALUE!</v>
      </c>
      <c r="IE35" s="0" t="e">
        <f aca="false">Lists!D:D*";7#!$2`"</f>
        <v>#VALUE!</v>
      </c>
      <c r="IF35" s="0" t="e">
        <f aca="false">Lists!E:E*";7#!$2a"</f>
        <v>#VALUE!</v>
      </c>
      <c r="IG35" s="0" t="e">
        <f aca="false">Lists!F:F*";7#!$2b"</f>
        <v>#VALUE!</v>
      </c>
      <c r="IH35" s="0" t="e">
        <f aca="false">Lists!G:G*";7#!$2c"</f>
        <v>#VALUE!</v>
      </c>
      <c r="II35" s="0" t="e">
        <f aca="false">Lists!H:H*";7#!$2d"</f>
        <v>#VALUE!</v>
      </c>
      <c r="IJ35" s="0" t="e">
        <f aca="false">Lists!I:I*";7#!$2e"</f>
        <v>#VALUE!</v>
      </c>
      <c r="IK35" s="0" t="e">
        <f aca="false">Lists!J:J*";7#!$2f"</f>
        <v>#VALUE!</v>
      </c>
      <c r="IL35" s="0" t="e">
        <f aca="false">Lists!K:K*";7#!$2g"</f>
        <v>#VALUE!</v>
      </c>
      <c r="IM35" s="0" t="e">
        <f aca="false">Lists!L:L*";7#!$2h"</f>
        <v>#VALUE!</v>
      </c>
      <c r="IN35" s="0" t="e">
        <f aca="false">Lists!M:M*";7#!$2i"</f>
        <v>#VALUE!</v>
      </c>
      <c r="IO35" s="0" t="e">
        <f aca="false">Lists!N:N*";7#!$2j"</f>
        <v>#VALUE!</v>
      </c>
      <c r="IP35" s="0" t="e">
        <f aca="false">Lists!O:O*";7#!$2k"</f>
        <v>#VALUE!</v>
      </c>
      <c r="IQ35" s="0" t="e">
        <f aca="false">Lists!P:P*";7#!$2l"</f>
        <v>#VALUE!</v>
      </c>
      <c r="IR35" s="0" t="e">
        <f aca="false">Lists!Q:Q*";7#!$2m"</f>
        <v>#VALUE!</v>
      </c>
      <c r="IS35" s="0" t="e">
        <f aca="false">Lists!R:R*";7#!$2n"</f>
        <v>#VALUE!</v>
      </c>
      <c r="IT35" s="0" t="e">
        <f aca="false">Lists!S:S*";7#!$2o"</f>
        <v>#VALUE!</v>
      </c>
      <c r="IU35" s="0" t="e">
        <f aca="false">Lists!T:T*";7#!$2p"</f>
        <v>#VALUE!</v>
      </c>
      <c r="IV35" s="0" t="e">
        <f aca="false">Lists!U:U*";7#!$2q"</f>
        <v>#VALUE!</v>
      </c>
    </row>
    <row r="36" customFormat="false" ht="15" hidden="false" customHeight="false" outlineLevel="0" collapsed="false">
      <c r="F36" s="0" t="e">
        <f aca="false">Lists!V:V*";7#!$2r"</f>
        <v>#VALUE!</v>
      </c>
      <c r="G36" s="0" t="e">
        <f aca="false">Lists!W:W*";7#!$2s"</f>
        <v>#VALUE!</v>
      </c>
      <c r="H36" s="0" t="e">
        <f aca="false">Lists!X:X*";7#!$2t"</f>
        <v>#VALUE!</v>
      </c>
      <c r="I36" s="0" t="e">
        <f aca="false">Lists!Y:Y*";7#!$2u"</f>
        <v>#VALUE!</v>
      </c>
      <c r="J36" s="0" t="e">
        <f aca="false">Lists!Z:Z*";7#!$2v"</f>
        <v>#VALUE!</v>
      </c>
      <c r="K36" s="0" t="e">
        <f aca="false">Lists!AA:AA*";7#!$2w"</f>
        <v>#VALUE!</v>
      </c>
      <c r="L36" s="0" t="e">
        <f aca="false">Lists!AB:AB*";7#!$2x"</f>
        <v>#VALUE!</v>
      </c>
      <c r="M36" s="0" t="e">
        <f aca="false">Lists!AC:AC*";7#!$2y"</f>
        <v>#VALUE!</v>
      </c>
      <c r="N36" s="0" t="e">
        <f aca="false">Lists!AD:AD*";7#!$2z"</f>
        <v>#VALUE!</v>
      </c>
      <c r="O36" s="0" t="e">
        <f aca="false">Lists!AE:AE*";7#!$2{"</f>
        <v>#VALUE!</v>
      </c>
      <c r="P36" s="0" t="e">
        <f aca="false">Lists!AF:AF*";7#!$2|"</f>
        <v>#VALUE!</v>
      </c>
      <c r="Q36" s="0" t="e">
        <f aca="false">Lists!AG:AG*";7#!$2}"</f>
        <v>#VALUE!</v>
      </c>
      <c r="R36" s="0" t="e">
        <f aca="false">Lists!AH:AH*";7#!$2~"</f>
        <v>#VALUE!</v>
      </c>
      <c r="S36" s="0" t="e">
        <f aca="false">Lists!AI:AI*";7#!$3#"</f>
        <v>#VALUE!</v>
      </c>
      <c r="T36" s="0" t="e">
        <f aca="false">Lists!AJ:AJ*";7#!$3$"</f>
        <v>#VALUE!</v>
      </c>
      <c r="U36" s="0" t="e">
        <f aca="false">Lists!AK:AK*";7#!$3%"</f>
        <v>#VALUE!</v>
      </c>
      <c r="V36" s="0" t="e">
        <f aca="false">Lists!AL:AL*";7#!$3&amp;"</f>
        <v>#VALUE!</v>
      </c>
      <c r="W36" s="0" t="e">
        <f aca="false">Lists!AM:AM*";7#!$3'"</f>
        <v>#VALUE!</v>
      </c>
      <c r="X36" s="0" t="e">
        <f aca="false">Lists!AN:AN*";7#!$3("</f>
        <v>#VALUE!</v>
      </c>
      <c r="Y36" s="0" t="e">
        <f aca="false">Lists!AO:AO*";7#!$3)"</f>
        <v>#VALUE!</v>
      </c>
      <c r="Z36" s="0" t="e">
        <f aca="false">Lists!AP:AP*";7#!$3."</f>
        <v>#VALUE!</v>
      </c>
      <c r="AA36" s="0" t="e">
        <f aca="false">Lists!AQ:AQ*";7#!$3/"</f>
        <v>#VALUE!</v>
      </c>
      <c r="AB36" s="0" t="e">
        <f aca="false">Lists!AR:AR*";7#!$30"</f>
        <v>#VALUE!</v>
      </c>
      <c r="AC36" s="0" t="e">
        <f aca="false">Lists!AS:AS*";7#!$31"</f>
        <v>#VALUE!</v>
      </c>
      <c r="AD36" s="0" t="e">
        <f aca="false">Lists!AT:AT*";7#!$32"</f>
        <v>#VALUE!</v>
      </c>
      <c r="AE36" s="0" t="e">
        <f aca="false">Lists!AU:AU*";7#!$33"</f>
        <v>#VALUE!</v>
      </c>
      <c r="AF36" s="0" t="e">
        <f aca="false">Lists!AV:AV*";7#!$34"</f>
        <v>#VALUE!</v>
      </c>
      <c r="AG36" s="0" t="e">
        <f aca="false">Lists!AW:AW*";7#!$35"</f>
        <v>#VALUE!</v>
      </c>
      <c r="AH36" s="0" t="e">
        <f aca="false">Lists!AX:AX*";7#!$36"</f>
        <v>#VALUE!</v>
      </c>
      <c r="AI36" s="0" t="e">
        <f aca="false">Lists!AY:AY*";7#!$37"</f>
        <v>#VALUE!</v>
      </c>
      <c r="AJ36" s="0" t="e">
        <f aca="false">Lists!AZ:AZ*";7#!$38"</f>
        <v>#VALUE!</v>
      </c>
      <c r="AK36" s="0" t="e">
        <f aca="false">Lists!BA:BA*";7#!$39"</f>
        <v>#VALUE!</v>
      </c>
      <c r="AL36" s="0" t="e">
        <f aca="false">Lists!BB:BB*";7#!$3:"</f>
        <v>#VALUE!</v>
      </c>
      <c r="AM36" s="0" t="e">
        <f aca="false">Lists!1:1-";7#!$3;"</f>
        <v>#VALUE!</v>
      </c>
      <c r="AN36" s="0" t="e">
        <f aca="false">Lists!2:2-";7#!$3&lt;"</f>
        <v>#VALUE!</v>
      </c>
      <c r="AO36" s="0" t="e">
        <f aca="false">Lists!3:3-";7#!$3="</f>
        <v>#VALUE!</v>
      </c>
      <c r="AP36" s="0" t="e">
        <f aca="false">Lists!4:4-";7#!$3&gt;"</f>
        <v>#VALUE!</v>
      </c>
      <c r="AQ36" s="0" t="e">
        <f aca="false">Lists!5:5-";7#!$3?"</f>
        <v>#VALUE!</v>
      </c>
      <c r="AR36" s="0" t="e">
        <f aca="false">Lists!6:6-";7#!$3@"</f>
        <v>#VALUE!</v>
      </c>
      <c r="AS36" s="0" t="e">
        <f aca="false">Lists!7:7-";7#!$3A"</f>
        <v>#VALUE!</v>
      </c>
      <c r="AT36" s="0" t="e">
        <f aca="false">Lists!8:8-";7#!$3B"</f>
        <v>#VALUE!</v>
      </c>
      <c r="AU36" s="0" t="e">
        <f aca="false">Lists!9:9-";7#!$3C"</f>
        <v>#VALUE!</v>
      </c>
      <c r="AV36" s="0" t="e">
        <f aca="false">Lists!10:10-";7#!$3D"</f>
        <v>#VALUE!</v>
      </c>
      <c r="AW36" s="0" t="e">
        <f aca="false">Lists!11:11-";7#!$3E"</f>
        <v>#VALUE!</v>
      </c>
      <c r="AX36" s="0" t="e">
        <f aca="false">Lists!12:12-";7#!$3F"</f>
        <v>#VALUE!</v>
      </c>
      <c r="AY36" s="0" t="e">
        <f aca="false">Lists!13:13-";7#!$3G"</f>
        <v>#VALUE!</v>
      </c>
      <c r="AZ36" s="0" t="e">
        <f aca="false">Lists!14:14-";7#!$3H"</f>
        <v>#VALUE!</v>
      </c>
      <c r="BA36" s="0" t="e">
        <f aca="false">Lists!15:15-";7#!$3I"</f>
        <v>#VALUE!</v>
      </c>
      <c r="BB36" s="0" t="e">
        <f aca="false">Lists!16:16-";7#!$3J"</f>
        <v>#VALUE!</v>
      </c>
      <c r="BC36" s="0" t="e">
        <f aca="false">Lists!17:17-";7#!$3K"</f>
        <v>#VALUE!</v>
      </c>
      <c r="BD36" s="0" t="e">
        <f aca="false">Lists!18:18-";7#!$3L"</f>
        <v>#VALUE!</v>
      </c>
      <c r="BE36" s="0" t="e">
        <f aca="false">Lists!19:19-";7#!$3M"</f>
        <v>#VALUE!</v>
      </c>
      <c r="BF36" s="0" t="e">
        <f aca="false">Lists!20:20-";7#!$3N"</f>
        <v>#VALUE!</v>
      </c>
      <c r="BG36" s="0" t="e">
        <f aca="false">Lists!21:21-";7#!$3O"</f>
        <v>#VALUE!</v>
      </c>
      <c r="BH36" s="0" t="e">
        <f aca="false">Lists!22:22-";7#!$3P"</f>
        <v>#VALUE!</v>
      </c>
      <c r="BI36" s="0" t="e">
        <f aca="false">Lists!23:23-";7#!$3Q"</f>
        <v>#VALUE!</v>
      </c>
      <c r="BJ36" s="0" t="e">
        <f aca="false">Lists!24:24-";7#!$3R"</f>
        <v>#VALUE!</v>
      </c>
      <c r="BK36" s="0" t="e">
        <f aca="false">Lists!25:25-";7#!$3S"</f>
        <v>#VALUE!</v>
      </c>
      <c r="BL36" s="0" t="e">
        <f aca="false">Lists!26:26-";7#!$3T"</f>
        <v>#VALUE!</v>
      </c>
      <c r="BM36" s="0" t="e">
        <f aca="false">Lists!27:27-";7#!$3U"</f>
        <v>#VALUE!</v>
      </c>
      <c r="BN36" s="0" t="e">
        <f aca="false">Lists!28:28-";7#!$3V"</f>
        <v>#VALUE!</v>
      </c>
      <c r="BO36" s="0" t="e">
        <f aca="false">Lists!29:29-";7#!$3W"</f>
        <v>#VALUE!</v>
      </c>
      <c r="BP36" s="0" t="e">
        <f aca="false">Lists!30:30-";7#!$3X"</f>
        <v>#VALUE!</v>
      </c>
      <c r="BQ36" s="0" t="e">
        <f aca="false">Lists!31:31-";7#!$3Y"</f>
        <v>#VALUE!</v>
      </c>
      <c r="BR36" s="0" t="e">
        <f aca="false">Lists!32:32-";7#!$3Z"</f>
        <v>#VALUE!</v>
      </c>
      <c r="BS36" s="0" t="e">
        <f aca="false">Lists!33:33-";7#!$3["</f>
        <v>#VALUE!</v>
      </c>
      <c r="BT36" s="0" t="e">
        <f aca="false">Lists!34:34-";7#!$3\"</f>
        <v>#VALUE!</v>
      </c>
      <c r="BU36" s="0" t="e">
        <f aca="false">Lists!35:35-";7#!$3]"</f>
        <v>#VALUE!</v>
      </c>
      <c r="BV36" s="0" t="e">
        <f aca="false">Lists!36:36-";7#!$3^"</f>
        <v>#VALUE!</v>
      </c>
      <c r="BW36" s="0" t="e">
        <f aca="false">Lists!37:37-";7#!$3_"</f>
        <v>#VALUE!</v>
      </c>
      <c r="BX36" s="0" t="e">
        <f aca="false">Lists!38:38-";7#!$3`"</f>
        <v>#VALUE!</v>
      </c>
      <c r="BY36" s="0" t="e">
        <f aca="false">Lists!39:39-";7#!$3a"</f>
        <v>#VALUE!</v>
      </c>
      <c r="BZ36" s="0" t="e">
        <f aca="false">Lists!40:40-";7#!$3b"</f>
        <v>#VALUE!</v>
      </c>
      <c r="CA36" s="0" t="e">
        <f aca="false">Lists!41:41-";7#!$3c"</f>
        <v>#VALUE!</v>
      </c>
      <c r="CB36" s="0" t="e">
        <f aca="false">Lists!42:42-";7#!$3d"</f>
        <v>#VALUE!</v>
      </c>
      <c r="CC36" s="0" t="e">
        <f aca="false">Lists!43:43-";7#!$3e"</f>
        <v>#VALUE!</v>
      </c>
      <c r="CD36" s="0" t="e">
        <f aca="false">Lists!44:44-";7#!$3f"</f>
        <v>#VALUE!</v>
      </c>
      <c r="CE36" s="0" t="e">
        <f aca="false">Lists!45:45-";7#!$3g"</f>
        <v>#VALUE!</v>
      </c>
      <c r="CF36" s="0" t="e">
        <f aca="false">Lists!46:46-";7#!$3h"</f>
        <v>#VALUE!</v>
      </c>
      <c r="CG36" s="0" t="e">
        <f aca="false">Lists!47:47-";7#!$3i"</f>
        <v>#VALUE!</v>
      </c>
      <c r="CH36" s="0" t="e">
        <f aca="false">Lists!48:48-";7#!$3j"</f>
        <v>#VALUE!</v>
      </c>
      <c r="CI36" s="0" t="e">
        <f aca="false">Lists!49:49-";7#!$3k"</f>
        <v>#VALUE!</v>
      </c>
      <c r="CJ36" s="0" t="e">
        <f aca="false">Lists!50:50-";7#!$3l"</f>
        <v>#VALUE!</v>
      </c>
      <c r="CK36" s="0" t="e">
        <f aca="false">Lists!51:51-";7#!$3m"</f>
        <v>#VALUE!</v>
      </c>
      <c r="CL36" s="0" t="e">
        <f aca="false">Lists!52:52-";7#!$3n"</f>
        <v>#VALUE!</v>
      </c>
      <c r="CM36" s="0" t="e">
        <f aca="false">Lists!53:53-";7#!$3o"</f>
        <v>#VALUE!</v>
      </c>
      <c r="CN36" s="0" t="e">
        <f aca="false">Lists!54:54-";7#!$3p"</f>
        <v>#VALUE!</v>
      </c>
      <c r="CO36" s="0" t="e">
        <f aca="false">Lists!55:55-";7#!$3q"</f>
        <v>#VALUE!</v>
      </c>
      <c r="CP36" s="0" t="e">
        <f aca="false">Lists!56:56-";7#!$3r"</f>
        <v>#VALUE!</v>
      </c>
      <c r="CQ36" s="0" t="e">
        <f aca="false">Lists!57:57-";7#!$3s"</f>
        <v>#VALUE!</v>
      </c>
      <c r="CR36" s="0" t="e">
        <f aca="false">Lists!58:58-";7#!$3t"</f>
        <v>#VALUE!</v>
      </c>
      <c r="CS36" s="0" t="e">
        <f aca="false">Lists!59:59-";7#!$3u"</f>
        <v>#VALUE!</v>
      </c>
      <c r="CT36" s="0" t="e">
        <f aca="false">Lists!60:60-";7#!$3v"</f>
        <v>#VALUE!</v>
      </c>
      <c r="CU36" s="0" t="e">
        <f aca="false">Lists!61:61-";7#!$3w"</f>
        <v>#VALUE!</v>
      </c>
      <c r="CV36" s="0" t="e">
        <f aca="false">Lists!62:62-";7#!$3x"</f>
        <v>#VALUE!</v>
      </c>
      <c r="CW36" s="0" t="e">
        <f aca="false">Lists!63:63-";7#!$3y"</f>
        <v>#VALUE!</v>
      </c>
      <c r="CX36" s="0" t="e">
        <f aca="false">Lists!64:64-";7#!$3z"</f>
        <v>#VALUE!</v>
      </c>
      <c r="CY36" s="0" t="e">
        <f aca="false">Lists!65:65-";7#!$3{"</f>
        <v>#VALUE!</v>
      </c>
      <c r="CZ36" s="0" t="e">
        <f aca="false">Lists!66:66-";7#!$3|"</f>
        <v>#VALUE!</v>
      </c>
      <c r="DA36" s="0" t="e">
        <f aca="false">Lists!67:67-";7#!$3}"</f>
        <v>#VALUE!</v>
      </c>
      <c r="DB36" s="0" t="e">
        <f aca="false">Lists!68:68-";7#!$3~"</f>
        <v>#VALUE!</v>
      </c>
      <c r="DC36" s="0" t="e">
        <f aca="false">Lists!69:69-";7#!$4#"</f>
        <v>#VALUE!</v>
      </c>
      <c r="DD36" s="0" t="e">
        <f aca="false">Lists!70:70-";7#!$4$"</f>
        <v>#VALUE!</v>
      </c>
      <c r="DE36" s="0" t="e">
        <f aca="false">Lists!71:71-";7#!$4%"</f>
        <v>#VALUE!</v>
      </c>
      <c r="DF36" s="0" t="e">
        <f aca="false">Lists!72:72-";7#!$4&amp;"</f>
        <v>#VALUE!</v>
      </c>
      <c r="DG36" s="0" t="e">
        <f aca="false">Lists!73:73-";7#!$4'"</f>
        <v>#VALUE!</v>
      </c>
      <c r="DH36" s="0" t="e">
        <f aca="false">Lists!74:74-";7#!$4("</f>
        <v>#VALUE!</v>
      </c>
      <c r="DI36" s="0" t="e">
        <f aca="false">Lists!75:75-";7#!$4)"</f>
        <v>#VALUE!</v>
      </c>
      <c r="DJ36" s="0" t="e">
        <f aca="false">Lists!76:76-";7#!$4."</f>
        <v>#VALUE!</v>
      </c>
      <c r="DK36" s="0" t="e">
        <f aca="false">Lists!77:77-";7#!$4/"</f>
        <v>#VALUE!</v>
      </c>
      <c r="DL36" s="0" t="e">
        <f aca="false">Lists!78:78-";7#!$40"</f>
        <v>#VALUE!</v>
      </c>
      <c r="DM36" s="0" t="e">
        <f aca="false">Lists!79:79-";7#!$41"</f>
        <v>#VALUE!</v>
      </c>
      <c r="DN36" s="0" t="e">
        <f aca="false">Lists!80:80-";7#!$42"</f>
        <v>#VALUE!</v>
      </c>
      <c r="DO36" s="0" t="e">
        <f aca="false">Lists!81:81-";7#!$43"</f>
        <v>#VALUE!</v>
      </c>
      <c r="DP36" s="0" t="e">
        <f aca="false">Lists!82:82-";7#!$44"</f>
        <v>#VALUE!</v>
      </c>
      <c r="DQ36" s="0" t="e">
        <f aca="false">Lists!83:83-";7#!$45"</f>
        <v>#VALUE!</v>
      </c>
      <c r="DR36" s="0" t="e">
        <f aca="false">Lists!84:84-";7#!$46"</f>
        <v>#VALUE!</v>
      </c>
      <c r="DS36" s="0" t="e">
        <f aca="false">Lists!85:85-";7#!$47"</f>
        <v>#VALUE!</v>
      </c>
      <c r="DT36" s="0" t="e">
        <f aca="false">Lists!86:86-";7#!$48"</f>
        <v>#VALUE!</v>
      </c>
      <c r="DU36" s="0" t="e">
        <f aca="false">Lists!87:87-";7#!$49"</f>
        <v>#VALUE!</v>
      </c>
      <c r="DV36" s="0" t="e">
        <f aca="false">Lists!88:88-";7#!$4:"</f>
        <v>#VALUE!</v>
      </c>
      <c r="DW36" s="0" t="e">
        <f aca="false">Lists!89:89-";7#!$4;"</f>
        <v>#VALUE!</v>
      </c>
      <c r="DX36" s="0" t="e">
        <f aca="false">Lists!90:90-";7#!$4&lt;"</f>
        <v>#VALUE!</v>
      </c>
      <c r="DY36" s="0" t="e">
        <f aca="false">Lists!91:91-";7#!$4="</f>
        <v>#VALUE!</v>
      </c>
      <c r="DZ36" s="0" t="e">
        <f aca="false">Lists!92:92-";7#!$4&gt;"</f>
        <v>#VALUE!</v>
      </c>
      <c r="EA36" s="0" t="e">
        <f aca="false">Lists!93:93-";7#!$4?"</f>
        <v>#VALUE!</v>
      </c>
      <c r="EB36" s="0" t="e">
        <f aca="false">Lists!94:94-";7#!$4@"</f>
        <v>#VALUE!</v>
      </c>
      <c r="EC36" s="0" t="e">
        <f aca="false">Lists!95:95-";7#!$4A"</f>
        <v>#VALUE!</v>
      </c>
      <c r="ED36" s="0" t="e">
        <f aca="false">Lists!96:96-";7#!$4B"</f>
        <v>#VALUE!</v>
      </c>
      <c r="EE36" s="0" t="e">
        <f aca="false">Lists!97:97-";7#!$4C"</f>
        <v>#VALUE!</v>
      </c>
      <c r="EF36" s="0" t="e">
        <f aca="false">Lists!98:98-";7#!$4D"</f>
        <v>#VALUE!</v>
      </c>
      <c r="EG36" s="0" t="e">
        <f aca="false">Lists!99:99-";7#!$4E"</f>
        <v>#VALUE!</v>
      </c>
      <c r="EH36" s="0" t="e">
        <f aca="false">Lists!100:100-";7#!$4F"</f>
        <v>#VALUE!</v>
      </c>
      <c r="EI36" s="0" t="e">
        <f aca="false">Lists!101:101-";7#!$4G"</f>
        <v>#VALUE!</v>
      </c>
      <c r="EJ36" s="0" t="e">
        <f aca="false">Lists!102:102-";7#!$4H"</f>
        <v>#VALUE!</v>
      </c>
      <c r="EK36" s="0" t="e">
        <f aca="false">Lists!103:103-";7#!$4I"</f>
        <v>#VALUE!</v>
      </c>
      <c r="EL36" s="0" t="e">
        <f aca="false">Lists!104:104-";7#!$4J"</f>
        <v>#VALUE!</v>
      </c>
      <c r="EM36" s="0" t="e">
        <f aca="false">Lists!105:105-";7#!$4K"</f>
        <v>#VALUE!</v>
      </c>
      <c r="EN36" s="0" t="e">
        <f aca="false">Lists!106:106-";7#!$4L"</f>
        <v>#VALUE!</v>
      </c>
      <c r="EO36" s="0" t="e">
        <f aca="false">Lists!107:107-";7#!$4M"</f>
        <v>#VALUE!</v>
      </c>
      <c r="EP36" s="0" t="e">
        <f aca="false">Lists!108:108-";7#!$4N"</f>
        <v>#VALUE!</v>
      </c>
      <c r="EQ36" s="0" t="e">
        <f aca="false">Lists!109:109-";7#!$4O"</f>
        <v>#VALUE!</v>
      </c>
      <c r="ER36" s="0" t="e">
        <f aca="false">Lists!110:110-";7#!$4P"</f>
        <v>#VALUE!</v>
      </c>
      <c r="ES36" s="0" t="e">
        <f aca="false">Lists!111:111-";7#!$4Q"</f>
        <v>#VALUE!</v>
      </c>
      <c r="ET36" s="0" t="e">
        <f aca="false">Lists!112:112-";7#!$4R"</f>
        <v>#VALUE!</v>
      </c>
      <c r="EU36" s="0" t="e">
        <f aca="false">Lists!113:113-";7#!$4S"</f>
        <v>#VALUE!</v>
      </c>
      <c r="EV36" s="0" t="e">
        <f aca="false">Lists!114:114-";7#!$4T"</f>
        <v>#VALUE!</v>
      </c>
      <c r="EW36" s="0" t="e">
        <f aca="false">Lists!115:115-";7#!$4U"</f>
        <v>#VALUE!</v>
      </c>
      <c r="EX36" s="0" t="e">
        <f aca="false">Lists!116:116-";7#!$4V"</f>
        <v>#VALUE!</v>
      </c>
      <c r="EY36" s="0" t="e">
        <f aca="false">Lists!117:117-";7#!$4W"</f>
        <v>#VALUE!</v>
      </c>
      <c r="EZ36" s="0" t="e">
        <f aca="false">Lists!118:118-";7#!$4X"</f>
        <v>#VALUE!</v>
      </c>
      <c r="FA36" s="0" t="e">
        <f aca="false">Lists!119:119-";7#!$4Y"</f>
        <v>#VALUE!</v>
      </c>
      <c r="FB36" s="0" t="e">
        <f aca="false">Lists!120:120-";7#!$4Z"</f>
        <v>#VALUE!</v>
      </c>
      <c r="FC36" s="0" t="e">
        <f aca="false">Lists!121:121-";7#!$4["</f>
        <v>#VALUE!</v>
      </c>
      <c r="FD36" s="0" t="e">
        <f aca="false">Lists!122:122-";7#!$4\"</f>
        <v>#VALUE!</v>
      </c>
      <c r="FE36" s="0" t="e">
        <f aca="false">Lists!123:123-";7#!$4]"</f>
        <v>#VALUE!</v>
      </c>
      <c r="FF36" s="0" t="e">
        <f aca="false">Lists!124:124-";7#!$4^"</f>
        <v>#VALUE!</v>
      </c>
      <c r="FG36" s="0" t="e">
        <f aca="false">Lists!125:125-";7#!$4_"</f>
        <v>#VALUE!</v>
      </c>
      <c r="FH36" s="0" t="e">
        <f aca="false">Lists!126:126-";7#!$4`"</f>
        <v>#VALUE!</v>
      </c>
      <c r="FI36" s="0" t="e">
        <f aca="false">Lists!127:127-";7#!$4a"</f>
        <v>#VALUE!</v>
      </c>
      <c r="FJ36" s="0" t="e">
        <f aca="false">Lists!128:128-";7#!$4b"</f>
        <v>#VALUE!</v>
      </c>
      <c r="FK36" s="0" t="e">
        <f aca="false">Lists!129:129-";7#!$4c"</f>
        <v>#VALUE!</v>
      </c>
      <c r="FL36" s="0" t="e">
        <f aca="false">Lists!130:130-";7#!$4d"</f>
        <v>#VALUE!</v>
      </c>
      <c r="FM36" s="0" t="e">
        <f aca="false">Lists!131:131-";7#!$4e"</f>
        <v>#VALUE!</v>
      </c>
      <c r="FN36" s="0" t="e">
        <f aca="false">Lists!132:132-";7#!$4f"</f>
        <v>#VALUE!</v>
      </c>
      <c r="FO36" s="0" t="e">
        <f aca="false">Lists!133:133-";7#!$4g"</f>
        <v>#VALUE!</v>
      </c>
      <c r="FP36" s="0" t="e">
        <f aca="false">Lists!134:134-";7#!$4h"</f>
        <v>#VALUE!</v>
      </c>
      <c r="FQ36" s="0" t="e">
        <f aca="false">Lists!135:135-";7#!$4i"</f>
        <v>#VALUE!</v>
      </c>
      <c r="FR36" s="0" t="e">
        <f aca="false">Lists!136:136-";7#!$4j"</f>
        <v>#VALUE!</v>
      </c>
      <c r="FS36" s="0" t="e">
        <f aca="false">Lists!137:137-";7#!$4k"</f>
        <v>#VALUE!</v>
      </c>
      <c r="FT36" s="0" t="e">
        <f aca="false">Lists!138:138-";7#!$4l"</f>
        <v>#VALUE!</v>
      </c>
      <c r="FU36" s="0" t="e">
        <f aca="false">Lists!139:139-";7#!$4m"</f>
        <v>#VALUE!</v>
      </c>
      <c r="FV36" s="0" t="e">
        <f aca="false">Lists!140:140-";7#!$4n"</f>
        <v>#VALUE!</v>
      </c>
      <c r="FW36" s="0" t="e">
        <f aca="false">Lists!141:141-";7#!$4o"</f>
        <v>#VALUE!</v>
      </c>
      <c r="FX36" s="0" t="e">
        <f aca="false">Lists!142:142-";7#!$4p"</f>
        <v>#VALUE!</v>
      </c>
      <c r="FY36" s="0" t="e">
        <f aca="false">Lists!143:143-";7#!$4q"</f>
        <v>#VALUE!</v>
      </c>
      <c r="FZ36" s="0" t="e">
        <f aca="false">Lists!144:144-";7#!$4r"</f>
        <v>#VALUE!</v>
      </c>
      <c r="GA36" s="0" t="e">
        <f aca="false">Lists!145:145-";7#!$4s"</f>
        <v>#VALUE!</v>
      </c>
      <c r="GB36" s="0" t="e">
        <f aca="false">Lists!146:146-";7#!$4t"</f>
        <v>#VALUE!</v>
      </c>
      <c r="GC36" s="0" t="e">
        <f aca="false">Lists!147:147-";7#!$4u"</f>
        <v>#VALUE!</v>
      </c>
      <c r="GD36" s="0" t="e">
        <f aca="false">Lists!148:148-";7#!$4v"</f>
        <v>#VALUE!</v>
      </c>
      <c r="GE36" s="0" t="e">
        <f aca="false">Lists!149:149-";7#!$4w"</f>
        <v>#VALUE!</v>
      </c>
      <c r="GF36" s="0" t="e">
        <f aca="false">Lists!150:150-";7#!$4x"</f>
        <v>#VALUE!</v>
      </c>
      <c r="GG36" s="0" t="e">
        <f aca="false">Lists!151:151-";7#!$4y"</f>
        <v>#VALUE!</v>
      </c>
      <c r="GH36" s="0" t="e">
        <f aca="false">Lists!152:152-";7#!$4z"</f>
        <v>#VALUE!</v>
      </c>
      <c r="GI36" s="0" t="e">
        <f aca="false">Lists!153:153-";7#!$4{"</f>
        <v>#VALUE!</v>
      </c>
      <c r="GJ36" s="0" t="e">
        <f aca="false">Lists!154:154-";7#!$4|"</f>
        <v>#VALUE!</v>
      </c>
      <c r="GK36" s="0" t="e">
        <f aca="false">Lists!155:155-";7#!$4}"</f>
        <v>#VALUE!</v>
      </c>
      <c r="GL36" s="0" t="e">
        <f aca="false">Lists!156:156-";7#!$4~"</f>
        <v>#VALUE!</v>
      </c>
      <c r="GM36" s="0" t="e">
        <f aca="false">Lists!157:157-";7#!$5#"</f>
        <v>#VALUE!</v>
      </c>
      <c r="GN36" s="0" t="e">
        <f aca="false">Lists!158:158-";7#!$5$"</f>
        <v>#VALUE!</v>
      </c>
      <c r="GO36" s="0" t="e">
        <f aca="false">Lists!159:159-";7#!$5%"</f>
        <v>#VALUE!</v>
      </c>
      <c r="GP36" s="0" t="e">
        <f aca="false">Lists!160:160-";7#!$5&amp;"</f>
        <v>#VALUE!</v>
      </c>
      <c r="GQ36" s="0" t="e">
        <f aca="false">Lists!161:161-";7#!$5'"</f>
        <v>#VALUE!</v>
      </c>
      <c r="GR36" s="0" t="e">
        <f aca="false">Lists!162:162-";7#!$5("</f>
        <v>#VALUE!</v>
      </c>
      <c r="GS36" s="0" t="e">
        <f aca="false">Lists!163:163-";7#!$5)"</f>
        <v>#VALUE!</v>
      </c>
      <c r="GT36" s="0" t="e">
        <f aca="false">Lists!164:164-";7#!$5."</f>
        <v>#VALUE!</v>
      </c>
      <c r="GU36" s="0" t="e">
        <f aca="false">Lists!165:165-";7#!$5/"</f>
        <v>#VALUE!</v>
      </c>
      <c r="GV36" s="0" t="e">
        <f aca="false">Lists!166:166-";7#!$50"</f>
        <v>#VALUE!</v>
      </c>
      <c r="GW36" s="0" t="e">
        <f aca="false">Lists!167:167-";7#!$51"</f>
        <v>#VALUE!</v>
      </c>
      <c r="GX36" s="0" t="e">
        <f aca="false">Lists!168:168-";7#!$52"</f>
        <v>#VALUE!</v>
      </c>
      <c r="GY36" s="0" t="e">
        <f aca="false">Lists!169:169-";7#!$53"</f>
        <v>#VALUE!</v>
      </c>
      <c r="GZ36" s="0" t="e">
        <f aca="false">Lists!170:170-";7#!$54"</f>
        <v>#VALUE!</v>
      </c>
      <c r="HA36" s="0" t="e">
        <f aca="false">Lists!171:171-";7#!$55"</f>
        <v>#VALUE!</v>
      </c>
      <c r="HB36" s="0" t="e">
        <f aca="false">Lists!172:172-";7#!$56"</f>
        <v>#VALUE!</v>
      </c>
      <c r="HC36" s="0" t="e">
        <f aca="false">Lists!173:173-";7#!$57"</f>
        <v>#VALUE!</v>
      </c>
      <c r="HD36" s="0" t="e">
        <f aca="false">Lists!174:174-";7#!$58"</f>
        <v>#VALUE!</v>
      </c>
      <c r="HE36" s="0" t="e">
        <f aca="false">Lists!175:175-";7#!$59"</f>
        <v>#VALUE!</v>
      </c>
      <c r="HF36" s="0" t="e">
        <f aca="false">Lists!176:176-";7#!$5:"</f>
        <v>#VALUE!</v>
      </c>
      <c r="HG36" s="0" t="e">
        <f aca="false">Lists!177:177-";7#!$5;"</f>
        <v>#VALUE!</v>
      </c>
      <c r="HH36" s="0" t="e">
        <f aca="false">Lists!178:178-";7#!$5&lt;"</f>
        <v>#VALUE!</v>
      </c>
      <c r="HI36" s="0" t="e">
        <f aca="false">Lists!179:179-";7#!$5="</f>
        <v>#VALUE!</v>
      </c>
      <c r="HJ36" s="0" t="e">
        <f aca="false">Lists!180:180-";7#!$5&gt;"</f>
        <v>#VALUE!</v>
      </c>
      <c r="HK36" s="0" t="e">
        <f aca="false">Lists!181:181-";7#!$5?"</f>
        <v>#VALUE!</v>
      </c>
      <c r="HL36" s="0" t="e">
        <f aca="false">Lists!182:182-";7#!$5@"</f>
        <v>#VALUE!</v>
      </c>
      <c r="HM36" s="0" t="e">
        <f aca="false">Lists!183:183-";7#!$5A"</f>
        <v>#VALUE!</v>
      </c>
      <c r="HN36" s="0" t="e">
        <f aca="false">Lists!184:184-";7#!$5B"</f>
        <v>#VALUE!</v>
      </c>
      <c r="HO36" s="0" t="e">
        <f aca="false">Lists!185:185-";7#!$5C"</f>
        <v>#VALUE!</v>
      </c>
      <c r="HP36" s="0" t="e">
        <f aca="false">Lists!186:186-";7#!$5D"</f>
        <v>#VALUE!</v>
      </c>
      <c r="HQ36" s="0" t="e">
        <f aca="false">Lists!187:187-";7#!$5E"</f>
        <v>#VALUE!</v>
      </c>
      <c r="HR36" s="0" t="e">
        <f aca="false">Lists!188:188-";7#!$5F"</f>
        <v>#VALUE!</v>
      </c>
      <c r="HS36" s="0" t="e">
        <f aca="false">Lists!189:189-";7#!$5G"</f>
        <v>#VALUE!</v>
      </c>
      <c r="HT36" s="0" t="e">
        <f aca="false">Lists!190:190-";7#!$5H"</f>
        <v>#VALUE!</v>
      </c>
      <c r="HU36" s="0" t="e">
        <f aca="false">Lists!191:191-";7#!$5I"</f>
        <v>#VALUE!</v>
      </c>
      <c r="HV36" s="0" t="e">
        <f aca="false">Lists!192:192-";7#!$5J"</f>
        <v>#VALUE!</v>
      </c>
      <c r="HW36" s="0" t="e">
        <f aca="false">Lists!193:193-";7#!$5K"</f>
        <v>#VALUE!</v>
      </c>
      <c r="HX36" s="0" t="e">
        <f aca="false">Lists!194:194-";7#!$5L"</f>
        <v>#VALUE!</v>
      </c>
      <c r="HY36" s="0" t="e">
        <f aca="false">Lists!195:195-";7#!$5M"</f>
        <v>#VALUE!</v>
      </c>
      <c r="HZ36" s="0" t="e">
        <f aca="false">Lists!196:196-";7#!$5N"</f>
        <v>#VALUE!</v>
      </c>
      <c r="IA36" s="0" t="e">
        <f aca="false">Lists!197:197-";7#!$5O"</f>
        <v>#VALUE!</v>
      </c>
      <c r="IB36" s="0" t="e">
        <f aca="false">Lists!198:198-";7#!$5P"</f>
        <v>#VALUE!</v>
      </c>
      <c r="IC36" s="0" t="e">
        <f aca="false">Lists!199:199-";7#!$5Q"</f>
        <v>#VALUE!</v>
      </c>
      <c r="ID36" s="0" t="e">
        <f aca="false">Lists!200:200-";7#!$5R"</f>
        <v>#VALUE!</v>
      </c>
      <c r="IE36" s="0" t="e">
        <f aca="false">Lists!201:201-";7#!$5S"</f>
        <v>#VALUE!</v>
      </c>
      <c r="IF36" s="0" t="e">
        <f aca="false">Lists!202:202-";7#!$5T"</f>
        <v>#VALUE!</v>
      </c>
      <c r="IG36" s="0" t="e">
        <f aca="false">Lists!203:203-";7#!$5U"</f>
        <v>#VALUE!</v>
      </c>
      <c r="IH36" s="0" t="e">
        <f aca="false">Lists!204:204-";7#!$5V"</f>
        <v>#VALUE!</v>
      </c>
      <c r="II36" s="0" t="e">
        <f aca="false">Lists!205:205-";7#!$5W"</f>
        <v>#VALUE!</v>
      </c>
      <c r="IJ36" s="0" t="e">
        <f aca="false">Lists!206:206-";7#!$5X"</f>
        <v>#VALUE!</v>
      </c>
      <c r="IK36" s="0" t="e">
        <f aca="false">Lists!207:207-";7#!$5Y"</f>
        <v>#VALUE!</v>
      </c>
      <c r="IL36" s="0" t="e">
        <f aca="false">Lists!208:208-";7#!$5Z"</f>
        <v>#VALUE!</v>
      </c>
      <c r="IM36" s="0" t="e">
        <f aca="false">Lists!209:209-";7#!$5["</f>
        <v>#VALUE!</v>
      </c>
      <c r="IN36" s="0" t="e">
        <f aca="false">Lists!210:210-";7#!$5\"</f>
        <v>#VALUE!</v>
      </c>
      <c r="IO36" s="0" t="e">
        <f aca="false">Lists!211:211-";7#!$5]"</f>
        <v>#VALUE!</v>
      </c>
      <c r="IP36" s="0" t="e">
        <f aca="false">Lists!212:212-";7#!$5^"</f>
        <v>#VALUE!</v>
      </c>
      <c r="IQ36" s="0" t="e">
        <f aca="false">Lists!213:213-";7#!$5_"</f>
        <v>#VALUE!</v>
      </c>
      <c r="IR36" s="0" t="e">
        <f aca="false">Lists!214:214-";7#!$5`"</f>
        <v>#VALUE!</v>
      </c>
      <c r="IS36" s="0" t="e">
        <f aca="false">Lists!215:215-";7#!$5a"</f>
        <v>#VALUE!</v>
      </c>
      <c r="IT36" s="0" t="e">
        <f aca="false">Lists!216:216-";7#!$5b"</f>
        <v>#VALUE!</v>
      </c>
      <c r="IU36" s="0" t="e">
        <f aca="false">Lists!217:217-";7#!$5c"</f>
        <v>#VALUE!</v>
      </c>
      <c r="IV36" s="0" t="e">
        <f aca="false">Lists!218:218-";7#!$5d"</f>
        <v>#VALUE!</v>
      </c>
    </row>
    <row r="37" customFormat="false" ht="15" hidden="false" customHeight="false" outlineLevel="0" collapsed="false">
      <c r="F37" s="0" t="e">
        <f aca="false">Lists!219:219-";7#!$5e"</f>
        <v>#VALUE!</v>
      </c>
      <c r="G37" s="0" t="e">
        <f aca="false">Lists!220:220-";7#!$5f"</f>
        <v>#VALUE!</v>
      </c>
      <c r="H37" s="0" t="e">
        <f aca="false">Lists!221:221-";7#!$5g"</f>
        <v>#VALUE!</v>
      </c>
      <c r="I37" s="0" t="e">
        <f aca="false">Lists!222:222-";7#!$5h"</f>
        <v>#VALUE!</v>
      </c>
      <c r="J37" s="0" t="e">
        <f aca="false">Lists!223:223-";7#!$5i"</f>
        <v>#VALUE!</v>
      </c>
      <c r="K37" s="0" t="e">
        <f aca="false">Lists!224:224-";7#!$5j"</f>
        <v>#VALUE!</v>
      </c>
      <c r="L37" s="0" t="e">
        <f aca="false">Lists!225:225-";7#!$5k"</f>
        <v>#VALUE!</v>
      </c>
      <c r="M37" s="0" t="e">
        <f aca="false">Lists!226:226-";7#!$5l"</f>
        <v>#VALUE!</v>
      </c>
      <c r="N37" s="0" t="e">
        <f aca="false">Lists!227:227-";7#!$5m"</f>
        <v>#VALUE!</v>
      </c>
      <c r="O37" s="0" t="e">
        <f aca="false">Lists!228:228-";7#!$5n"</f>
        <v>#VALUE!</v>
      </c>
      <c r="P37" s="0" t="e">
        <f aca="false">Lists!229:229-";7#!$5o"</f>
        <v>#VALUE!</v>
      </c>
      <c r="Q37" s="0" t="e">
        <f aca="false">Lists!230:230-";7#!$5p"</f>
        <v>#VALUE!</v>
      </c>
      <c r="R37" s="0" t="e">
        <f aca="false">Lists!231:231-";7#!$5q"</f>
        <v>#VALUE!</v>
      </c>
      <c r="S37" s="0" t="e">
        <f aca="false">Lists!232:232-";7#!$5r"</f>
        <v>#VALUE!</v>
      </c>
      <c r="T37" s="0" t="e">
        <f aca="false">Lists!233:233-";7#!$5s"</f>
        <v>#VALUE!</v>
      </c>
      <c r="U37" s="0" t="e">
        <f aca="false">Lists!234:234-";7#!$5t"</f>
        <v>#VALUE!</v>
      </c>
      <c r="V37" s="0" t="e">
        <f aca="false">Lists!A1+";7#!$5u"</f>
        <v>#VALUE!</v>
      </c>
      <c r="W37" s="0" t="e">
        <f aca="false">Lists!B1+";7#!$5v"</f>
        <v>#VALUE!</v>
      </c>
      <c r="X37" s="0" t="e">
        <f aca="false">Lists!A2+";7#!$5w"</f>
        <v>#VALUE!</v>
      </c>
      <c r="Y37" s="0" t="e">
        <f aca="false">Lists!B2+";7#!$5x"</f>
        <v>#VALUE!</v>
      </c>
      <c r="Z37" s="0" t="e">
        <f aca="false">Lists!A3+";7#!$5y"</f>
        <v>#VALUE!</v>
      </c>
      <c r="AA37" s="0" t="e">
        <f aca="false">Lists!B3+";7#!$5z"</f>
        <v>#VALUE!</v>
      </c>
      <c r="AB37" s="0" t="e">
        <f aca="false">Lists!A4+";7#!$5{"</f>
        <v>#VALUE!</v>
      </c>
      <c r="AC37" s="0" t="e">
        <f aca="false">Lists!B4+";7#!$5|"</f>
        <v>#VALUE!</v>
      </c>
      <c r="AD37" s="0" t="e">
        <f aca="false">Lists!A5+";7#!$5}"</f>
        <v>#VALUE!</v>
      </c>
      <c r="AE37" s="0" t="e">
        <f aca="false">Lists!B5+";7#!$5~"</f>
        <v>#VALUE!</v>
      </c>
      <c r="AF37" s="0" t="e">
        <f aca="false">Lists!A6+";7#!$6#"</f>
        <v>#VALUE!</v>
      </c>
      <c r="AG37" s="0" t="e">
        <f aca="false">Lists!B6+";7#!$6$"</f>
        <v>#VALUE!</v>
      </c>
      <c r="AH37" s="0" t="e">
        <f aca="false">Lists!A7+";7#!$6%"</f>
        <v>#VALUE!</v>
      </c>
      <c r="AI37" s="0" t="e">
        <f aca="false">Lists!B7+";7#!$6&amp;"</f>
        <v>#VALUE!</v>
      </c>
      <c r="AJ37" s="0" t="e">
        <f aca="false">Lists!A8+";7#!$6'"</f>
        <v>#VALUE!</v>
      </c>
      <c r="AK37" s="0" t="e">
        <f aca="false">Lists!B8+";7#!$6("</f>
        <v>#VALUE!</v>
      </c>
      <c r="AL37" s="0" t="e">
        <f aca="false">Lists!A9+";7#!$6)"</f>
        <v>#VALUE!</v>
      </c>
      <c r="AM37" s="0" t="e">
        <f aca="false">Lists!B9+";7#!$6."</f>
        <v>#VALUE!</v>
      </c>
      <c r="AN37" s="0" t="e">
        <f aca="false">Lists!A10+";7#!$6/"</f>
        <v>#VALUE!</v>
      </c>
      <c r="AO37" s="0" t="e">
        <f aca="false">Lists!B10+";7#!$60"</f>
        <v>#VALUE!</v>
      </c>
      <c r="AP37" s="0" t="e">
        <f aca="false">Lists!A11+";7#!$61"</f>
        <v>#VALUE!</v>
      </c>
      <c r="AQ37" s="0" t="e">
        <f aca="false">Lists!B11+";7#!$62"</f>
        <v>#VALUE!</v>
      </c>
      <c r="AR37" s="0" t="e">
        <f aca="false">Lists!A12+";7#!$63"</f>
        <v>#VALUE!</v>
      </c>
      <c r="AS37" s="0" t="e">
        <f aca="false">Lists!B12+";7#!$64"</f>
        <v>#VALUE!</v>
      </c>
      <c r="AT37" s="0" t="e">
        <f aca="false">Lists!A13+";7#!$65"</f>
        <v>#VALUE!</v>
      </c>
      <c r="AU37" s="0" t="e">
        <f aca="false">Lists!B13+";7#!$66"</f>
        <v>#VALUE!</v>
      </c>
      <c r="AV37" s="0" t="e">
        <f aca="false">Lists!A14+";7#!$67"</f>
        <v>#VALUE!</v>
      </c>
      <c r="AW37" s="0" t="e">
        <f aca="false">Lists!B14+";7#!$68"</f>
        <v>#VALUE!</v>
      </c>
      <c r="AX37" s="0" t="e">
        <f aca="false">Lists!A15+";7#!$69"</f>
        <v>#VALUE!</v>
      </c>
      <c r="AY37" s="0" t="e">
        <f aca="false">Lists!B15+";7#!$6:"</f>
        <v>#VALUE!</v>
      </c>
      <c r="AZ37" s="0" t="e">
        <f aca="false">Lists!A16+";7#!$6;"</f>
        <v>#VALUE!</v>
      </c>
      <c r="BA37" s="0" t="e">
        <f aca="false">Lists!B16+";7#!$6&lt;"</f>
        <v>#VALUE!</v>
      </c>
      <c r="BB37" s="0" t="e">
        <f aca="false">Lists!A17+";7#!$6="</f>
        <v>#VALUE!</v>
      </c>
      <c r="BC37" s="0" t="e">
        <f aca="false">Lists!B17+";7#!$6&gt;"</f>
        <v>#VALUE!</v>
      </c>
      <c r="BD37" s="0" t="e">
        <f aca="false">Lists!A18+";7#!$6?"</f>
        <v>#VALUE!</v>
      </c>
      <c r="BE37" s="0" t="e">
        <f aca="false">Lists!B18+";7#!$6@"</f>
        <v>#VALUE!</v>
      </c>
      <c r="BF37" s="0" t="e">
        <f aca="false">Lists!A19+";7#!$6A"</f>
        <v>#VALUE!</v>
      </c>
      <c r="BG37" s="0" t="e">
        <f aca="false">Lists!B19+";7#!$6B"</f>
        <v>#VALUE!</v>
      </c>
      <c r="BH37" s="0" t="e">
        <f aca="false">Lists!A20+";7#!$6C"</f>
        <v>#VALUE!</v>
      </c>
      <c r="BI37" s="0" t="e">
        <f aca="false">Lists!B20+";7#!$6D"</f>
        <v>#VALUE!</v>
      </c>
      <c r="BJ37" s="0" t="e">
        <f aca="false">Lists!A21+";7#!$6E"</f>
        <v>#VALUE!</v>
      </c>
      <c r="BK37" s="0" t="e">
        <f aca="false">Lists!B21+";7#!$6F"</f>
        <v>#VALUE!</v>
      </c>
      <c r="BL37" s="0" t="e">
        <f aca="false">Lists!A22+";7#!$6G"</f>
        <v>#VALUE!</v>
      </c>
      <c r="BM37" s="0" t="e">
        <f aca="false">Lists!B22+";7#!$6H"</f>
        <v>#VALUE!</v>
      </c>
      <c r="BN37" s="0" t="e">
        <f aca="false">Lists!A23+";7#!$6I"</f>
        <v>#VALUE!</v>
      </c>
      <c r="BO37" s="0" t="e">
        <f aca="false">Lists!B23+";7#!$6J"</f>
        <v>#VALUE!</v>
      </c>
      <c r="BP37" s="0" t="e">
        <f aca="false">Lists!A24+";7#!$6K"</f>
        <v>#VALUE!</v>
      </c>
      <c r="BQ37" s="0" t="e">
        <f aca="false">Lists!B24+";7#!$6L"</f>
        <v>#VALUE!</v>
      </c>
      <c r="BR37" s="0" t="e">
        <f aca="false">Lists!A25+";7#!$6M"</f>
        <v>#VALUE!</v>
      </c>
      <c r="BS37" s="0" t="e">
        <f aca="false">Lists!B25+";7#!$6N"</f>
        <v>#VALUE!</v>
      </c>
      <c r="BT37" s="0" t="e">
        <f aca="false">Lists!A26+";7#!$6O"</f>
        <v>#VALUE!</v>
      </c>
      <c r="BU37" s="0" t="e">
        <f aca="false">Lists!B26+";7#!$6P"</f>
        <v>#VALUE!</v>
      </c>
      <c r="BV37" s="0" t="e">
        <f aca="false">Lists!A27+";7#!$6Q"</f>
        <v>#VALUE!</v>
      </c>
      <c r="BW37" s="0" t="e">
        <f aca="false">Lists!B27+";7#!$6R"</f>
        <v>#VALUE!</v>
      </c>
      <c r="BX37" s="0" t="e">
        <f aca="false">Lists!A28+";7#!$6S"</f>
        <v>#VALUE!</v>
      </c>
      <c r="BY37" s="0" t="e">
        <f aca="false">Lists!B28+";7#!$6T"</f>
        <v>#VALUE!</v>
      </c>
      <c r="BZ37" s="0" t="e">
        <f aca="false">Lists!A29+";7#!$6U"</f>
        <v>#VALUE!</v>
      </c>
      <c r="CA37" s="0" t="e">
        <f aca="false">Lists!B29+";7#!$6V"</f>
        <v>#VALUE!</v>
      </c>
      <c r="CB37" s="0" t="e">
        <f aca="false">Lists!A30+";7#!$6W"</f>
        <v>#VALUE!</v>
      </c>
      <c r="CC37" s="0" t="e">
        <f aca="false">Lists!B30+";7#!$6X"</f>
        <v>#VALUE!</v>
      </c>
      <c r="CD37" s="0" t="e">
        <f aca="false">Lists!A31+";7#!$6Y"</f>
        <v>#VALUE!</v>
      </c>
      <c r="CE37" s="0" t="e">
        <f aca="false">Lists!B31+";7#!$6Z"</f>
        <v>#VALUE!</v>
      </c>
      <c r="CF37" s="0" t="e">
        <f aca="false">Lists!A32+";7#!$6["</f>
        <v>#VALUE!</v>
      </c>
      <c r="CG37" s="0" t="e">
        <f aca="false">Lists!B32+";7#!$6\"</f>
        <v>#VALUE!</v>
      </c>
      <c r="CH37" s="0" t="e">
        <f aca="false">Lists!A33+";7#!$6]"</f>
        <v>#VALUE!</v>
      </c>
      <c r="CI37" s="0" t="e">
        <f aca="false">Lists!B33+";7#!$6^"</f>
        <v>#VALUE!</v>
      </c>
      <c r="CJ37" s="0" t="e">
        <f aca="false">Lists!A34+";7#!$6_"</f>
        <v>#VALUE!</v>
      </c>
      <c r="CK37" s="0" t="e">
        <f aca="false">Zaheer!233:233-"9sn!%"</f>
        <v>#VALUE!</v>
      </c>
      <c r="CL37" s="0" t="e">
        <f aca="false">Zaheer!234:234-"9sn!&amp;"</f>
        <v>#VALUE!</v>
      </c>
      <c r="CM37" s="0" t="e">
        <f aca="false">Zaheer!235:235-"9sn!'"</f>
        <v>#VALUE!</v>
      </c>
      <c r="CN37" s="0" t="e">
        <f aca="false">Zaheer!236:236-"9sn!("</f>
        <v>#VALUE!</v>
      </c>
      <c r="CO37" s="0" t="e">
        <f aca="false">Zaheer!237:237-"9sn!)"</f>
        <v>#VALUE!</v>
      </c>
      <c r="CP37" s="0" t="e">
        <f aca="false">Zaheer!238:238-"9sn!."</f>
        <v>#VALUE!</v>
      </c>
      <c r="CQ37" s="0" t="e">
        <f aca="false">Zaheer!239:239-"9sn!/"</f>
        <v>#VALUE!</v>
      </c>
      <c r="CR37" s="0" t="e">
        <f aca="false">Zaheer!240:240-"9sn!0"</f>
        <v>#VALUE!</v>
      </c>
      <c r="CS37" s="0" t="e">
        <f aca="false">Zaheer!241:241-"9sn!1"</f>
        <v>#VALUE!</v>
      </c>
      <c r="CT37" s="0" t="e">
        <f aca="false">Zaheer!242:242-"9sn!2"</f>
        <v>#VALUE!</v>
      </c>
      <c r="CU37" s="0" t="e">
        <f aca="false">Zaheer!243:243-"9sn!3"</f>
        <v>#VALUE!</v>
      </c>
      <c r="CV37" s="0" t="e">
        <f aca="false">Zaheer!244:244-"9sn!4"</f>
        <v>#VALUE!</v>
      </c>
      <c r="CW37" s="0" t="e">
        <f aca="false">Zaheer!245:245-"9sn!5"</f>
        <v>#VALUE!</v>
      </c>
      <c r="CX37" s="0" t="e">
        <f aca="false">Zaheer!246:246-"9sn!6"</f>
        <v>#VALUE!</v>
      </c>
      <c r="CY37" s="0" t="e">
        <f aca="false">Zaheer!247:247-"9sn!7"</f>
        <v>#VALUE!</v>
      </c>
      <c r="CZ37" s="0" t="e">
        <f aca="false">Zaheer!248:248-"9sn!8"</f>
        <v>#VALUE!</v>
      </c>
      <c r="DA37" s="0" t="e">
        <f aca="false">Zaheer!249:249-"9sn!9"</f>
        <v>#VALUE!</v>
      </c>
      <c r="DB37" s="0" t="e">
        <f aca="false">Zaheer!250:250-"9sn!:"</f>
        <v>#VALUE!</v>
      </c>
      <c r="DC37" s="0" t="e">
        <f aca="false">Zaheer!251:251-"9sn!;"</f>
        <v>#VALUE!</v>
      </c>
      <c r="DD37" s="0" t="e">
        <f aca="false">Dev!233:233-"9sn!&lt;"</f>
        <v>#VALUE!</v>
      </c>
      <c r="DE37" s="0" t="e">
        <f aca="false">Dev!234:234-"9sn!="</f>
        <v>#VALUE!</v>
      </c>
      <c r="DF37" s="0" t="e">
        <f aca="false">Dev!235:235-"9sn!&gt;"</f>
        <v>#VALUE!</v>
      </c>
      <c r="DG37" s="0" t="e">
        <f aca="false">Dev!236:236-"9sn!?"</f>
        <v>#VALUE!</v>
      </c>
      <c r="DH37" s="0" t="e">
        <f aca="false">Dev!237:237-"9sn!@"</f>
        <v>#VALUE!</v>
      </c>
      <c r="DI37" s="0" t="e">
        <f aca="false">Dev!238:238-"9sn!A"</f>
        <v>#VALUE!</v>
      </c>
      <c r="DJ37" s="0" t="e">
        <f aca="false">Dev!239:239-"9sn!B"</f>
        <v>#VALUE!</v>
      </c>
      <c r="DK37" s="0" t="e">
        <f aca="false">Dev!240:240-"9sn!C"</f>
        <v>#VALUE!</v>
      </c>
      <c r="DL37" s="0" t="e">
        <f aca="false">Dev!241:241-"9sn!D"</f>
        <v>#VALUE!</v>
      </c>
      <c r="DM37" s="0" t="e">
        <f aca="false">Dev!242:242-"9sn!E"</f>
        <v>#VALUE!</v>
      </c>
      <c r="DN37" s="0" t="e">
        <f aca="false">Dev!243:243-"9sn!F"</f>
        <v>#VALUE!</v>
      </c>
      <c r="DO37" s="0" t="e">
        <f aca="false">Dev!244:244-"9sn!G"</f>
        <v>#VALUE!</v>
      </c>
      <c r="DP37" s="0" t="e">
        <f aca="false">Dev!245:245-"9sn!H"</f>
        <v>#VALUE!</v>
      </c>
      <c r="DQ37" s="0" t="e">
        <f aca="false">Dev!246:246-"9sn!I"</f>
        <v>#VALUE!</v>
      </c>
      <c r="DR37" s="0" t="e">
        <f aca="false">Dev!247:247-"9sn!J"</f>
        <v>#VALUE!</v>
      </c>
      <c r="DS37" s="0" t="e">
        <f aca="false">Dev!248:248-"9sn!K"</f>
        <v>#VALUE!</v>
      </c>
      <c r="DT37" s="0" t="e">
        <f aca="false">Dev!249:249-"9sn!L"</f>
        <v>#VALUE!</v>
      </c>
      <c r="DU37" s="0" t="e">
        <f aca="false">Dev!250:250-"9sn!M"</f>
        <v>#VALUE!</v>
      </c>
      <c r="DV37" s="0" t="e">
        <f aca="false">Dev!251:251-"9sn!N"</f>
        <v>#VALUE!</v>
      </c>
      <c r="DW37" s="0" t="e">
        <f aca="false">Guillaume!232:232-"9sn!O"</f>
        <v>#VALUE!</v>
      </c>
      <c r="DX37" s="0" t="e">
        <f aca="false">Guillaume!233:233-"9sn!P"</f>
        <v>#VALUE!</v>
      </c>
      <c r="DY37" s="0" t="e">
        <f aca="false">Guillaume!234:234-"9sn!Q"</f>
        <v>#VALUE!</v>
      </c>
      <c r="DZ37" s="0" t="e">
        <f aca="false">Guillaume!235:235-"9sn!R"</f>
        <v>#VALUE!</v>
      </c>
      <c r="EA37" s="0" t="e">
        <f aca="false">Guillaume!236:236-"9sn!S"</f>
        <v>#VALUE!</v>
      </c>
      <c r="EB37" s="0" t="e">
        <f aca="false">Guillaume!237:237-"9sn!T"</f>
        <v>#VALUE!</v>
      </c>
      <c r="EC37" s="0" t="e">
        <f aca="false">Guillaume!238:238-"9sn!U"</f>
        <v>#VALUE!</v>
      </c>
      <c r="ED37" s="0" t="e">
        <f aca="false">Guillaume!239:239-"9sn!V"</f>
        <v>#VALUE!</v>
      </c>
      <c r="EE37" s="0" t="e">
        <f aca="false">Guillaume!240:240-"9sn!W"</f>
        <v>#VALUE!</v>
      </c>
      <c r="EF37" s="0" t="e">
        <f aca="false">Guillaume!241:241-"9sn!X"</f>
        <v>#VALUE!</v>
      </c>
      <c r="EG37" s="0" t="e">
        <f aca="false">Guillaume!242:242-"9sn!Y"</f>
        <v>#VALUE!</v>
      </c>
      <c r="EH37" s="0" t="e">
        <f aca="false">Guillaume!243:243-"9sn!Z"</f>
        <v>#VALUE!</v>
      </c>
      <c r="EI37" s="0" t="e">
        <f aca="false">Guillaume!244:244-"9sn!["</f>
        <v>#VALUE!</v>
      </c>
      <c r="EJ37" s="0" t="e">
        <f aca="false">Guillaume!245:245-"9sn!\"</f>
        <v>#VALUE!</v>
      </c>
      <c r="EK37" s="0" t="e">
        <f aca="false">Guillaume!246:246-"9sn!]"</f>
        <v>#VALUE!</v>
      </c>
      <c r="EL37" s="0" t="e">
        <f aca="false">Guillaume!247:247-"9sn!^"</f>
        <v>#VALUE!</v>
      </c>
      <c r="EM37" s="0" t="e">
        <f aca="false">Guillaume!248:248-"9sn!_"</f>
        <v>#VALUE!</v>
      </c>
      <c r="EN37" s="0" t="e">
        <f aca="false">Guillaume!249:249-"9sn!`"</f>
        <v>#VALUE!</v>
      </c>
      <c r="EO37" s="0" t="e">
        <f aca="false">Guillaume!250:250-"9sn!a"</f>
        <v>#VALUE!</v>
      </c>
      <c r="EP37" s="0" t="e">
        <f aca="false">Guillaume!251:251-"9sn!b"</f>
        <v>#VALUE!</v>
      </c>
      <c r="EQ37" s="0" t="e">
        <f aca="false">Lishoy!233:233-"9sn!c"</f>
        <v>#VALUE!</v>
      </c>
      <c r="ER37" s="0" t="e">
        <f aca="false">Lishoy!234:234-"9sn!d"</f>
        <v>#VALUE!</v>
      </c>
      <c r="ES37" s="0" t="e">
        <f aca="false">Lishoy!235:235-"9sn!e"</f>
        <v>#VALUE!</v>
      </c>
      <c r="ET37" s="0" t="e">
        <f aca="false">Lishoy!236:236-"9sn!f"</f>
        <v>#VALUE!</v>
      </c>
      <c r="EU37" s="0" t="e">
        <f aca="false">Lishoy!237:237-"9sn!g"</f>
        <v>#VALUE!</v>
      </c>
      <c r="EV37" s="0" t="e">
        <f aca="false">Lishoy!238:238-"9sn!h"</f>
        <v>#VALUE!</v>
      </c>
      <c r="EW37" s="0" t="e">
        <f aca="false">Lishoy!239:239-"9sn!i"</f>
        <v>#VALUE!</v>
      </c>
      <c r="EX37" s="0" t="e">
        <f aca="false">Lishoy!240:240-"9sn!j"</f>
        <v>#VALUE!</v>
      </c>
      <c r="EY37" s="0" t="e">
        <f aca="false">Lishoy!241:241-"9sn!k"</f>
        <v>#VALUE!</v>
      </c>
      <c r="EZ37" s="0" t="e">
        <f aca="false">Lishoy!242:242-"9sn!l"</f>
        <v>#VALUE!</v>
      </c>
      <c r="FA37" s="0" t="e">
        <f aca="false">Lishoy!243:243-"9sn!m"</f>
        <v>#VALUE!</v>
      </c>
      <c r="FB37" s="0" t="e">
        <f aca="false">Lishoy!244:244-"9sn!n"</f>
        <v>#VALUE!</v>
      </c>
      <c r="FC37" s="0" t="e">
        <f aca="false">Lishoy!245:245-"9sn!o"</f>
        <v>#VALUE!</v>
      </c>
      <c r="FD37" s="0" t="e">
        <f aca="false">Lishoy!246:246-"9sn!p"</f>
        <v>#VALUE!</v>
      </c>
      <c r="FE37" s="0" t="e">
        <f aca="false">Lishoy!247:247-"9sn!q"</f>
        <v>#VALUE!</v>
      </c>
      <c r="FF37" s="0" t="e">
        <f aca="false">Lishoy!248:248-"9sn!r"</f>
        <v>#VALUE!</v>
      </c>
      <c r="FG37" s="0" t="e">
        <f aca="false">Lishoy!249:249-"9sn!s"</f>
        <v>#VALUE!</v>
      </c>
      <c r="FH37" s="0" t="e">
        <f aca="false">Lishoy!250:250-"9sn!t"</f>
        <v>#VALUE!</v>
      </c>
      <c r="FI37" s="0" t="e">
        <f aca="false">Lishoy!251:251-"9sn!u"</f>
        <v>#VALUE!</v>
      </c>
      <c r="FJ37" s="0" t="e">
        <f aca="false">Claudio!233:233-"9sn!v"</f>
        <v>#VALUE!</v>
      </c>
      <c r="FK37" s="0" t="e">
        <f aca="false">Claudio!234:234-"9sn!w"</f>
        <v>#VALUE!</v>
      </c>
      <c r="FL37" s="0" t="e">
        <f aca="false">Claudio!235:235-"9sn!x"</f>
        <v>#VALUE!</v>
      </c>
      <c r="FM37" s="0" t="e">
        <f aca="false">Claudio!236:236-"9sn!y"</f>
        <v>#VALUE!</v>
      </c>
      <c r="FN37" s="0" t="e">
        <f aca="false">Claudio!237:237-"9sn!z"</f>
        <v>#VALUE!</v>
      </c>
      <c r="FO37" s="0" t="e">
        <f aca="false">Claudio!238:238-"9sn!{"</f>
        <v>#VALUE!</v>
      </c>
      <c r="FP37" s="0" t="e">
        <f aca="false">Claudio!239:239-"9sn!|"</f>
        <v>#VALUE!</v>
      </c>
      <c r="FQ37" s="0" t="e">
        <f aca="false">Claudio!240:240-"9sn!}"</f>
        <v>#VALUE!</v>
      </c>
      <c r="FR37" s="0" t="e">
        <f aca="false">Claudio!241:241-"9sn!~"</f>
        <v>#VALUE!</v>
      </c>
      <c r="FS37" s="0" t="e">
        <f aca="false">Claudio!242:242-"9sn!$#"</f>
        <v>#VALUE!</v>
      </c>
      <c r="FT37" s="0" t="e">
        <f aca="false">Claudio!243:243-"9sn!$$"</f>
        <v>#VALUE!</v>
      </c>
      <c r="FU37" s="0" t="e">
        <f aca="false">Claudio!244:244-"9sn!$%"</f>
        <v>#VALUE!</v>
      </c>
      <c r="FV37" s="0" t="e">
        <f aca="false">Claudio!245:245-"9sn!$&amp;"</f>
        <v>#VALUE!</v>
      </c>
      <c r="FW37" s="0" t="e">
        <f aca="false">Claudio!246:246-"9sn!$'"</f>
        <v>#VALUE!</v>
      </c>
      <c r="FX37" s="0" t="e">
        <f aca="false">Claudio!247:247-"9sn!$("</f>
        <v>#VALUE!</v>
      </c>
      <c r="FY37" s="0" t="e">
        <f aca="false">Claudio!248:248-"9sn!$)"</f>
        <v>#VALUE!</v>
      </c>
      <c r="FZ37" s="0" t="e">
        <f aca="false">Claudio!249:249-"9sn!$."</f>
        <v>#VALUE!</v>
      </c>
      <c r="GA37" s="0" t="e">
        <f aca="false">Claudio!250:250-"9sn!$/"</f>
        <v>#VALUE!</v>
      </c>
      <c r="GB37" s="0" t="e">
        <f aca="false">Claudio!251:251-"9sn!$0"</f>
        <v>#VALUE!</v>
      </c>
      <c r="GC37" s="0" t="e">
        <f aca="false">Jevon!234:234-"9sn!$1"</f>
        <v>#VALUE!</v>
      </c>
      <c r="GD37" s="0" t="e">
        <f aca="false">Jevon!235:235-"9sn!$2"</f>
        <v>#VALUE!</v>
      </c>
      <c r="GE37" s="0" t="e">
        <f aca="false">Jevon!236:236-"9sn!$3"</f>
        <v>#VALUE!</v>
      </c>
      <c r="GF37" s="0" t="e">
        <f aca="false">Jevon!237:237-"9sn!$4"</f>
        <v>#VALUE!</v>
      </c>
      <c r="GG37" s="0" t="e">
        <f aca="false">Jevon!238:238-"9sn!$5"</f>
        <v>#VALUE!</v>
      </c>
      <c r="GH37" s="0" t="e">
        <f aca="false">Jevon!239:239-"9sn!$6"</f>
        <v>#VALUE!</v>
      </c>
      <c r="GI37" s="0" t="e">
        <f aca="false">Jevon!240:240-"9sn!$7"</f>
        <v>#VALUE!</v>
      </c>
      <c r="GJ37" s="0" t="e">
        <f aca="false">Jevon!241:241-"9sn!$8"</f>
        <v>#VALUE!</v>
      </c>
      <c r="GK37" s="0" t="e">
        <f aca="false">Jevon!242:242-"9sn!$9"</f>
        <v>#VALUE!</v>
      </c>
      <c r="GL37" s="0" t="e">
        <f aca="false">Jevon!243:243-"9sn!$:"</f>
        <v>#VALUE!</v>
      </c>
      <c r="GM37" s="0" t="e">
        <f aca="false">Jevon!244:244-"9sn!$;"</f>
        <v>#VALUE!</v>
      </c>
      <c r="GN37" s="0" t="e">
        <f aca="false">Jevon!245:245-"9sn!$&lt;"</f>
        <v>#VALUE!</v>
      </c>
      <c r="GO37" s="0" t="e">
        <f aca="false">Jevon!246:246-"9sn!$="</f>
        <v>#VALUE!</v>
      </c>
      <c r="GP37" s="0" t="e">
        <f aca="false">Jevon!247:247-"9sn!$&gt;"</f>
        <v>#VALUE!</v>
      </c>
      <c r="GQ37" s="0" t="e">
        <f aca="false">Jevon!248:248-"9sn!$?"</f>
        <v>#VALUE!</v>
      </c>
      <c r="GR37" s="0" t="e">
        <f aca="false">Jevon!249:249-"9sn!$@"</f>
        <v>#VALUE!</v>
      </c>
      <c r="GS37" s="0" t="e">
        <f aca="false">Jevon!250:250-"9sn!$A"</f>
        <v>#VALUE!</v>
      </c>
      <c r="GT37" s="0" t="e">
        <f aca="false">Jevon!251:251-"9sn!$B"</f>
        <v>#VALUE!</v>
      </c>
      <c r="GU37" s="0" t="e">
        <f aca="false">Jevon!252:252-"9sn!$C"</f>
        <v>#VALUE!</v>
      </c>
      <c r="GV37" s="0" t="e">
        <f aca="false">Ben!232:232-"9sn!$D"</f>
        <v>#VALUE!</v>
      </c>
      <c r="GW37" s="0" t="e">
        <f aca="false">Ben!233:233-"9sn!$E"</f>
        <v>#VALUE!</v>
      </c>
      <c r="GX37" s="0" t="e">
        <f aca="false">Ben!234:234-"9sn!$F"</f>
        <v>#VALUE!</v>
      </c>
      <c r="GY37" s="0" t="e">
        <f aca="false">Ben!235:235-"9sn!$G"</f>
        <v>#VALUE!</v>
      </c>
      <c r="GZ37" s="0" t="e">
        <f aca="false">Ben!236:236-"9sn!$H"</f>
        <v>#VALUE!</v>
      </c>
      <c r="HA37" s="0" t="e">
        <f aca="false">Ben!237:237-"9sn!$I"</f>
        <v>#VALUE!</v>
      </c>
      <c r="HB37" s="0" t="e">
        <f aca="false">Ben!238:238-"9sn!$J"</f>
        <v>#VALUE!</v>
      </c>
      <c r="HC37" s="0" t="e">
        <f aca="false">Ben!239:239-"9sn!$K"</f>
        <v>#VALUE!</v>
      </c>
      <c r="HD37" s="0" t="e">
        <f aca="false">Ben!240:240-"9sn!$L"</f>
        <v>#VALUE!</v>
      </c>
      <c r="HE37" s="0" t="e">
        <f aca="false">Ben!241:241-"9sn!$M"</f>
        <v>#VALUE!</v>
      </c>
      <c r="HF37" s="0" t="e">
        <f aca="false">Ben!242:242-"9sn!$N"</f>
        <v>#VALUE!</v>
      </c>
      <c r="HG37" s="0" t="e">
        <f aca="false">Ben!243:243-"9sn!$O"</f>
        <v>#VALUE!</v>
      </c>
      <c r="HH37" s="0" t="e">
        <f aca="false">Ben!244:244-"9sn!$P"</f>
        <v>#VALUE!</v>
      </c>
      <c r="HI37" s="0" t="e">
        <f aca="false">Ben!245:245-"9sn!$Q"</f>
        <v>#VALUE!</v>
      </c>
      <c r="HJ37" s="0" t="e">
        <f aca="false">Ben!246:246-"9sn!$R"</f>
        <v>#VALUE!</v>
      </c>
      <c r="HK37" s="0" t="e">
        <f aca="false">Ben!247:247-"9sn!$S"</f>
        <v>#VALUE!</v>
      </c>
      <c r="HL37" s="0" t="e">
        <f aca="false">Ben!248:248-"9sn!$T"</f>
        <v>#VALUE!</v>
      </c>
      <c r="HM37" s="0" t="e">
        <f aca="false">Ben!249:249-"9sn!$U"</f>
        <v>#VALUE!</v>
      </c>
      <c r="HN37" s="0" t="e">
        <f aca="false">Ben!250:250-"9sn!$V"</f>
        <v>#VALUE!</v>
      </c>
      <c r="HO37" s="0" t="e">
        <f aca="false">Ben!251:251-"9sn!$W"</f>
        <v>#VALUE!</v>
      </c>
      <c r="HP37" s="0" t="e">
        <f aca="false">Peng!233:233-"9sn!$X"</f>
        <v>#VALUE!</v>
      </c>
      <c r="HQ37" s="0" t="e">
        <f aca="false">Peng!234:234-"9sn!$Y"</f>
        <v>#VALUE!</v>
      </c>
      <c r="HR37" s="0" t="e">
        <f aca="false">Peng!235:235-"9sn!$Z"</f>
        <v>#VALUE!</v>
      </c>
      <c r="HS37" s="0" t="e">
        <f aca="false">Peng!236:236-"9sn!$["</f>
        <v>#VALUE!</v>
      </c>
      <c r="HT37" s="0" t="e">
        <f aca="false">Peng!237:237-"9sn!$\"</f>
        <v>#VALUE!</v>
      </c>
      <c r="HU37" s="0" t="e">
        <f aca="false">Peng!238:238-"9sn!$]"</f>
        <v>#VALUE!</v>
      </c>
      <c r="HV37" s="0" t="e">
        <f aca="false">Peng!239:239-"9sn!$^"</f>
        <v>#VALUE!</v>
      </c>
      <c r="HW37" s="0" t="e">
        <f aca="false">Peng!240:240-"9sn!$_"</f>
        <v>#VALUE!</v>
      </c>
      <c r="HX37" s="0" t="e">
        <f aca="false">Peng!241:241-"9sn!$`"</f>
        <v>#VALUE!</v>
      </c>
      <c r="HY37" s="0" t="e">
        <f aca="false">Peng!242:242-"9sn!$a"</f>
        <v>#VALUE!</v>
      </c>
      <c r="HZ37" s="0" t="e">
        <f aca="false">Peng!243:243-"9sn!$b"</f>
        <v>#VALUE!</v>
      </c>
      <c r="IA37" s="0" t="e">
        <f aca="false">Peng!244:244-"9sn!$c"</f>
        <v>#VALUE!</v>
      </c>
      <c r="IB37" s="0" t="e">
        <f aca="false">Peng!245:245-"9sn!$d"</f>
        <v>#VALUE!</v>
      </c>
      <c r="IC37" s="0" t="e">
        <f aca="false">Peng!246:246-"9sn!$e"</f>
        <v>#VALUE!</v>
      </c>
      <c r="ID37" s="0" t="e">
        <f aca="false">Peng!247:247-"9sn!$f"</f>
        <v>#VALUE!</v>
      </c>
      <c r="IE37" s="0" t="e">
        <f aca="false">Peng!248:248-"9sn!$g"</f>
        <v>#VALUE!</v>
      </c>
      <c r="IF37" s="0" t="e">
        <f aca="false">Peng!249:249-"9sn!$h"</f>
        <v>#VALUE!</v>
      </c>
      <c r="IG37" s="0" t="e">
        <f aca="false">Peng!250:250-"9sn!$i"</f>
        <v>#VALUE!</v>
      </c>
      <c r="IH37" s="0" t="e">
        <f aca="false">Peng!251:251-"9sn!$j"</f>
        <v>#VALUE!</v>
      </c>
      <c r="II37" s="0" t="e">
        <f aca="false">Guillaume_VIE!227:227-"9sn!$k"</f>
        <v>#VALUE!</v>
      </c>
      <c r="IJ37" s="0" t="e">
        <f aca="false">Guillaume_VIE!228:228-"9sn!$l"</f>
        <v>#VALUE!</v>
      </c>
      <c r="IK37" s="0" t="e">
        <f aca="false">Guillaume_VIE!229:229-"9sn!$m"</f>
        <v>#VALUE!</v>
      </c>
      <c r="IL37" s="0" t="e">
        <f aca="false">Guillaume_VIE!230:230-"9sn!$n"</f>
        <v>#VALUE!</v>
      </c>
      <c r="IM37" s="0" t="e">
        <f aca="false">Guillaume_VIE!231:231-"9sn!$o"</f>
        <v>#VALUE!</v>
      </c>
      <c r="IN37" s="0" t="e">
        <f aca="false">Guillaume_VIE!232:232-"9sn!$p"</f>
        <v>#VALUE!</v>
      </c>
      <c r="IO37" s="0" t="e">
        <f aca="false">Guillaume_VIE!233:233-"9sn!$q"</f>
        <v>#VALUE!</v>
      </c>
      <c r="IP37" s="0" t="e">
        <f aca="false">Guillaume_VIE!234:234-"9sn!$r"</f>
        <v>#VALUE!</v>
      </c>
      <c r="IQ37" s="0" t="e">
        <f aca="false">Guillaume_VIE!235:235-"9sn!$s"</f>
        <v>#VALUE!</v>
      </c>
      <c r="IR37" s="0" t="e">
        <f aca="false">Guillaume_VIE!236:236-"9sn!$t"</f>
        <v>#VALUE!</v>
      </c>
      <c r="IS37" s="0" t="e">
        <f aca="false">Guillaume_VIE!237:237-"9sn!$u"</f>
        <v>#VALUE!</v>
      </c>
      <c r="IT37" s="0" t="e">
        <f aca="false">Guillaume_VIE!238:238-"9sn!$v"</f>
        <v>#VALUE!</v>
      </c>
      <c r="IU37" s="0" t="e">
        <f aca="false">Guillaume_VIE!239:239-"9sn!$w"</f>
        <v>#VALUE!</v>
      </c>
      <c r="IV37" s="0" t="e">
        <f aca="false">Guillaume_VIE!240:240-"9sn!$x"</f>
        <v>#VALUE!</v>
      </c>
    </row>
    <row r="38" customFormat="false" ht="15" hidden="false" customHeight="false" outlineLevel="0" collapsed="false">
      <c r="F38" s="0" t="e">
        <f aca="false">Guillaume_VIE!241:241-"9sn!$y"</f>
        <v>#VALUE!</v>
      </c>
      <c r="G38" s="0" t="e">
        <f aca="false">Guillaume_VIE!242:242-"9sn!$z"</f>
        <v>#VALUE!</v>
      </c>
      <c r="H38" s="0" t="e">
        <f aca="false">Guillaume_VIE!243:243-"9sn!${"</f>
        <v>#VALUE!</v>
      </c>
      <c r="I38" s="0" t="e">
        <f aca="false">Guillaume_VIE!244:244-"9sn!$|"</f>
        <v>#VALUE!</v>
      </c>
      <c r="J38" s="0" t="e">
        <f aca="false">Guillaume_VIE!245:245-"9sn!$}"</f>
        <v>#VALUE!</v>
      </c>
      <c r="K38" s="0" t="e">
        <f aca="false">Guillaume_VIE!246:246-"9sn!$~"</f>
        <v>#VALUE!</v>
      </c>
      <c r="L38" s="0" t="e">
        <f aca="false">Guillaume_VIE!247:247-"9sn!%#"</f>
        <v>#VALUE!</v>
      </c>
      <c r="M38" s="0" t="e">
        <f aca="false">Guillaume_VIE!248:248-"9sn!%$"</f>
        <v>#VALUE!</v>
      </c>
      <c r="N38" s="0" t="e">
        <f aca="false">Guillaume_VIE!249:249-"9sn!%%"</f>
        <v>#VALUE!</v>
      </c>
      <c r="O38" s="0" t="e">
        <f aca="false">Guillaume_VIE!250:250-"9sn!%&amp;"</f>
        <v>#VALUE!</v>
      </c>
      <c r="P38" s="0" t="e">
        <f aca="false">Guillaume_VIE!251:251-"9sn!%'"</f>
        <v>#VALUE!</v>
      </c>
      <c r="Q38" s="0" t="e">
        <f aca="false">Jevon!18:18-";7#!$6`"</f>
        <v>#VALUE!</v>
      </c>
      <c r="R38" s="0" t="e">
        <f aca="false">Jevon!A18+";7#!$6a"</f>
        <v>#VALUE!</v>
      </c>
      <c r="S38" s="0" t="e">
        <f aca="false">Jevon!B18+";7#!$6b"</f>
        <v>#VALUE!</v>
      </c>
      <c r="T38" s="0" t="e">
        <f aca="false">Jevon!C18+";7#!$6c"</f>
        <v>#VALUE!</v>
      </c>
      <c r="U38" s="0" t="e">
        <f aca="false">Jevon!D18+";7#!$6d"</f>
        <v>#VALUE!</v>
      </c>
      <c r="V38" s="0" t="e">
        <f aca="false">Jevon!E18+";7#!$6e"</f>
        <v>#VALUE!</v>
      </c>
      <c r="W38" s="0" t="e">
        <f aca="false">Jevon!F18+";7#!$6f"</f>
        <v>#VALUE!</v>
      </c>
      <c r="X38" s="0" t="e">
        <f aca="false">Jevon!G18+";7#!$6g"</f>
        <v>#VALUE!</v>
      </c>
      <c r="Y38" s="0" t="e">
        <f aca="false">Jevon!H18+";7#!$6h"</f>
        <v>#VALUE!</v>
      </c>
      <c r="Z38" s="0" t="e">
        <f aca="false">Jevon!I18+";7#!$6i"</f>
        <v>#VALUE!</v>
      </c>
      <c r="AA38" s="0" t="e">
        <f aca="false">Jevon!J18+";7#!$6j"</f>
        <v>#VALUE!</v>
      </c>
      <c r="AB38" s="0" t="e">
        <f aca="false">Jevon!K18+";7#!$6k"</f>
        <v>#VALUE!</v>
      </c>
      <c r="AC38" s="0" t="e">
        <f aca="false">Jevon!L18+";7#!$6l"</f>
        <v>#VALUE!</v>
      </c>
      <c r="AD38" s="0" t="e">
        <f aca="false">Jevon!M18+";7#!$6m"</f>
        <v>#VALUE!</v>
      </c>
      <c r="AE38" s="0" t="e">
        <f aca="false">Jevon!N18+";7#!$6n"</f>
        <v>#VALUE!</v>
      </c>
      <c r="AF38" s="0" t="e">
        <f aca="false">Jevon!O18+";7#!$6o"</f>
        <v>#VALUE!</v>
      </c>
      <c r="AG38" s="0" t="e">
        <f aca="false">Jevon!P18+";7#!$6p"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2013-03-08T16:25:38Z</dcterms:created>
  <dc:creator>D</dc:creator>
  <dc:language>en-US</dc:language>
  <cp:lastModifiedBy>D</cp:lastModifiedBy>
  <cp:lastPrinted>2013-06-04T08:51:51Z</cp:lastPrinted>
  <dcterms:modified xsi:type="dcterms:W3CDTF">2014-06-02T16:13:52Z</dcterms:modified>
  <cp:revision>0</cp:revision>
</cp:coreProperties>
</file>