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esktop\365\"/>
    </mc:Choice>
  </mc:AlternateContent>
  <xr:revisionPtr revIDLastSave="0" documentId="8_{BCDAFEEA-C652-4224-8032-278FCE05FB2B}" xr6:coauthVersionLast="47" xr6:coauthVersionMax="47" xr10:uidLastSave="{00000000-0000-0000-0000-000000000000}"/>
  <bookViews>
    <workbookView xWindow="-108" yWindow="-108" windowWidth="23256" windowHeight="12456" xr2:uid="{8ADED56E-3643-4B20-AE4A-D616E99C04E5}"/>
  </bookViews>
  <sheets>
    <sheet name="Capital Budgeting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" l="1"/>
  <c r="C9" i="6"/>
  <c r="F36" i="6"/>
  <c r="F39" i="6" s="1"/>
  <c r="G21" i="6"/>
  <c r="G30" i="6" s="1"/>
  <c r="F44" i="6" l="1"/>
  <c r="H21" i="6"/>
  <c r="G31" i="6"/>
  <c r="G22" i="6"/>
  <c r="G26" i="6" s="1"/>
  <c r="G27" i="6" l="1"/>
  <c r="G29" i="6" s="1"/>
  <c r="G33" i="6" s="1"/>
  <c r="I21" i="6"/>
  <c r="H22" i="6"/>
  <c r="H26" i="6" s="1"/>
  <c r="H31" i="6"/>
  <c r="H30" i="6"/>
  <c r="H27" i="6" l="1"/>
  <c r="H29" i="6" s="1"/>
  <c r="H33" i="6" s="1"/>
  <c r="I30" i="6"/>
  <c r="I22" i="6"/>
  <c r="I26" i="6" s="1"/>
  <c r="J21" i="6"/>
  <c r="I31" i="6"/>
  <c r="G34" i="6"/>
  <c r="G36" i="6" s="1"/>
  <c r="G39" i="6" s="1"/>
  <c r="G44" i="6" l="1"/>
  <c r="I27" i="6"/>
  <c r="I29" i="6" s="1"/>
  <c r="I33" i="6" s="1"/>
  <c r="H34" i="6"/>
  <c r="H36" i="6" s="1"/>
  <c r="H39" i="6" s="1"/>
  <c r="J30" i="6"/>
  <c r="J22" i="6"/>
  <c r="J26" i="6" s="1"/>
  <c r="J31" i="6"/>
  <c r="K21" i="6"/>
  <c r="H44" i="6" l="1"/>
  <c r="J27" i="6"/>
  <c r="J29" i="6" s="1"/>
  <c r="J33" i="6" s="1"/>
  <c r="I34" i="6"/>
  <c r="I36" i="6" s="1"/>
  <c r="I39" i="6" s="1"/>
  <c r="K31" i="6"/>
  <c r="K30" i="6"/>
  <c r="K22" i="6"/>
  <c r="K26" i="6" s="1"/>
  <c r="L21" i="6"/>
  <c r="I44" i="6" l="1"/>
  <c r="J34" i="6"/>
  <c r="K27" i="6"/>
  <c r="K29" i="6" s="1"/>
  <c r="K33" i="6" s="1"/>
  <c r="M21" i="6"/>
  <c r="L30" i="6"/>
  <c r="L31" i="6"/>
  <c r="L22" i="6"/>
  <c r="L26" i="6" s="1"/>
  <c r="J36" i="6" l="1"/>
  <c r="K34" i="6"/>
  <c r="K36" i="6" s="1"/>
  <c r="K39" i="6" s="1"/>
  <c r="N21" i="6"/>
  <c r="M30" i="6"/>
  <c r="M22" i="6"/>
  <c r="M26" i="6" s="1"/>
  <c r="M31" i="6"/>
  <c r="L27" i="6"/>
  <c r="L29" i="6" s="1"/>
  <c r="L33" i="6" s="1"/>
  <c r="J44" i="6" l="1"/>
  <c r="K44" i="6" s="1"/>
  <c r="J39" i="6"/>
  <c r="L34" i="6"/>
  <c r="L36" i="6" s="1"/>
  <c r="L39" i="6" s="1"/>
  <c r="O21" i="6"/>
  <c r="N31" i="6"/>
  <c r="N30" i="6"/>
  <c r="N22" i="6"/>
  <c r="N26" i="6" s="1"/>
  <c r="M27" i="6"/>
  <c r="M29" i="6" s="1"/>
  <c r="M33" i="6" s="1"/>
  <c r="L44" i="6" l="1"/>
  <c r="M34" i="6"/>
  <c r="M36" i="6" s="1"/>
  <c r="M39" i="6" s="1"/>
  <c r="O31" i="6"/>
  <c r="O22" i="6"/>
  <c r="O26" i="6" s="1"/>
  <c r="P21" i="6"/>
  <c r="O30" i="6"/>
  <c r="N27" i="6"/>
  <c r="N29" i="6" s="1"/>
  <c r="N33" i="6" s="1"/>
  <c r="M44" i="6" l="1"/>
  <c r="N34" i="6"/>
  <c r="N36" i="6" s="1"/>
  <c r="N39" i="6" s="1"/>
  <c r="P22" i="6"/>
  <c r="P26" i="6" s="1"/>
  <c r="P31" i="6"/>
  <c r="P30" i="6"/>
  <c r="O27" i="6"/>
  <c r="O29" i="6" s="1"/>
  <c r="O33" i="6" s="1"/>
  <c r="N44" i="6" l="1"/>
  <c r="O34" i="6"/>
  <c r="O36" i="6" s="1"/>
  <c r="O39" i="6" s="1"/>
  <c r="P27" i="6"/>
  <c r="P29" i="6" s="1"/>
  <c r="P33" i="6" s="1"/>
  <c r="O44" i="6" l="1"/>
  <c r="P34" i="6"/>
  <c r="P36" i="6" l="1"/>
  <c r="C43" i="6" s="1"/>
  <c r="C44" i="6" s="1"/>
  <c r="P38" i="6" l="1"/>
  <c r="P44" i="6"/>
  <c r="P39" i="6" l="1"/>
  <c r="C10" i="6" s="1"/>
  <c r="C11" i="6" l="1"/>
</calcChain>
</file>

<file path=xl/sharedStrings.xml><?xml version="1.0" encoding="utf-8"?>
<sst xmlns="http://schemas.openxmlformats.org/spreadsheetml/2006/main" count="35" uniqueCount="34">
  <si>
    <t>Opex</t>
  </si>
  <si>
    <t>Oil Price</t>
  </si>
  <si>
    <t>Tariff</t>
  </si>
  <si>
    <t>Royalty Rate</t>
  </si>
  <si>
    <t>Discount Rate</t>
  </si>
  <si>
    <t>Annual Production</t>
  </si>
  <si>
    <t>Revenue</t>
  </si>
  <si>
    <t>Net Cash Flow</t>
  </si>
  <si>
    <t>Production Growth (Year 1-4)</t>
  </si>
  <si>
    <t>Production Decline (Year 5 Onwards)</t>
  </si>
  <si>
    <t>Initial Investment (Capex)</t>
  </si>
  <si>
    <t>Discounted Terminal Value</t>
  </si>
  <si>
    <t>Terminal Value</t>
  </si>
  <si>
    <t>NPV</t>
  </si>
  <si>
    <t>IRR</t>
  </si>
  <si>
    <t>Assumption</t>
  </si>
  <si>
    <t>Initial Production (Barrels)</t>
  </si>
  <si>
    <t>Tax</t>
  </si>
  <si>
    <t xml:space="preserve">  Royalties</t>
  </si>
  <si>
    <t>Revenue after Royalties</t>
  </si>
  <si>
    <t xml:space="preserve">  Operating Expense</t>
  </si>
  <si>
    <t xml:space="preserve">  Tariff</t>
  </si>
  <si>
    <t>Operating Profit</t>
  </si>
  <si>
    <t xml:space="preserve">  Tax</t>
  </si>
  <si>
    <t>Initial Investment</t>
  </si>
  <si>
    <t>Annual Revenue (USD)</t>
  </si>
  <si>
    <t>Cummulative Cash Flow</t>
  </si>
  <si>
    <t>Terminal Value (Perpetuity Method)</t>
  </si>
  <si>
    <t>Discount Rate of Future Cashflows</t>
  </si>
  <si>
    <t>Cash Flow</t>
  </si>
  <si>
    <t>Net Cash Flow including TV</t>
  </si>
  <si>
    <t>Years</t>
  </si>
  <si>
    <t>Payback Period</t>
  </si>
  <si>
    <t>Capital Budgeting Analysis - Offshore Oilfield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</si>
</sst>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#,##0;[Red]#,##0"/>
    <numFmt numFmtId="166" formatCode="0.000%"/>
    <numFmt numFmtId="180" formatCode="#.##&quot; Years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9"/>
      <color rgb="FF00B050"/>
      <name val="Arial"/>
      <family val="2"/>
    </font>
    <font>
      <b/>
      <sz val="9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164" fontId="2" fillId="2" borderId="0" xfId="1" applyNumberFormat="1" applyFont="1" applyFill="1"/>
    <xf numFmtId="3" fontId="2" fillId="2" borderId="0" xfId="0" applyNumberFormat="1" applyFont="1" applyFill="1"/>
    <xf numFmtId="9" fontId="2" fillId="2" borderId="0" xfId="2" applyFont="1" applyFill="1"/>
    <xf numFmtId="165" fontId="2" fillId="2" borderId="0" xfId="0" applyNumberFormat="1" applyFont="1" applyFill="1"/>
    <xf numFmtId="165" fontId="3" fillId="2" borderId="0" xfId="0" applyNumberFormat="1" applyFont="1" applyFill="1"/>
    <xf numFmtId="0" fontId="2" fillId="2" borderId="1" xfId="0" applyFont="1" applyFill="1" applyBorder="1"/>
    <xf numFmtId="165" fontId="2" fillId="2" borderId="1" xfId="0" applyNumberFormat="1" applyFont="1" applyFill="1" applyBorder="1"/>
    <xf numFmtId="0" fontId="4" fillId="3" borderId="0" xfId="0" applyFont="1" applyFill="1"/>
    <xf numFmtId="0" fontId="6" fillId="3" borderId="0" xfId="0" applyFont="1" applyFill="1" applyAlignment="1">
      <alignment wrapText="1"/>
    </xf>
    <xf numFmtId="0" fontId="2" fillId="3" borderId="0" xfId="0" applyFont="1" applyFill="1"/>
    <xf numFmtId="0" fontId="5" fillId="3" borderId="0" xfId="0" applyFont="1" applyFill="1"/>
    <xf numFmtId="0" fontId="2" fillId="2" borderId="2" xfId="0" applyFont="1" applyFill="1" applyBorder="1"/>
    <xf numFmtId="165" fontId="2" fillId="2" borderId="2" xfId="0" applyNumberFormat="1" applyFont="1" applyFill="1" applyBorder="1"/>
    <xf numFmtId="165" fontId="2" fillId="0" borderId="0" xfId="0" applyNumberFormat="1" applyFont="1" applyFill="1"/>
    <xf numFmtId="0" fontId="4" fillId="4" borderId="0" xfId="0" applyFont="1" applyFill="1"/>
    <xf numFmtId="164" fontId="7" fillId="2" borderId="0" xfId="0" applyNumberFormat="1" applyFont="1" applyFill="1"/>
    <xf numFmtId="166" fontId="7" fillId="2" borderId="0" xfId="0" applyNumberFormat="1" applyFont="1" applyFill="1"/>
    <xf numFmtId="180" fontId="7" fillId="2" borderId="0" xfId="0" applyNumberFormat="1" applyFont="1" applyFill="1"/>
    <xf numFmtId="164" fontId="8" fillId="2" borderId="0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n>
                  <a:noFill/>
                </a:ln>
                <a:solidFill>
                  <a:srgbClr val="002060"/>
                </a:solidFill>
              </a:rPr>
              <a:t>Payback</a:t>
            </a:r>
            <a:r>
              <a:rPr lang="en-IN" baseline="0">
                <a:ln>
                  <a:noFill/>
                </a:ln>
                <a:solidFill>
                  <a:srgbClr val="002060"/>
                </a:solidFill>
              </a:rPr>
              <a:t> Period</a:t>
            </a:r>
            <a:endParaRPr lang="en-IN">
              <a:ln>
                <a:noFill/>
              </a:ln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6344382011370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5986214926502"/>
          <c:y val="0.14065142927768071"/>
          <c:w val="0.84892627159852474"/>
          <c:h val="0.66273151826544485"/>
        </c:manualLayout>
      </c:layout>
      <c:lineChart>
        <c:grouping val="standard"/>
        <c:varyColors val="0"/>
        <c:ser>
          <c:idx val="0"/>
          <c:order val="0"/>
          <c:tx>
            <c:strRef>
              <c:f>'Capital Budgeting'!$E$43</c:f>
              <c:strCache>
                <c:ptCount val="1"/>
                <c:pt idx="0">
                  <c:v>Years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6350">
                <a:noFill/>
                <a:miter lim="800000"/>
              </a:ln>
              <a:effectLst/>
            </c:spPr>
          </c:marker>
          <c:val>
            <c:numRef>
              <c:f>'Capital Budgeting'!$F$43:$P$43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1-4021-9CD5-B080B3EE211B}"/>
            </c:ext>
          </c:extLst>
        </c:ser>
        <c:ser>
          <c:idx val="1"/>
          <c:order val="1"/>
          <c:tx>
            <c:strRef>
              <c:f>'Capital Budgeting'!$E$44</c:f>
              <c:strCache>
                <c:ptCount val="1"/>
                <c:pt idx="0">
                  <c:v>Cummulative Cash Flow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val>
            <c:numRef>
              <c:f>'Capital Budgeting'!$F$44:$P$44</c:f>
              <c:numCache>
                <c:formatCode>#,##0;[Red]#,##0</c:formatCode>
                <c:ptCount val="11"/>
                <c:pt idx="0">
                  <c:v>-200000000</c:v>
                </c:pt>
                <c:pt idx="1">
                  <c:v>-178720000</c:v>
                </c:pt>
                <c:pt idx="2">
                  <c:v>-155312000</c:v>
                </c:pt>
                <c:pt idx="3">
                  <c:v>-129563199.99999999</c:v>
                </c:pt>
                <c:pt idx="4">
                  <c:v>-101239519.99999997</c:v>
                </c:pt>
                <c:pt idx="5">
                  <c:v>-74332023.999999955</c:v>
                </c:pt>
                <c:pt idx="6">
                  <c:v>-48769902.799999945</c:v>
                </c:pt>
                <c:pt idx="7">
                  <c:v>-24485887.659999937</c:v>
                </c:pt>
                <c:pt idx="8">
                  <c:v>-1416073.2769999355</c:v>
                </c:pt>
                <c:pt idx="9">
                  <c:v>20500250.386850066</c:v>
                </c:pt>
                <c:pt idx="10">
                  <c:v>41320757.867507562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1-4021-9CD5-B080B3EE2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21936"/>
        <c:axId val="100516656"/>
      </c:lineChart>
      <c:catAx>
        <c:axId val="100521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16656"/>
        <c:crosses val="autoZero"/>
        <c:auto val="1"/>
        <c:lblAlgn val="ctr"/>
        <c:lblOffset val="100"/>
        <c:noMultiLvlLbl val="0"/>
      </c:catAx>
      <c:valAx>
        <c:axId val="100516656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[Red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193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 w="15875">
          <a:solidFill>
            <a:srgbClr val="002060"/>
          </a:solidFill>
        </a:ln>
        <a:effectLst/>
      </c:spPr>
    </c:plotArea>
    <c:legend>
      <c:legendPos val="b"/>
      <c:layout>
        <c:manualLayout>
          <c:xMode val="edge"/>
          <c:yMode val="edge"/>
          <c:x val="0.4043345203938713"/>
          <c:y val="0.64237247300051259"/>
          <c:w val="0.52508419839847842"/>
          <c:h val="9.2610805933618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2060"/>
                </a:solidFill>
              </a:rPr>
              <a:t>Annual Revenue &amp; Net Cash Flow</a:t>
            </a:r>
          </a:p>
        </c:rich>
      </c:tx>
      <c:layout>
        <c:manualLayout>
          <c:xMode val="edge"/>
          <c:yMode val="edge"/>
          <c:x val="0.281848800637608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080527402281049E-2"/>
          <c:y val="0.14088980183192584"/>
          <c:w val="0.90424413590981456"/>
          <c:h val="0.73195171893289612"/>
        </c:manualLayout>
      </c:layout>
      <c:barChart>
        <c:barDir val="col"/>
        <c:grouping val="clustered"/>
        <c:varyColors val="0"/>
        <c:ser>
          <c:idx val="0"/>
          <c:order val="0"/>
          <c:tx>
            <c:v>Annual Revenue (USD)</c:v>
          </c:tx>
          <c:spPr>
            <a:solidFill>
              <a:srgbClr val="002060">
                <a:alpha val="93000"/>
              </a:srgbClr>
            </a:solidFill>
            <a:ln>
              <a:solidFill>
                <a:schemeClr val="accent1"/>
              </a:solidFill>
            </a:ln>
            <a:effectLst>
              <a:softEdge rad="12700"/>
            </a:effectLst>
          </c:spPr>
          <c:invertIfNegative val="0"/>
          <c:dLbls>
            <c:delete val="1"/>
          </c:dLbls>
          <c:val>
            <c:numRef>
              <c:f>'Capital Budgeting'!$G$22:$P$22</c:f>
              <c:numCache>
                <c:formatCode>#,##0;[Red]#,##0</c:formatCode>
                <c:ptCount val="10"/>
                <c:pt idx="0">
                  <c:v>49000000</c:v>
                </c:pt>
                <c:pt idx="1">
                  <c:v>53900000.000000007</c:v>
                </c:pt>
                <c:pt idx="2">
                  <c:v>59290000.000000015</c:v>
                </c:pt>
                <c:pt idx="3">
                  <c:v>65219000.000000022</c:v>
                </c:pt>
                <c:pt idx="4">
                  <c:v>61958050.000000015</c:v>
                </c:pt>
                <c:pt idx="5">
                  <c:v>58860147.500000015</c:v>
                </c:pt>
                <c:pt idx="6">
                  <c:v>55917140.125000015</c:v>
                </c:pt>
                <c:pt idx="7">
                  <c:v>53121283.118750006</c:v>
                </c:pt>
                <c:pt idx="8">
                  <c:v>50465218.962812506</c:v>
                </c:pt>
                <c:pt idx="9">
                  <c:v>47941958.014671877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A-41E5-98E3-CB6DE25A11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1"/>
        <c:axId val="255254176"/>
        <c:axId val="255254656"/>
      </c:barChart>
      <c:lineChart>
        <c:grouping val="standard"/>
        <c:varyColors val="0"/>
        <c:ser>
          <c:idx val="1"/>
          <c:order val="1"/>
          <c:tx>
            <c:v>Net Cash Flow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delete val="1"/>
          </c:dLbls>
          <c:val>
            <c:numRef>
              <c:f>'Capital Budgeting'!$G$36:$P$36</c:f>
              <c:numCache>
                <c:formatCode>#,##0;[Red]#,##0</c:formatCode>
                <c:ptCount val="10"/>
                <c:pt idx="0">
                  <c:v>21280000</c:v>
                </c:pt>
                <c:pt idx="1">
                  <c:v>23408000.000000007</c:v>
                </c:pt>
                <c:pt idx="2">
                  <c:v>25748800.000000011</c:v>
                </c:pt>
                <c:pt idx="3">
                  <c:v>28323680.000000011</c:v>
                </c:pt>
                <c:pt idx="4">
                  <c:v>26907496.000000011</c:v>
                </c:pt>
                <c:pt idx="5">
                  <c:v>25562121.20000001</c:v>
                </c:pt>
                <c:pt idx="6">
                  <c:v>24284015.140000008</c:v>
                </c:pt>
                <c:pt idx="7">
                  <c:v>23069814.383000001</c:v>
                </c:pt>
                <c:pt idx="8">
                  <c:v>21916323.663850002</c:v>
                </c:pt>
                <c:pt idx="9">
                  <c:v>20820507.480657499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A-41E5-98E3-CB6DE25A11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254176"/>
        <c:axId val="255254656"/>
      </c:lineChart>
      <c:catAx>
        <c:axId val="2552541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54656"/>
        <c:crosses val="autoZero"/>
        <c:auto val="1"/>
        <c:lblAlgn val="ctr"/>
        <c:lblOffset val="100"/>
        <c:noMultiLvlLbl val="0"/>
      </c:catAx>
      <c:valAx>
        <c:axId val="2552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541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 w="15875">
          <a:solidFill>
            <a:srgbClr val="002060"/>
          </a:solidFill>
        </a:ln>
        <a:effectLst/>
      </c:spPr>
    </c:plotArea>
    <c:legend>
      <c:legendPos val="b"/>
      <c:layout>
        <c:manualLayout>
          <c:xMode val="edge"/>
          <c:yMode val="edge"/>
          <c:x val="0.54210853373753343"/>
          <c:y val="0.1657888553332994"/>
          <c:w val="0.43005754460086598"/>
          <c:h val="0.11834406440853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49544</xdr:colOff>
      <xdr:row>4</xdr:row>
      <xdr:rowOff>53227</xdr:rowOff>
    </xdr:from>
    <xdr:to>
      <xdr:col>7</xdr:col>
      <xdr:colOff>782056</xdr:colOff>
      <xdr:row>16</xdr:row>
      <xdr:rowOff>104583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4E7D2-BAF5-2661-095C-C14D862EC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228106</xdr:colOff>
      <xdr:row>4</xdr:row>
      <xdr:rowOff>27261</xdr:rowOff>
    </xdr:from>
    <xdr:to>
      <xdr:col>15</xdr:col>
      <xdr:colOff>834530</xdr:colOff>
      <xdr:row>16</xdr:row>
      <xdr:rowOff>90084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D0CB29-AC67-DFF2-F9FF-E28BA0726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3665-70ED-4CDE-9CC6-7C2D886C5C7F}">
  <sheetPr>
    <pageSetUpPr fitToPage="1"/>
  </sheetPr>
  <dimension ref="B2:P44"/>
  <sheetViews>
    <sheetView tabSelected="1" zoomScale="77" zoomScaleNormal="49" workbookViewId="0">
      <selection activeCell="E47" sqref="E47"/>
    </sheetView>
  </sheetViews>
  <sheetFormatPr defaultRowHeight="11.4" x14ac:dyDescent="0.2"/>
  <cols>
    <col min="1" max="1" width="2" style="1" customWidth="1"/>
    <col min="2" max="2" width="34.109375" style="1" bestFit="1" customWidth="1"/>
    <col min="3" max="3" width="24.88671875" style="1" bestFit="1" customWidth="1"/>
    <col min="4" max="4" width="4.77734375" style="1" customWidth="1"/>
    <col min="5" max="5" width="24.6640625" style="1" customWidth="1"/>
    <col min="6" max="6" width="20.77734375" style="1" bestFit="1" customWidth="1"/>
    <col min="7" max="7" width="13.5546875" style="1" bestFit="1" customWidth="1"/>
    <col min="8" max="8" width="13.44140625" style="1" bestFit="1" customWidth="1"/>
    <col min="9" max="11" width="13" style="1" bestFit="1" customWidth="1"/>
    <col min="12" max="13" width="12.5546875" style="1" bestFit="1" customWidth="1"/>
    <col min="14" max="15" width="13" style="1" bestFit="1" customWidth="1"/>
    <col min="16" max="16" width="15.88671875" style="1" bestFit="1" customWidth="1"/>
    <col min="17" max="17" width="17.88671875" style="1" bestFit="1" customWidth="1"/>
    <col min="18" max="19" width="8.88671875" style="1"/>
    <col min="20" max="20" width="14.6640625" style="1" bestFit="1" customWidth="1"/>
    <col min="21" max="21" width="14.21875" style="1" bestFit="1" customWidth="1"/>
    <col min="22" max="22" width="13.77734375" style="1" bestFit="1" customWidth="1"/>
    <col min="23" max="23" width="14.21875" style="1" bestFit="1" customWidth="1"/>
    <col min="24" max="24" width="9.6640625" style="1" bestFit="1" customWidth="1"/>
    <col min="25" max="29" width="9" style="1" bestFit="1" customWidth="1"/>
    <col min="30" max="30" width="9.6640625" style="1" bestFit="1" customWidth="1"/>
    <col min="31" max="16384" width="8.88671875" style="1"/>
  </cols>
  <sheetData>
    <row r="2" spans="2:16" ht="31.2" x14ac:dyDescent="0.3">
      <c r="B2" s="11" t="s">
        <v>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9" spans="2:16" ht="12" x14ac:dyDescent="0.25">
      <c r="B9" s="17" t="s">
        <v>24</v>
      </c>
      <c r="C9" s="21">
        <f>C25</f>
        <v>200000000</v>
      </c>
    </row>
    <row r="10" spans="2:16" ht="12" x14ac:dyDescent="0.25">
      <c r="B10" s="17" t="s">
        <v>13</v>
      </c>
      <c r="C10" s="18">
        <f>NPV(C30,G39:P39)+F36</f>
        <v>79626037.276800811</v>
      </c>
    </row>
    <row r="11" spans="2:16" ht="12" x14ac:dyDescent="0.25">
      <c r="B11" s="17" t="s">
        <v>14</v>
      </c>
      <c r="C11" s="19">
        <f>IRR(F39:P39)</f>
        <v>0.13523000437576838</v>
      </c>
    </row>
    <row r="12" spans="2:16" ht="12" x14ac:dyDescent="0.25">
      <c r="B12" s="17" t="s">
        <v>32</v>
      </c>
      <c r="C12" s="20">
        <f>N43+(-N44/O39)</f>
        <v>8.0646127196659219</v>
      </c>
    </row>
    <row r="20" spans="2:16" ht="13.2" x14ac:dyDescent="0.25">
      <c r="B20" s="13" t="s">
        <v>15</v>
      </c>
      <c r="C20" s="12"/>
      <c r="F20" s="10"/>
      <c r="G20" s="10">
        <v>1</v>
      </c>
      <c r="H20" s="10">
        <v>2</v>
      </c>
      <c r="I20" s="10">
        <v>3</v>
      </c>
      <c r="J20" s="10">
        <v>4</v>
      </c>
      <c r="K20" s="10">
        <v>5</v>
      </c>
      <c r="L20" s="10">
        <v>6</v>
      </c>
      <c r="M20" s="10">
        <v>7</v>
      </c>
      <c r="N20" s="10">
        <v>8</v>
      </c>
      <c r="O20" s="10">
        <v>9</v>
      </c>
      <c r="P20" s="10">
        <v>10</v>
      </c>
    </row>
    <row r="21" spans="2:16" x14ac:dyDescent="0.2">
      <c r="B21" s="1" t="s">
        <v>16</v>
      </c>
      <c r="C21" s="4">
        <v>700000</v>
      </c>
      <c r="F21" s="1" t="s">
        <v>5</v>
      </c>
      <c r="G21" s="4">
        <f>C21</f>
        <v>700000</v>
      </c>
      <c r="H21" s="4">
        <f>G21*(1+$C$22)</f>
        <v>770000.00000000012</v>
      </c>
      <c r="I21" s="4">
        <f>H21*(1+$C$22)</f>
        <v>847000.00000000023</v>
      </c>
      <c r="J21" s="4">
        <f>I21*(1+$C$22)</f>
        <v>931700.00000000035</v>
      </c>
      <c r="K21" s="4">
        <f>J21*(1-$C$23)</f>
        <v>885115.00000000023</v>
      </c>
      <c r="L21" s="4">
        <f>K21*(1-$C$23)</f>
        <v>840859.25000000023</v>
      </c>
      <c r="M21" s="4">
        <f>L21*(1-$C$23)</f>
        <v>798816.28750000021</v>
      </c>
      <c r="N21" s="4">
        <f>M21*(1-$C$23)</f>
        <v>758875.47312500014</v>
      </c>
      <c r="O21" s="4">
        <f>N21*(1-$C$23)</f>
        <v>720931.69946875004</v>
      </c>
      <c r="P21" s="4">
        <f>O21*(1-$C$23)</f>
        <v>684885.11449531256</v>
      </c>
    </row>
    <row r="22" spans="2:16" x14ac:dyDescent="0.2">
      <c r="B22" s="1" t="s">
        <v>8</v>
      </c>
      <c r="C22" s="2">
        <v>0.1</v>
      </c>
      <c r="F22" s="1" t="s">
        <v>25</v>
      </c>
      <c r="G22" s="6">
        <f>G21*$C$24</f>
        <v>49000000</v>
      </c>
      <c r="H22" s="6">
        <f>H21*$C$24</f>
        <v>53900000.000000007</v>
      </c>
      <c r="I22" s="6">
        <f>I21*$C$24</f>
        <v>59290000.000000015</v>
      </c>
      <c r="J22" s="6">
        <f>J21*$C$24</f>
        <v>65219000.000000022</v>
      </c>
      <c r="K22" s="6">
        <f>K21*$C$24</f>
        <v>61958050.000000015</v>
      </c>
      <c r="L22" s="6">
        <f>L21*$C$24</f>
        <v>58860147.500000015</v>
      </c>
      <c r="M22" s="6">
        <f>M21*$C$24</f>
        <v>55917140.125000015</v>
      </c>
      <c r="N22" s="6">
        <f>N21*$C$24</f>
        <v>53121283.118750006</v>
      </c>
      <c r="O22" s="6">
        <f>O21*$C$24</f>
        <v>50465218.962812506</v>
      </c>
      <c r="P22" s="6">
        <f>P21*$C$24</f>
        <v>47941958.014671877</v>
      </c>
    </row>
    <row r="23" spans="2:16" x14ac:dyDescent="0.2">
      <c r="B23" s="1" t="s">
        <v>9</v>
      </c>
      <c r="C23" s="2">
        <v>0.05</v>
      </c>
    </row>
    <row r="24" spans="2:16" x14ac:dyDescent="0.2">
      <c r="B24" s="1" t="s">
        <v>1</v>
      </c>
      <c r="C24" s="3">
        <v>70</v>
      </c>
    </row>
    <row r="25" spans="2:16" ht="12" x14ac:dyDescent="0.25">
      <c r="B25" s="1" t="s">
        <v>10</v>
      </c>
      <c r="C25" s="3">
        <v>200000000</v>
      </c>
      <c r="E25" s="10" t="s">
        <v>29</v>
      </c>
      <c r="F25" s="10">
        <v>0</v>
      </c>
      <c r="G25" s="10">
        <v>1</v>
      </c>
      <c r="H25" s="10">
        <v>2</v>
      </c>
      <c r="I25" s="10">
        <v>3</v>
      </c>
      <c r="J25" s="10">
        <v>4</v>
      </c>
      <c r="K25" s="10">
        <v>5</v>
      </c>
      <c r="L25" s="10">
        <v>6</v>
      </c>
      <c r="M25" s="10">
        <v>7</v>
      </c>
      <c r="N25" s="10">
        <v>8</v>
      </c>
      <c r="O25" s="10">
        <v>9</v>
      </c>
      <c r="P25" s="10">
        <v>10</v>
      </c>
    </row>
    <row r="26" spans="2:16" x14ac:dyDescent="0.2">
      <c r="B26" s="1" t="s">
        <v>0</v>
      </c>
      <c r="C26" s="3">
        <v>20</v>
      </c>
      <c r="E26" s="1" t="s">
        <v>6</v>
      </c>
      <c r="F26" s="6"/>
      <c r="G26" s="6">
        <f>G22</f>
        <v>49000000</v>
      </c>
      <c r="H26" s="6">
        <f>H22</f>
        <v>53900000.000000007</v>
      </c>
      <c r="I26" s="6">
        <f>I22</f>
        <v>59290000.000000015</v>
      </c>
      <c r="J26" s="6">
        <f>J22</f>
        <v>65219000.000000022</v>
      </c>
      <c r="K26" s="6">
        <f>K22</f>
        <v>61958050.000000015</v>
      </c>
      <c r="L26" s="6">
        <f>L22</f>
        <v>58860147.500000015</v>
      </c>
      <c r="M26" s="6">
        <f>M22</f>
        <v>55917140.125000015</v>
      </c>
      <c r="N26" s="6">
        <f>N22</f>
        <v>53121283.118750006</v>
      </c>
      <c r="O26" s="6">
        <f>O22</f>
        <v>50465218.962812506</v>
      </c>
      <c r="P26" s="6">
        <f>P22</f>
        <v>47941958.014671877</v>
      </c>
    </row>
    <row r="27" spans="2:16" x14ac:dyDescent="0.2">
      <c r="B27" s="1" t="s">
        <v>2</v>
      </c>
      <c r="C27" s="3">
        <v>5</v>
      </c>
      <c r="E27" s="1" t="s">
        <v>18</v>
      </c>
      <c r="F27" s="6"/>
      <c r="G27" s="6">
        <f>-(G26*$C$28)</f>
        <v>-4900000</v>
      </c>
      <c r="H27" s="6">
        <f>-(H26*$C$28)</f>
        <v>-5390000.0000000009</v>
      </c>
      <c r="I27" s="6">
        <f>-(I26*$C$28)</f>
        <v>-5929000.0000000019</v>
      </c>
      <c r="J27" s="6">
        <f>-(J26*$C$28)</f>
        <v>-6521900.0000000028</v>
      </c>
      <c r="K27" s="6">
        <f>-(K26*$C$28)</f>
        <v>-6195805.0000000019</v>
      </c>
      <c r="L27" s="6">
        <f>-(L26*$C$28)</f>
        <v>-5886014.7500000019</v>
      </c>
      <c r="M27" s="6">
        <f>-(M26*$C$28)</f>
        <v>-5591714.012500002</v>
      </c>
      <c r="N27" s="6">
        <f>-(N26*$C$28)</f>
        <v>-5312128.3118750006</v>
      </c>
      <c r="O27" s="6">
        <f>-(O26*$C$28)</f>
        <v>-5046521.8962812508</v>
      </c>
      <c r="P27" s="6">
        <f>-(P26*$C$28)</f>
        <v>-4794195.8014671877</v>
      </c>
    </row>
    <row r="28" spans="2:16" x14ac:dyDescent="0.2">
      <c r="B28" s="1" t="s">
        <v>3</v>
      </c>
      <c r="C28" s="5">
        <v>0.1</v>
      </c>
    </row>
    <row r="29" spans="2:16" x14ac:dyDescent="0.2">
      <c r="B29" s="1" t="s">
        <v>17</v>
      </c>
      <c r="C29" s="2">
        <v>0.2</v>
      </c>
      <c r="E29" s="14" t="s">
        <v>19</v>
      </c>
      <c r="F29" s="15"/>
      <c r="G29" s="15">
        <f t="shared" ref="G29:P29" si="0">G26+G27</f>
        <v>44100000</v>
      </c>
      <c r="H29" s="15">
        <f t="shared" si="0"/>
        <v>48510000.000000007</v>
      </c>
      <c r="I29" s="15">
        <f t="shared" si="0"/>
        <v>53361000.000000015</v>
      </c>
      <c r="J29" s="15">
        <f t="shared" si="0"/>
        <v>58697100.000000022</v>
      </c>
      <c r="K29" s="15">
        <f t="shared" si="0"/>
        <v>55762245.000000015</v>
      </c>
      <c r="L29" s="15">
        <f t="shared" si="0"/>
        <v>52974132.750000015</v>
      </c>
      <c r="M29" s="15">
        <f t="shared" si="0"/>
        <v>50325426.112500012</v>
      </c>
      <c r="N29" s="15">
        <f t="shared" si="0"/>
        <v>47809154.806875005</v>
      </c>
      <c r="O29" s="15">
        <f t="shared" si="0"/>
        <v>45418697.066531256</v>
      </c>
      <c r="P29" s="15">
        <f t="shared" si="0"/>
        <v>43147762.213204689</v>
      </c>
    </row>
    <row r="30" spans="2:16" x14ac:dyDescent="0.2">
      <c r="B30" s="1" t="s">
        <v>4</v>
      </c>
      <c r="C30" s="2">
        <v>0.08</v>
      </c>
      <c r="E30" s="1" t="s">
        <v>20</v>
      </c>
      <c r="F30" s="6"/>
      <c r="G30" s="6">
        <f>-($C$26*G21)</f>
        <v>-14000000</v>
      </c>
      <c r="H30" s="6">
        <f>-($C$26*H21)</f>
        <v>-15400000.000000002</v>
      </c>
      <c r="I30" s="6">
        <f>-($C$26*I21)</f>
        <v>-16940000.000000004</v>
      </c>
      <c r="J30" s="6">
        <f>-($C$26*J21)</f>
        <v>-18634000.000000007</v>
      </c>
      <c r="K30" s="6">
        <f>-($C$26*K21)</f>
        <v>-17702300.000000004</v>
      </c>
      <c r="L30" s="6">
        <f>-($C$26*L21)</f>
        <v>-16817185.000000004</v>
      </c>
      <c r="M30" s="6">
        <f>-($C$26*M21)</f>
        <v>-15976325.750000004</v>
      </c>
      <c r="N30" s="6">
        <f>-($C$26*N21)</f>
        <v>-15177509.462500002</v>
      </c>
      <c r="O30" s="6">
        <f>-($C$26*O21)</f>
        <v>-14418633.989375001</v>
      </c>
      <c r="P30" s="6">
        <f>-($C$26*P21)</f>
        <v>-13697702.289906252</v>
      </c>
    </row>
    <row r="31" spans="2:16" x14ac:dyDescent="0.2">
      <c r="B31" s="1" t="s">
        <v>28</v>
      </c>
      <c r="C31" s="2">
        <v>0.03</v>
      </c>
      <c r="E31" s="1" t="s">
        <v>21</v>
      </c>
      <c r="F31" s="6"/>
      <c r="G31" s="6">
        <f>-($C$27*G21)</f>
        <v>-3500000</v>
      </c>
      <c r="H31" s="6">
        <f>-($C$27*H21)</f>
        <v>-3850000.0000000005</v>
      </c>
      <c r="I31" s="6">
        <f>-($C$27*I21)</f>
        <v>-4235000.0000000009</v>
      </c>
      <c r="J31" s="6">
        <f>-($C$27*J21)</f>
        <v>-4658500.0000000019</v>
      </c>
      <c r="K31" s="6">
        <f>-($C$27*K21)</f>
        <v>-4425575.0000000009</v>
      </c>
      <c r="L31" s="6">
        <f>-($C$27*L21)</f>
        <v>-4204296.2500000009</v>
      </c>
      <c r="M31" s="6">
        <f>-($C$27*M21)</f>
        <v>-3994081.4375000009</v>
      </c>
      <c r="N31" s="6">
        <f>-($C$27*N21)</f>
        <v>-3794377.3656250006</v>
      </c>
      <c r="O31" s="6">
        <f>-($C$27*O21)</f>
        <v>-3604658.4973437502</v>
      </c>
      <c r="P31" s="6">
        <f>-($C$27*P21)</f>
        <v>-3424425.572476563</v>
      </c>
    </row>
    <row r="33" spans="2:16" x14ac:dyDescent="0.2">
      <c r="E33" s="14" t="s">
        <v>22</v>
      </c>
      <c r="F33" s="15"/>
      <c r="G33" s="15">
        <f t="shared" ref="G33:P33" si="1">G29+G30+G31</f>
        <v>26600000</v>
      </c>
      <c r="H33" s="15">
        <f t="shared" si="1"/>
        <v>29260000.000000007</v>
      </c>
      <c r="I33" s="15">
        <f t="shared" si="1"/>
        <v>32186000.000000015</v>
      </c>
      <c r="J33" s="15">
        <f t="shared" si="1"/>
        <v>35404600.000000015</v>
      </c>
      <c r="K33" s="15">
        <f t="shared" si="1"/>
        <v>33634370.000000015</v>
      </c>
      <c r="L33" s="15">
        <f t="shared" si="1"/>
        <v>31952651.500000015</v>
      </c>
      <c r="M33" s="15">
        <f t="shared" si="1"/>
        <v>30355018.925000012</v>
      </c>
      <c r="N33" s="15">
        <f t="shared" si="1"/>
        <v>28837267.978750002</v>
      </c>
      <c r="O33" s="15">
        <f t="shared" si="1"/>
        <v>27395404.579812504</v>
      </c>
      <c r="P33" s="15">
        <f t="shared" si="1"/>
        <v>26025634.350821875</v>
      </c>
    </row>
    <row r="34" spans="2:16" x14ac:dyDescent="0.2">
      <c r="E34" s="1" t="s">
        <v>23</v>
      </c>
      <c r="F34" s="6"/>
      <c r="G34" s="6">
        <f>-($C$29*G33)</f>
        <v>-5320000</v>
      </c>
      <c r="H34" s="6">
        <f>-($C$29*H33)</f>
        <v>-5852000.0000000019</v>
      </c>
      <c r="I34" s="6">
        <f>-($C$29*I33)</f>
        <v>-6437200.0000000037</v>
      </c>
      <c r="J34" s="6">
        <f>-($C$29*J33)</f>
        <v>-7080920.0000000037</v>
      </c>
      <c r="K34" s="6">
        <f>-($C$29*K33)</f>
        <v>-6726874.0000000037</v>
      </c>
      <c r="L34" s="6">
        <f>-($C$29*L33)</f>
        <v>-6390530.3000000035</v>
      </c>
      <c r="M34" s="6">
        <f>-($C$29*M33)</f>
        <v>-6071003.7850000029</v>
      </c>
      <c r="N34" s="6">
        <f>-($C$29*N33)</f>
        <v>-5767453.5957500003</v>
      </c>
      <c r="O34" s="6">
        <f>-($C$29*O33)</f>
        <v>-5479080.9159625014</v>
      </c>
      <c r="P34" s="6">
        <f>-($C$29*P33)</f>
        <v>-5205126.8701643758</v>
      </c>
    </row>
    <row r="35" spans="2:16" x14ac:dyDescent="0.2"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ht="12" thickBot="1" x14ac:dyDescent="0.25">
      <c r="E36" s="8" t="s">
        <v>7</v>
      </c>
      <c r="F36" s="9">
        <f>-(C25)</f>
        <v>-200000000</v>
      </c>
      <c r="G36" s="9">
        <f t="shared" ref="G36:O36" si="2">G33+G34</f>
        <v>21280000</v>
      </c>
      <c r="H36" s="9">
        <f t="shared" si="2"/>
        <v>23408000.000000007</v>
      </c>
      <c r="I36" s="9">
        <f t="shared" si="2"/>
        <v>25748800.000000011</v>
      </c>
      <c r="J36" s="9">
        <f t="shared" si="2"/>
        <v>28323680.000000011</v>
      </c>
      <c r="K36" s="9">
        <f t="shared" si="2"/>
        <v>26907496.000000011</v>
      </c>
      <c r="L36" s="9">
        <f t="shared" si="2"/>
        <v>25562121.20000001</v>
      </c>
      <c r="M36" s="9">
        <f t="shared" si="2"/>
        <v>24284015.140000008</v>
      </c>
      <c r="N36" s="9">
        <f t="shared" si="2"/>
        <v>23069814.383000001</v>
      </c>
      <c r="O36" s="9">
        <f t="shared" si="2"/>
        <v>21916323.663850002</v>
      </c>
      <c r="P36" s="9">
        <f>P33+P34+P35</f>
        <v>20820507.480657499</v>
      </c>
    </row>
    <row r="37" spans="2:16" ht="12" thickTop="1" x14ac:dyDescent="0.2"/>
    <row r="38" spans="2:16" x14ac:dyDescent="0.2">
      <c r="E38" s="1" t="s">
        <v>12</v>
      </c>
      <c r="P38" s="6">
        <f>C43</f>
        <v>252448653.23297217</v>
      </c>
    </row>
    <row r="39" spans="2:16" x14ac:dyDescent="0.2">
      <c r="E39" s="14" t="s">
        <v>30</v>
      </c>
      <c r="F39" s="15">
        <f>F36+F38</f>
        <v>-200000000</v>
      </c>
      <c r="G39" s="15">
        <f t="shared" ref="G39:P39" si="3">G36+G38</f>
        <v>21280000</v>
      </c>
      <c r="H39" s="15">
        <f t="shared" si="3"/>
        <v>23408000.000000007</v>
      </c>
      <c r="I39" s="15">
        <f t="shared" si="3"/>
        <v>25748800.000000011</v>
      </c>
      <c r="J39" s="15">
        <f t="shared" si="3"/>
        <v>28323680.000000011</v>
      </c>
      <c r="K39" s="15">
        <f t="shared" si="3"/>
        <v>26907496.000000011</v>
      </c>
      <c r="L39" s="15">
        <f t="shared" si="3"/>
        <v>25562121.20000001</v>
      </c>
      <c r="M39" s="15">
        <f t="shared" si="3"/>
        <v>24284015.140000008</v>
      </c>
      <c r="N39" s="15">
        <f t="shared" si="3"/>
        <v>23069814.383000001</v>
      </c>
      <c r="O39" s="15">
        <f t="shared" si="3"/>
        <v>21916323.663850002</v>
      </c>
      <c r="P39" s="15">
        <f t="shared" si="3"/>
        <v>273269160.71362966</v>
      </c>
    </row>
    <row r="42" spans="2:16" ht="12" x14ac:dyDescent="0.25">
      <c r="B42" s="10" t="s">
        <v>12</v>
      </c>
      <c r="C42" s="12"/>
    </row>
    <row r="43" spans="2:16" ht="12" x14ac:dyDescent="0.25">
      <c r="B43" s="1" t="s">
        <v>27</v>
      </c>
      <c r="C43" s="6">
        <f>P36*(1+(-C31))/C30-(-C31)</f>
        <v>252448653.23297217</v>
      </c>
      <c r="E43" s="10" t="s">
        <v>31</v>
      </c>
      <c r="F43" s="10">
        <v>0</v>
      </c>
      <c r="G43" s="10">
        <v>1</v>
      </c>
      <c r="H43" s="10">
        <v>2</v>
      </c>
      <c r="I43" s="10">
        <v>3</v>
      </c>
      <c r="J43" s="10">
        <v>4</v>
      </c>
      <c r="K43" s="10">
        <v>5</v>
      </c>
      <c r="L43" s="10">
        <v>6</v>
      </c>
      <c r="M43" s="10">
        <v>7</v>
      </c>
      <c r="N43" s="10">
        <v>8</v>
      </c>
      <c r="O43" s="10">
        <v>9</v>
      </c>
      <c r="P43" s="10">
        <v>10</v>
      </c>
    </row>
    <row r="44" spans="2:16" x14ac:dyDescent="0.2">
      <c r="B44" s="1" t="s">
        <v>11</v>
      </c>
      <c r="C44" s="6">
        <f>C43/(1+C30)^10</f>
        <v>116932572.25326128</v>
      </c>
      <c r="E44" s="1" t="s">
        <v>26</v>
      </c>
      <c r="F44" s="6">
        <f>F36</f>
        <v>-200000000</v>
      </c>
      <c r="G44" s="6">
        <f t="shared" ref="G44:P44" si="4">F44+G36</f>
        <v>-178720000</v>
      </c>
      <c r="H44" s="6">
        <f t="shared" si="4"/>
        <v>-155312000</v>
      </c>
      <c r="I44" s="6">
        <f t="shared" si="4"/>
        <v>-129563199.99999999</v>
      </c>
      <c r="J44" s="6">
        <f t="shared" si="4"/>
        <v>-101239519.99999997</v>
      </c>
      <c r="K44" s="6">
        <f t="shared" si="4"/>
        <v>-74332023.999999955</v>
      </c>
      <c r="L44" s="7">
        <f t="shared" si="4"/>
        <v>-48769902.799999945</v>
      </c>
      <c r="M44" s="6">
        <f t="shared" si="4"/>
        <v>-24485887.659999937</v>
      </c>
      <c r="N44" s="6">
        <f t="shared" si="4"/>
        <v>-1416073.2769999355</v>
      </c>
      <c r="O44" s="6">
        <f t="shared" si="4"/>
        <v>20500250.386850066</v>
      </c>
      <c r="P44" s="16">
        <f t="shared" si="4"/>
        <v>41320757.867507562</v>
      </c>
    </row>
  </sheetData>
  <conditionalFormatting sqref="G44:P44">
    <cfRule type="cellIs" dxfId="0" priority="1" stopIfTrue="1" operator="greaterThan">
      <formula>0</formula>
    </cfRule>
    <cfRule type="expression" priority="2">
      <formula>"&gt;0"</formula>
    </cfRule>
  </conditionalFormatting>
  <pageMargins left="0.7" right="0.7" top="0.75" bottom="0.75" header="0.3" footer="0.3"/>
  <pageSetup paperSize="9" scale="5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Budgeting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Jose</dc:creator>
  <cp:lastModifiedBy>Benjamin Jose</cp:lastModifiedBy>
  <cp:lastPrinted>2024-11-10T09:49:55Z</cp:lastPrinted>
  <dcterms:created xsi:type="dcterms:W3CDTF">2024-11-09T00:31:26Z</dcterms:created>
  <dcterms:modified xsi:type="dcterms:W3CDTF">2024-11-12T05:52:54Z</dcterms:modified>
</cp:coreProperties>
</file>