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esktop\DCF\"/>
    </mc:Choice>
  </mc:AlternateContent>
  <xr:revisionPtr revIDLastSave="0" documentId="13_ncr:1_{86E4DE09-3987-4BEA-B3BB-9312D2229558}" xr6:coauthVersionLast="47" xr6:coauthVersionMax="47" xr10:uidLastSave="{00000000-0000-0000-0000-000000000000}"/>
  <bookViews>
    <workbookView xWindow="-108" yWindow="-108" windowWidth="23256" windowHeight="12456" xr2:uid="{97BCB5FA-F650-43A2-86F3-C49E1F8A852D}"/>
  </bookViews>
  <sheets>
    <sheet name="DCF" sheetId="2" r:id="rId1"/>
    <sheet name="Comps" sheetId="8" r:id="rId2"/>
    <sheet name="WACC" sheetId="4" r:id="rId3"/>
    <sheet name="Beta &amp; Market Return" sheetId="6" r:id="rId4"/>
    <sheet name="Data --&gt;" sheetId="9" r:id="rId5"/>
    <sheet name="Historical Statements" sheetId="1" r:id="rId6"/>
    <sheet name="Data (Comps)" sheetId="7" r:id="rId7"/>
  </sheets>
  <definedNames>
    <definedName name="Beta">'Beta &amp; Market Return'!$C$11</definedName>
    <definedName name="CostofDebt">WACC!$C$21</definedName>
    <definedName name="CostofEquity">WACC!$C$17</definedName>
    <definedName name="DebtShare">WACC!$C$20</definedName>
    <definedName name="EquityShare">WACC!$C$16</definedName>
    <definedName name="MarketReturns">'Beta &amp; Market Return'!$C$26</definedName>
    <definedName name="RiskFreeRate">WACC!$C$9</definedName>
    <definedName name="TaxRate">DCF!$C$16</definedName>
    <definedName name="TGR">DCF!$C$15</definedName>
    <definedName name="WACC">WACC!$C$25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8" l="1"/>
  <c r="N12" i="8"/>
  <c r="N10" i="8"/>
  <c r="L10" i="8"/>
  <c r="K11" i="8"/>
  <c r="O11" i="8" s="1"/>
  <c r="L11" i="8"/>
  <c r="L12" i="8"/>
  <c r="P12" i="8" s="1"/>
  <c r="J11" i="8"/>
  <c r="J12" i="8"/>
  <c r="J10" i="8"/>
  <c r="E11" i="8"/>
  <c r="F11" i="8"/>
  <c r="G11" i="8"/>
  <c r="H11" i="8"/>
  <c r="N11" i="8" s="1"/>
  <c r="E12" i="8"/>
  <c r="F12" i="8"/>
  <c r="G12" i="8"/>
  <c r="H12" i="8"/>
  <c r="O12" i="8" s="1"/>
  <c r="O19" i="8" s="1"/>
  <c r="F10" i="8"/>
  <c r="G10" i="8"/>
  <c r="P10" i="8" s="1"/>
  <c r="H10" i="8"/>
  <c r="E10" i="8"/>
  <c r="K8" i="8"/>
  <c r="L8" i="8"/>
  <c r="J8" i="8"/>
  <c r="H4" i="7"/>
  <c r="K10" i="8" s="1"/>
  <c r="O10" i="8" s="1"/>
  <c r="O17" i="8" s="1"/>
  <c r="H5" i="7"/>
  <c r="H6" i="7"/>
  <c r="K12" i="8" s="1"/>
  <c r="H3" i="7"/>
  <c r="F8" i="8"/>
  <c r="O25" i="8" s="1"/>
  <c r="G8" i="8"/>
  <c r="P8" i="8" s="1"/>
  <c r="H8" i="8"/>
  <c r="N23" i="8" s="1"/>
  <c r="E8" i="8"/>
  <c r="P16" i="8" l="1"/>
  <c r="P24" i="8" s="1"/>
  <c r="P19" i="8"/>
  <c r="P15" i="8"/>
  <c r="O14" i="8"/>
  <c r="N25" i="8"/>
  <c r="O8" i="8"/>
  <c r="N17" i="8"/>
  <c r="O23" i="8"/>
  <c r="N19" i="8"/>
  <c r="N18" i="8"/>
  <c r="P25" i="8"/>
  <c r="N8" i="8"/>
  <c r="N14" i="8"/>
  <c r="P17" i="8"/>
  <c r="O18" i="8"/>
  <c r="O16" i="8"/>
  <c r="O22" i="8" s="1"/>
  <c r="O24" i="8" s="1"/>
  <c r="O26" i="8" s="1"/>
  <c r="P14" i="8"/>
  <c r="O15" i="8"/>
  <c r="P18" i="8"/>
  <c r="N16" i="8"/>
  <c r="N22" i="8" s="1"/>
  <c r="N24" i="8" s="1"/>
  <c r="N26" i="8" s="1"/>
  <c r="N15" i="8"/>
  <c r="P26" i="8" l="1"/>
  <c r="C6" i="2" l="1"/>
  <c r="D18" i="2" l="1"/>
  <c r="E18" i="2" s="1"/>
  <c r="C13" i="4"/>
  <c r="I50" i="2"/>
  <c r="J50" i="2"/>
  <c r="K50" i="2"/>
  <c r="L50" i="2"/>
  <c r="M50" i="2"/>
  <c r="H50" i="2"/>
  <c r="I27" i="2"/>
  <c r="J27" i="2"/>
  <c r="K27" i="2"/>
  <c r="L27" i="2"/>
  <c r="M27" i="2"/>
  <c r="H27" i="2"/>
  <c r="M10" i="2"/>
  <c r="M9" i="2"/>
  <c r="D38" i="2"/>
  <c r="E38" i="2"/>
  <c r="F38" i="2"/>
  <c r="G38" i="2"/>
  <c r="C38" i="2"/>
  <c r="C26" i="6"/>
  <c r="C10" i="4" s="1"/>
  <c r="C9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7" i="6"/>
  <c r="C19" i="4"/>
  <c r="C23" i="4" s="1"/>
  <c r="C20" i="4" s="1"/>
  <c r="H65" i="2"/>
  <c r="C11" i="4" l="1"/>
  <c r="H38" i="2"/>
  <c r="L38" i="2" s="1"/>
  <c r="C5" i="6"/>
  <c r="C11" i="6" s="1"/>
  <c r="C12" i="4" s="1"/>
  <c r="C16" i="4"/>
  <c r="H39" i="2" l="1"/>
  <c r="J38" i="2"/>
  <c r="K38" i="2"/>
  <c r="M38" i="2"/>
  <c r="I38" i="2"/>
  <c r="C17" i="4"/>
  <c r="H66" i="2"/>
  <c r="I66" i="2"/>
  <c r="J39" i="2" l="1"/>
  <c r="I39" i="2"/>
  <c r="J66" i="2"/>
  <c r="K66" i="2" l="1"/>
  <c r="L66" i="2" l="1"/>
  <c r="K44" i="2"/>
  <c r="L44" i="2"/>
  <c r="M44" i="2"/>
  <c r="I43" i="2"/>
  <c r="J43" i="2"/>
  <c r="H43" i="2"/>
  <c r="J32" i="2"/>
  <c r="J53" i="2" s="1"/>
  <c r="J55" i="2"/>
  <c r="I55" i="2"/>
  <c r="J35" i="2"/>
  <c r="J54" i="2" s="1"/>
  <c r="K20" i="2"/>
  <c r="I21" i="2"/>
  <c r="I44" i="2" s="1"/>
  <c r="J21" i="2"/>
  <c r="J44" i="2" s="1"/>
  <c r="D41" i="2"/>
  <c r="E41" i="2" s="1"/>
  <c r="F41" i="2" s="1"/>
  <c r="G41" i="2" s="1"/>
  <c r="H41" i="2" s="1"/>
  <c r="I41" i="2" s="1"/>
  <c r="J41" i="2" s="1"/>
  <c r="K41" i="2" s="1"/>
  <c r="L41" i="2" s="1"/>
  <c r="M41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M66" i="2" l="1"/>
  <c r="L20" i="2"/>
  <c r="L43" i="2" s="1"/>
  <c r="K39" i="2"/>
  <c r="K43" i="2"/>
  <c r="K35" i="2"/>
  <c r="K54" i="2" s="1"/>
  <c r="K55" i="2"/>
  <c r="L55" i="2"/>
  <c r="K32" i="2"/>
  <c r="K53" i="2" s="1"/>
  <c r="L32" i="2" l="1"/>
  <c r="L53" i="2" s="1"/>
  <c r="M20" i="2"/>
  <c r="L35" i="2"/>
  <c r="L54" i="2" s="1"/>
  <c r="L39" i="2"/>
  <c r="M55" i="2"/>
  <c r="M39" i="2" l="1"/>
  <c r="M35" i="2"/>
  <c r="M54" i="2" s="1"/>
  <c r="M43" i="2"/>
  <c r="M32" i="2"/>
  <c r="M53" i="2" s="1"/>
  <c r="D35" i="2" l="1"/>
  <c r="E35" i="2"/>
  <c r="F35" i="2"/>
  <c r="G35" i="2"/>
  <c r="C35" i="2"/>
  <c r="D23" i="2"/>
  <c r="E23" i="2"/>
  <c r="F23" i="2"/>
  <c r="G23" i="2"/>
  <c r="C23" i="2"/>
  <c r="D20" i="2"/>
  <c r="E20" i="2"/>
  <c r="F20" i="2"/>
  <c r="G20" i="2"/>
  <c r="C20" i="2"/>
  <c r="H21" i="2" l="1"/>
  <c r="H44" i="2" s="1"/>
  <c r="F39" i="2"/>
  <c r="D36" i="2"/>
  <c r="F36" i="2"/>
  <c r="C36" i="2"/>
  <c r="G39" i="2"/>
  <c r="E39" i="2"/>
  <c r="E36" i="2"/>
  <c r="C39" i="2"/>
  <c r="D39" i="2"/>
  <c r="G36" i="2"/>
  <c r="G21" i="2"/>
  <c r="D24" i="2"/>
  <c r="F21" i="2"/>
  <c r="G24" i="2"/>
  <c r="F24" i="2"/>
  <c r="D21" i="2"/>
  <c r="E24" i="2"/>
  <c r="E21" i="2"/>
  <c r="C24" i="2"/>
  <c r="H24" i="2" l="1"/>
  <c r="H55" i="2"/>
  <c r="H36" i="2"/>
  <c r="H35" i="2" l="1"/>
  <c r="H54" i="2" s="1"/>
  <c r="I36" i="2"/>
  <c r="I35" i="2" s="1"/>
  <c r="I54" i="2" s="1"/>
  <c r="L24" i="2"/>
  <c r="K24" i="2"/>
  <c r="M24" i="2"/>
  <c r="J24" i="2"/>
  <c r="I24" i="2"/>
  <c r="H23" i="2"/>
  <c r="H47" i="2"/>
  <c r="F18" i="2"/>
  <c r="G18" i="2" s="1"/>
  <c r="H18" i="2" s="1"/>
  <c r="D15" i="1"/>
  <c r="E15" i="1"/>
  <c r="F15" i="1"/>
  <c r="G15" i="1"/>
  <c r="C21" i="4" s="1"/>
  <c r="C25" i="4" s="1"/>
  <c r="C14" i="2" s="1"/>
  <c r="C15" i="1"/>
  <c r="D13" i="1"/>
  <c r="D32" i="2" s="1"/>
  <c r="D33" i="2" s="1"/>
  <c r="E13" i="1"/>
  <c r="E32" i="2" s="1"/>
  <c r="E33" i="2" s="1"/>
  <c r="F13" i="1"/>
  <c r="F32" i="2" s="1"/>
  <c r="F33" i="2" s="1"/>
  <c r="G13" i="1"/>
  <c r="G32" i="2" s="1"/>
  <c r="G33" i="2" s="1"/>
  <c r="C13" i="1"/>
  <c r="C32" i="2" s="1"/>
  <c r="C33" i="2" s="1"/>
  <c r="D17" i="1"/>
  <c r="D26" i="2" s="1"/>
  <c r="E17" i="1"/>
  <c r="E26" i="2" s="1"/>
  <c r="F17" i="1"/>
  <c r="F26" i="2" s="1"/>
  <c r="G17" i="1"/>
  <c r="G26" i="2" s="1"/>
  <c r="C17" i="1"/>
  <c r="C26" i="2" s="1"/>
  <c r="H26" i="2" l="1"/>
  <c r="H46" i="2"/>
  <c r="K47" i="2"/>
  <c r="K23" i="2"/>
  <c r="I47" i="2"/>
  <c r="I23" i="2"/>
  <c r="L47" i="2"/>
  <c r="L23" i="2"/>
  <c r="J47" i="2"/>
  <c r="J23" i="2"/>
  <c r="M47" i="2"/>
  <c r="M23" i="2"/>
  <c r="H33" i="2"/>
  <c r="I33" i="2" s="1"/>
  <c r="I32" i="2" s="1"/>
  <c r="I53" i="2" s="1"/>
  <c r="F28" i="2"/>
  <c r="F27" i="2"/>
  <c r="E27" i="2"/>
  <c r="E28" i="2"/>
  <c r="C28" i="2"/>
  <c r="C27" i="2"/>
  <c r="D27" i="2"/>
  <c r="D28" i="2"/>
  <c r="G28" i="2"/>
  <c r="G27" i="2"/>
  <c r="I18" i="2"/>
  <c r="L46" i="2" l="1"/>
  <c r="L26" i="2"/>
  <c r="K46" i="2"/>
  <c r="K26" i="2"/>
  <c r="J26" i="2"/>
  <c r="J46" i="2"/>
  <c r="I26" i="2"/>
  <c r="I46" i="2"/>
  <c r="M46" i="2"/>
  <c r="M26" i="2"/>
  <c r="H28" i="2"/>
  <c r="H49" i="2"/>
  <c r="H52" i="2" s="1"/>
  <c r="J18" i="2"/>
  <c r="K18" i="2" s="1"/>
  <c r="I28" i="2" l="1"/>
  <c r="I49" i="2"/>
  <c r="I52" i="2" s="1"/>
  <c r="I57" i="2" s="1"/>
  <c r="I58" i="2" s="1"/>
  <c r="K28" i="2"/>
  <c r="K49" i="2"/>
  <c r="K52" i="2" s="1"/>
  <c r="K57" i="2" s="1"/>
  <c r="K58" i="2" s="1"/>
  <c r="M49" i="2"/>
  <c r="M52" i="2" s="1"/>
  <c r="M57" i="2" s="1"/>
  <c r="M62" i="2" s="1"/>
  <c r="M28" i="2"/>
  <c r="L28" i="2"/>
  <c r="L49" i="2"/>
  <c r="L52" i="2" s="1"/>
  <c r="L57" i="2" s="1"/>
  <c r="L58" i="2" s="1"/>
  <c r="J28" i="2"/>
  <c r="J49" i="2"/>
  <c r="J52" i="2" s="1"/>
  <c r="J57" i="2" s="1"/>
  <c r="J58" i="2" s="1"/>
  <c r="L18" i="2"/>
  <c r="M18" i="2" s="1"/>
  <c r="M58" i="2" l="1"/>
  <c r="H32" i="2"/>
  <c r="H53" i="2" s="1"/>
  <c r="H57" i="2" s="1"/>
  <c r="M63" i="2" l="1"/>
  <c r="M6" i="2" s="1"/>
  <c r="H58" i="2"/>
  <c r="M60" i="2" s="1"/>
  <c r="M7" i="2" s="1"/>
  <c r="M8" i="2" l="1"/>
  <c r="M12" i="2" s="1"/>
  <c r="M15" i="2" s="1"/>
  <c r="C9" i="2" l="1"/>
  <c r="C11" i="2" s="1"/>
</calcChain>
</file>

<file path=xl/sharedStrings.xml><?xml version="1.0" encoding="utf-8"?>
<sst xmlns="http://schemas.openxmlformats.org/spreadsheetml/2006/main" count="268" uniqueCount="233">
  <si>
    <t>Particulars</t>
  </si>
  <si>
    <t>Revenue</t>
  </si>
  <si>
    <t>Revenue from Operations</t>
  </si>
  <si>
    <t>Other Revenue</t>
  </si>
  <si>
    <t>Expenses</t>
  </si>
  <si>
    <t>Selling, General &amp; Administrative Expenses</t>
  </si>
  <si>
    <t>Total Operating Expenses</t>
  </si>
  <si>
    <t>EBITDA</t>
  </si>
  <si>
    <t>EBIT</t>
  </si>
  <si>
    <t>Profit Before Tax</t>
  </si>
  <si>
    <t>Net Profit</t>
  </si>
  <si>
    <t>Taxes</t>
  </si>
  <si>
    <t>D&amp;A</t>
  </si>
  <si>
    <t>Income Statement</t>
  </si>
  <si>
    <t>Interest</t>
  </si>
  <si>
    <t>Year</t>
  </si>
  <si>
    <t>% growth</t>
  </si>
  <si>
    <t>-</t>
  </si>
  <si>
    <t>% of Revenue</t>
  </si>
  <si>
    <t>% Tax Rate</t>
  </si>
  <si>
    <t>NOPAT</t>
  </si>
  <si>
    <t>% of Sales</t>
  </si>
  <si>
    <t>CapEx</t>
  </si>
  <si>
    <t>Change in NWC</t>
  </si>
  <si>
    <t>Total Assets</t>
  </si>
  <si>
    <t>Current Assets</t>
  </si>
  <si>
    <t>Cash And Short Term Investments</t>
  </si>
  <si>
    <t>Total Receivables</t>
  </si>
  <si>
    <t>Total Inventory</t>
  </si>
  <si>
    <t>Other Current Assets</t>
  </si>
  <si>
    <t>Non Current Assets</t>
  </si>
  <si>
    <t>Net Loans</t>
  </si>
  <si>
    <t>Net Property, Plant &amp; Equipment</t>
  </si>
  <si>
    <t>Intangibles</t>
  </si>
  <si>
    <t>Long Term Investments</t>
  </si>
  <si>
    <t>Other Long Term Assets</t>
  </si>
  <si>
    <t>Other Assets</t>
  </si>
  <si>
    <t>Total Liabilities</t>
  </si>
  <si>
    <t>Current Liabilities</t>
  </si>
  <si>
    <t>Accounts Payable</t>
  </si>
  <si>
    <t>Total Deposits</t>
  </si>
  <si>
    <t>Total Other Current Liabilities</t>
  </si>
  <si>
    <t>Non Current Liabilities</t>
  </si>
  <si>
    <t>Long Term Debt</t>
  </si>
  <si>
    <t>Deferred Income Tax Liability</t>
  </si>
  <si>
    <t>Other Liabilities Total</t>
  </si>
  <si>
    <t>Total Equity</t>
  </si>
  <si>
    <t>x</t>
  </si>
  <si>
    <t>Balance Sheet</t>
  </si>
  <si>
    <t>Cash Flow Statement</t>
  </si>
  <si>
    <t>Opening Cash Balance</t>
  </si>
  <si>
    <t>Cash Flow From Operating Activities</t>
  </si>
  <si>
    <t>Change In Working Capital</t>
  </si>
  <si>
    <t>Cash Flow From Investing Activities</t>
  </si>
  <si>
    <t>Capital Expenditures</t>
  </si>
  <si>
    <t>Other Investing Cash Flow</t>
  </si>
  <si>
    <t>Cash Flow From Financing Activities</t>
  </si>
  <si>
    <t>Total Cash Dividends</t>
  </si>
  <si>
    <t>Net Issuance (Retirement) of Stocks</t>
  </si>
  <si>
    <t>Net Issuance (Retirement) of Debt</t>
  </si>
  <si>
    <t>Closing Cash Balance</t>
  </si>
  <si>
    <t>Net Change In Cash</t>
  </si>
  <si>
    <t>DCF</t>
  </si>
  <si>
    <t>Unlevered Free Cash Flow</t>
  </si>
  <si>
    <t>( + ) Depreciation &amp; Amortisation</t>
  </si>
  <si>
    <t>( - ) CapEx</t>
  </si>
  <si>
    <t>( - ) Change in NWC</t>
  </si>
  <si>
    <t>Ticker</t>
  </si>
  <si>
    <t>Date</t>
  </si>
  <si>
    <t>End of the Year</t>
  </si>
  <si>
    <t>Stub</t>
  </si>
  <si>
    <t>Discount Period</t>
  </si>
  <si>
    <t>PV of UFCF</t>
  </si>
  <si>
    <t>Beta</t>
  </si>
  <si>
    <t xml:space="preserve">WACC </t>
  </si>
  <si>
    <t>Borrowings -</t>
  </si>
  <si>
    <t>Long term Borrowings</t>
  </si>
  <si>
    <t>Short term Borrowings</t>
  </si>
  <si>
    <t>Lease Liabilities</t>
  </si>
  <si>
    <t>Other Borrowings</t>
  </si>
  <si>
    <t xml:space="preserve"> </t>
  </si>
  <si>
    <t>WACC = Equity % * Cost of Equity + Debt % * Cost of Debt * (1 - Tax Rate)</t>
  </si>
  <si>
    <t>Cost of Equity = Rfr + Beta * ERP</t>
  </si>
  <si>
    <t>ERP = Expected Market Return - Rfr</t>
  </si>
  <si>
    <t>WACC</t>
  </si>
  <si>
    <t>Market Return</t>
  </si>
  <si>
    <t>ERP</t>
  </si>
  <si>
    <t>Equity %</t>
  </si>
  <si>
    <t>Cost of Equity</t>
  </si>
  <si>
    <t>Tax Rate</t>
  </si>
  <si>
    <t>Debt</t>
  </si>
  <si>
    <t>Debt %</t>
  </si>
  <si>
    <t>Cost of Debt</t>
  </si>
  <si>
    <t>Total</t>
  </si>
  <si>
    <t>TGR</t>
  </si>
  <si>
    <t>TVSMOTOR</t>
  </si>
  <si>
    <t>Nov 28, 2024</t>
  </si>
  <si>
    <t>Jul 1, 2024</t>
  </si>
  <si>
    <t>Apr 1, 2024</t>
  </si>
  <si>
    <t>Jan 1, 2024</t>
  </si>
  <si>
    <t>May 1, 2023</t>
  </si>
  <si>
    <t xml:space="preserve">Adj Close </t>
  </si>
  <si>
    <t>Returns</t>
  </si>
  <si>
    <t>Nov 1, 2024</t>
  </si>
  <si>
    <t>Oct 1, 2024</t>
  </si>
  <si>
    <t>Sep 1, 2024</t>
  </si>
  <si>
    <t>Aug 1, 2024</t>
  </si>
  <si>
    <t>Jun 1, 2024</t>
  </si>
  <si>
    <t>May 1, 2024</t>
  </si>
  <si>
    <t>Mar 1, 2024</t>
  </si>
  <si>
    <t>Feb 1, 2024</t>
  </si>
  <si>
    <t>Dec 1, 2023</t>
  </si>
  <si>
    <t>Nov 1, 2023</t>
  </si>
  <si>
    <t>Oct 1, 2023</t>
  </si>
  <si>
    <t>Sep 1, 2023</t>
  </si>
  <si>
    <t>Aug 1, 2023</t>
  </si>
  <si>
    <t>Jul 1, 2023</t>
  </si>
  <si>
    <t>Jun 1, 2023</t>
  </si>
  <si>
    <t>Apr 1, 2023</t>
  </si>
  <si>
    <t>Mar 1, 2023</t>
  </si>
  <si>
    <t>Feb 1, 2023</t>
  </si>
  <si>
    <t>Jan 1, 2023</t>
  </si>
  <si>
    <t>Dec 1, 2022</t>
  </si>
  <si>
    <t>Nov 1, 2022</t>
  </si>
  <si>
    <t>Oct 1, 2022</t>
  </si>
  <si>
    <t>Sep 1, 2022</t>
  </si>
  <si>
    <t>Aug 1, 2022</t>
  </si>
  <si>
    <t>Jul 1, 2022</t>
  </si>
  <si>
    <t>Jun 1, 2022</t>
  </si>
  <si>
    <t>May 1, 2022</t>
  </si>
  <si>
    <t>Apr 1, 2022</t>
  </si>
  <si>
    <t>Mar 1, 2022</t>
  </si>
  <si>
    <t>Feb 1, 2022</t>
  </si>
  <si>
    <t>Jan 1, 2022</t>
  </si>
  <si>
    <t>Dec 1, 2021</t>
  </si>
  <si>
    <t>Nov 1, 2021</t>
  </si>
  <si>
    <t>Oct 1, 2021</t>
  </si>
  <si>
    <t>Sep 1, 2021</t>
  </si>
  <si>
    <t>Aug 1, 2021</t>
  </si>
  <si>
    <t>Jul 1, 2021</t>
  </si>
  <si>
    <t>Jun 1, 2021</t>
  </si>
  <si>
    <t>May 1, 2021</t>
  </si>
  <si>
    <t>Apr 1, 2021</t>
  </si>
  <si>
    <t>Mar 1, 2021</t>
  </si>
  <si>
    <t>Feb 1, 2021</t>
  </si>
  <si>
    <t>Jan 1, 2021</t>
  </si>
  <si>
    <t>Dec 1, 2020</t>
  </si>
  <si>
    <t>Nov 1, 2020</t>
  </si>
  <si>
    <t>Oct 1, 2020</t>
  </si>
  <si>
    <t>Sep 1, 2020</t>
  </si>
  <si>
    <t>Aug 1, 2020</t>
  </si>
  <si>
    <t>Jul 1, 2020</t>
  </si>
  <si>
    <t>Jun 1, 2020</t>
  </si>
  <si>
    <t>May 1, 2020</t>
  </si>
  <si>
    <t>Apr 1, 2020</t>
  </si>
  <si>
    <t>Mar 1, 2020</t>
  </si>
  <si>
    <t>Feb 1, 2020</t>
  </si>
  <si>
    <t>Jan 1, 2020</t>
  </si>
  <si>
    <t>Dec 1, 2019</t>
  </si>
  <si>
    <t>Levered Raw Beta</t>
  </si>
  <si>
    <t>Raw Beta Weight</t>
  </si>
  <si>
    <t>Market Beta</t>
  </si>
  <si>
    <t>Market Beta Weight</t>
  </si>
  <si>
    <t>Adjusted Beta</t>
  </si>
  <si>
    <t>Risk Free Rate (India 10-Year Bond Yield)</t>
  </si>
  <si>
    <t>Annual</t>
  </si>
  <si>
    <t>Average Returns</t>
  </si>
  <si>
    <t>Sum of PV of UFCF</t>
  </si>
  <si>
    <t>Terminal Value</t>
  </si>
  <si>
    <t>PV of Terminal Value</t>
  </si>
  <si>
    <t>Equity (Mkt Cap)</t>
  </si>
  <si>
    <t>PV of Unlevered FCF</t>
  </si>
  <si>
    <t>Implied Enterprise Value</t>
  </si>
  <si>
    <t>Implied Equity Value</t>
  </si>
  <si>
    <t>Shares Outstanding (in Crores)</t>
  </si>
  <si>
    <t>Implied Share Price</t>
  </si>
  <si>
    <t>( + ) Cash</t>
  </si>
  <si>
    <t>( - ) Debt</t>
  </si>
  <si>
    <t>Calculation of Beta and Market Return</t>
  </si>
  <si>
    <t>TVS Motor - Monthly Returns</t>
  </si>
  <si>
    <t>Nifty 50 - Monthly Returns</t>
  </si>
  <si>
    <t xml:space="preserve">Adjusted Beta </t>
  </si>
  <si>
    <t>Market Returns (Nifty 50)</t>
  </si>
  <si>
    <t>TVS Motor Company Ltd - Historical Statements</t>
  </si>
  <si>
    <t>% revenue</t>
  </si>
  <si>
    <t>Implied Upside / (Downside)</t>
  </si>
  <si>
    <t>Market Share Price (29/11/24)</t>
  </si>
  <si>
    <t>(Rs. Crores unless specifies)</t>
  </si>
  <si>
    <t>Implied Equity Valuation</t>
  </si>
  <si>
    <t>Bajaj Auto</t>
  </si>
  <si>
    <t>Eicher Motors</t>
  </si>
  <si>
    <t>TVS Motor Co.</t>
  </si>
  <si>
    <t>Hero Motocorp</t>
  </si>
  <si>
    <t>Name</t>
  </si>
  <si>
    <t>EV / EBITDA</t>
  </si>
  <si>
    <t>CMP Rs.</t>
  </si>
  <si>
    <t>No. Eq. Shares Cr.</t>
  </si>
  <si>
    <t xml:space="preserve">Mar Cap Rs.Cr. </t>
  </si>
  <si>
    <t>EV Rs.Cr.</t>
  </si>
  <si>
    <t>Sales Rs.Cr.</t>
  </si>
  <si>
    <t>EBIT 12M Rs.Cr.</t>
  </si>
  <si>
    <t>Dep 12M Rs.Cr.</t>
  </si>
  <si>
    <t>NP 12M Rs.Cr.</t>
  </si>
  <si>
    <t>Cash End Rs.Cr.</t>
  </si>
  <si>
    <t>Debt Rs.Cr.</t>
  </si>
  <si>
    <t>Market Data</t>
  </si>
  <si>
    <t>Financials</t>
  </si>
  <si>
    <t>Valuation</t>
  </si>
  <si>
    <t>Company</t>
  </si>
  <si>
    <t>TICKER</t>
  </si>
  <si>
    <t>Share Price</t>
  </si>
  <si>
    <t>Shares Outstanding (Cr.)</t>
  </si>
  <si>
    <t>Equity value</t>
  </si>
  <si>
    <t>Enterprise Value</t>
  </si>
  <si>
    <t>Net Income</t>
  </si>
  <si>
    <t>EV/Revenue</t>
  </si>
  <si>
    <t>EV/EBITDA</t>
  </si>
  <si>
    <t>P/E</t>
  </si>
  <si>
    <t>High</t>
  </si>
  <si>
    <t>75th Percentile</t>
  </si>
  <si>
    <t>Average</t>
  </si>
  <si>
    <t>Median</t>
  </si>
  <si>
    <t>25th Percentile</t>
  </si>
  <si>
    <t>Low</t>
  </si>
  <si>
    <t>Whirpool India Valuation</t>
  </si>
  <si>
    <t>Net Debt</t>
  </si>
  <si>
    <t>Implied Market Value</t>
  </si>
  <si>
    <t>Shares Outstanding</t>
  </si>
  <si>
    <t>Implied Price per Share</t>
  </si>
  <si>
    <t>Income Statement Assumptions</t>
  </si>
  <si>
    <t>Cash Flow Assumptions</t>
  </si>
  <si>
    <t>Comparable Companies Analysis - TVS Motor Company Ltd.</t>
  </si>
  <si>
    <t>DCF Valuation - TVS Motor Company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</si>
</sst>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&quot;A&quot;"/>
    <numFmt numFmtId="165" formatCode="0.0%"/>
    <numFmt numFmtId="166" formatCode="yyyy&quot;E&quot;"/>
    <numFmt numFmtId="167" formatCode="#,##0;\(#,##0\);\-"/>
    <numFmt numFmtId="168" formatCode="0.00%;\(0.00%\);\-"/>
    <numFmt numFmtId="169" formatCode="0.000"/>
    <numFmt numFmtId="170" formatCode="0.0%;\(0.0%\);\-"/>
    <numFmt numFmtId="171" formatCode="&quot;Rs. &quot;#,##0.00"/>
    <numFmt numFmtId="172" formatCode="0.0\x"/>
  </numFmts>
  <fonts count="2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3333FF"/>
      <name val="Calibri"/>
      <family val="2"/>
    </font>
    <font>
      <i/>
      <sz val="10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i/>
      <sz val="10"/>
      <color rgb="FF3333FF"/>
      <name val="Calibri"/>
      <family val="2"/>
    </font>
    <font>
      <sz val="11"/>
      <name val="Calibri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theme="9" tint="-0.249977111117893"/>
      <name val="Calibri"/>
      <family val="2"/>
    </font>
    <font>
      <i/>
      <sz val="10"/>
      <color theme="1"/>
      <name val="Calibri"/>
      <family val="2"/>
    </font>
    <font>
      <sz val="11"/>
      <color theme="0"/>
      <name val="Calibri"/>
      <family val="2"/>
    </font>
    <font>
      <sz val="14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b/>
      <sz val="14"/>
      <color theme="0"/>
      <name val="Calibri"/>
      <family val="2"/>
    </font>
    <font>
      <sz val="11"/>
      <color rgb="FF005E00"/>
      <name val="Calibri"/>
      <family val="2"/>
    </font>
    <font>
      <sz val="11"/>
      <color theme="7" tint="-0.499984740745262"/>
      <name val="Calibri"/>
      <family val="2"/>
    </font>
    <font>
      <sz val="11"/>
      <color theme="9" tint="-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ashed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theme="8" tint="-0.24994659260841701"/>
      </top>
      <bottom style="double">
        <color theme="8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/>
      <right/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/>
      <right/>
      <top style="medium">
        <color theme="8" tint="-0.24994659260841701"/>
      </top>
      <bottom style="double">
        <color theme="8" tint="-0.24994659260841701"/>
      </bottom>
      <diagonal/>
    </border>
    <border>
      <left/>
      <right/>
      <top/>
      <bottom style="thin">
        <color theme="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8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2" borderId="0" xfId="0" applyFill="1"/>
    <xf numFmtId="3" fontId="0" fillId="0" borderId="0" xfId="0" applyNumberFormat="1"/>
    <xf numFmtId="0" fontId="3" fillId="0" borderId="0" xfId="0" applyFont="1"/>
    <xf numFmtId="0" fontId="0" fillId="0" borderId="0" xfId="0" applyAlignment="1">
      <alignment horizontal="left" indent="1"/>
    </xf>
    <xf numFmtId="3" fontId="3" fillId="0" borderId="0" xfId="0" applyNumberFormat="1" applyFont="1"/>
    <xf numFmtId="0" fontId="0" fillId="0" borderId="0" xfId="0" applyAlignment="1">
      <alignment horizontal="right"/>
    </xf>
    <xf numFmtId="9" fontId="0" fillId="0" borderId="0" xfId="1" applyFont="1"/>
    <xf numFmtId="165" fontId="0" fillId="0" borderId="0" xfId="1" applyNumberFormat="1" applyFont="1"/>
    <xf numFmtId="10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left" indent="2"/>
    </xf>
    <xf numFmtId="167" fontId="3" fillId="0" borderId="0" xfId="0" applyNumberFormat="1" applyFont="1"/>
    <xf numFmtId="167" fontId="0" fillId="0" borderId="0" xfId="0" applyNumberFormat="1"/>
    <xf numFmtId="0" fontId="2" fillId="3" borderId="0" xfId="0" applyFont="1" applyFill="1"/>
    <xf numFmtId="0" fontId="3" fillId="0" borderId="2" xfId="0" applyFont="1" applyBorder="1"/>
    <xf numFmtId="167" fontId="3" fillId="0" borderId="2" xfId="0" applyNumberFormat="1" applyFont="1" applyBorder="1"/>
    <xf numFmtId="0" fontId="3" fillId="0" borderId="1" xfId="0" applyFont="1" applyBorder="1"/>
    <xf numFmtId="167" fontId="3" fillId="0" borderId="1" xfId="0" applyNumberFormat="1" applyFont="1" applyBorder="1"/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right"/>
    </xf>
    <xf numFmtId="10" fontId="0" fillId="0" borderId="0" xfId="0" applyNumberFormat="1"/>
    <xf numFmtId="169" fontId="0" fillId="0" borderId="0" xfId="0" applyNumberFormat="1"/>
    <xf numFmtId="165" fontId="5" fillId="0" borderId="0" xfId="1" applyNumberFormat="1" applyFont="1"/>
    <xf numFmtId="165" fontId="7" fillId="0" borderId="0" xfId="1" applyNumberFormat="1" applyFont="1"/>
    <xf numFmtId="167" fontId="8" fillId="0" borderId="0" xfId="0" applyNumberFormat="1" applyFont="1"/>
    <xf numFmtId="167" fontId="4" fillId="0" borderId="0" xfId="0" applyNumberFormat="1" applyFont="1"/>
    <xf numFmtId="0" fontId="0" fillId="0" borderId="3" xfId="0" applyBorder="1"/>
    <xf numFmtId="165" fontId="5" fillId="0" borderId="3" xfId="1" applyNumberFormat="1" applyFont="1" applyBorder="1"/>
    <xf numFmtId="10" fontId="0" fillId="0" borderId="3" xfId="1" applyNumberFormat="1" applyFont="1" applyBorder="1"/>
    <xf numFmtId="9" fontId="0" fillId="0" borderId="3" xfId="1" applyFont="1" applyBorder="1"/>
    <xf numFmtId="3" fontId="0" fillId="0" borderId="3" xfId="0" applyNumberFormat="1" applyBorder="1"/>
    <xf numFmtId="165" fontId="0" fillId="0" borderId="3" xfId="1" applyNumberFormat="1" applyFont="1" applyBorder="1"/>
    <xf numFmtId="0" fontId="9" fillId="2" borderId="0" xfId="0" applyFont="1" applyFill="1" applyAlignment="1">
      <alignment horizontal="left" vertical="center"/>
    </xf>
    <xf numFmtId="3" fontId="9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 wrapText="1"/>
    </xf>
    <xf numFmtId="3" fontId="10" fillId="2" borderId="0" xfId="0" applyNumberFormat="1" applyFont="1" applyFill="1" applyAlignment="1">
      <alignment horizontal="right" vertical="center" wrapText="1"/>
    </xf>
    <xf numFmtId="168" fontId="0" fillId="0" borderId="0" xfId="1" applyNumberFormat="1" applyFont="1" applyBorder="1"/>
    <xf numFmtId="17" fontId="0" fillId="0" borderId="6" xfId="0" applyNumberFormat="1" applyBorder="1" applyAlignment="1">
      <alignment horizontal="right"/>
    </xf>
    <xf numFmtId="4" fontId="0" fillId="0" borderId="6" xfId="0" applyNumberFormat="1" applyBorder="1"/>
    <xf numFmtId="0" fontId="0" fillId="0" borderId="6" xfId="0" applyBorder="1"/>
    <xf numFmtId="0" fontId="0" fillId="0" borderId="7" xfId="0" applyBorder="1" applyAlignment="1">
      <alignment horizontal="right"/>
    </xf>
    <xf numFmtId="4" fontId="0" fillId="0" borderId="7" xfId="0" applyNumberFormat="1" applyBorder="1"/>
    <xf numFmtId="168" fontId="0" fillId="0" borderId="7" xfId="1" applyNumberFormat="1" applyFont="1" applyBorder="1"/>
    <xf numFmtId="0" fontId="0" fillId="0" borderId="8" xfId="0" applyBorder="1" applyAlignment="1">
      <alignment horizontal="right"/>
    </xf>
    <xf numFmtId="4" fontId="0" fillId="0" borderId="8" xfId="0" applyNumberFormat="1" applyBorder="1"/>
    <xf numFmtId="168" fontId="0" fillId="0" borderId="8" xfId="1" applyNumberFormat="1" applyFont="1" applyBorder="1"/>
    <xf numFmtId="0" fontId="0" fillId="0" borderId="6" xfId="0" applyBorder="1" applyAlignment="1">
      <alignment horizontal="right"/>
    </xf>
    <xf numFmtId="168" fontId="0" fillId="0" borderId="6" xfId="1" applyNumberFormat="1" applyFont="1" applyBorder="1"/>
    <xf numFmtId="0" fontId="0" fillId="0" borderId="0" xfId="0" applyAlignment="1">
      <alignment horizontal="center"/>
    </xf>
    <xf numFmtId="168" fontId="3" fillId="0" borderId="2" xfId="1" applyNumberFormat="1" applyFont="1" applyBorder="1"/>
    <xf numFmtId="169" fontId="3" fillId="0" borderId="2" xfId="0" applyNumberFormat="1" applyFont="1" applyBorder="1"/>
    <xf numFmtId="0" fontId="4" fillId="0" borderId="0" xfId="0" applyFont="1"/>
    <xf numFmtId="9" fontId="8" fillId="0" borderId="0" xfId="0" applyNumberFormat="1" applyFont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67" fontId="11" fillId="0" borderId="0" xfId="0" applyNumberFormat="1" applyFont="1"/>
    <xf numFmtId="167" fontId="11" fillId="0" borderId="3" xfId="0" applyNumberFormat="1" applyFont="1" applyBorder="1"/>
    <xf numFmtId="167" fontId="11" fillId="0" borderId="5" xfId="0" applyNumberFormat="1" applyFont="1" applyBorder="1"/>
    <xf numFmtId="10" fontId="11" fillId="0" borderId="0" xfId="0" applyNumberFormat="1" applyFont="1"/>
    <xf numFmtId="169" fontId="11" fillId="0" borderId="0" xfId="0" applyNumberFormat="1" applyFont="1"/>
    <xf numFmtId="9" fontId="11" fillId="0" borderId="0" xfId="0" applyNumberFormat="1" applyFont="1"/>
    <xf numFmtId="3" fontId="11" fillId="0" borderId="0" xfId="0" applyNumberFormat="1" applyFont="1"/>
    <xf numFmtId="10" fontId="4" fillId="4" borderId="4" xfId="0" applyNumberFormat="1" applyFont="1" applyFill="1" applyBorder="1" applyAlignment="1">
      <alignment horizontal="center"/>
    </xf>
    <xf numFmtId="9" fontId="4" fillId="4" borderId="4" xfId="0" applyNumberFormat="1" applyFont="1" applyFill="1" applyBorder="1" applyAlignment="1">
      <alignment horizontal="center"/>
    </xf>
    <xf numFmtId="0" fontId="12" fillId="0" borderId="0" xfId="0" applyFont="1"/>
    <xf numFmtId="0" fontId="0" fillId="0" borderId="0" xfId="0" applyAlignment="1">
      <alignment wrapText="1"/>
    </xf>
    <xf numFmtId="0" fontId="0" fillId="5" borderId="0" xfId="0" applyFill="1"/>
    <xf numFmtId="0" fontId="3" fillId="5" borderId="0" xfId="0" applyFont="1" applyFill="1"/>
    <xf numFmtId="0" fontId="3" fillId="5" borderId="9" xfId="0" applyFont="1" applyFill="1" applyBorder="1"/>
    <xf numFmtId="4" fontId="3" fillId="5" borderId="9" xfId="0" applyNumberFormat="1" applyFont="1" applyFill="1" applyBorder="1"/>
    <xf numFmtId="0" fontId="0" fillId="5" borderId="10" xfId="0" applyFill="1" applyBorder="1"/>
    <xf numFmtId="167" fontId="3" fillId="5" borderId="10" xfId="0" applyNumberFormat="1" applyFont="1" applyFill="1" applyBorder="1"/>
    <xf numFmtId="0" fontId="2" fillId="6" borderId="0" xfId="0" applyFont="1" applyFill="1"/>
    <xf numFmtId="164" fontId="2" fillId="6" borderId="0" xfId="0" applyNumberFormat="1" applyFont="1" applyFill="1"/>
    <xf numFmtId="164" fontId="2" fillId="6" borderId="3" xfId="0" applyNumberFormat="1" applyFont="1" applyFill="1" applyBorder="1"/>
    <xf numFmtId="166" fontId="2" fillId="6" borderId="0" xfId="0" applyNumberFormat="1" applyFont="1" applyFill="1"/>
    <xf numFmtId="0" fontId="0" fillId="6" borderId="0" xfId="0" applyFill="1"/>
    <xf numFmtId="0" fontId="3" fillId="5" borderId="10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4" fontId="3" fillId="5" borderId="10" xfId="0" applyNumberFormat="1" applyFont="1" applyFill="1" applyBorder="1"/>
    <xf numFmtId="167" fontId="3" fillId="5" borderId="17" xfId="0" applyNumberFormat="1" applyFont="1" applyFill="1" applyBorder="1"/>
    <xf numFmtId="167" fontId="3" fillId="5" borderId="14" xfId="0" applyNumberFormat="1" applyFont="1" applyFill="1" applyBorder="1"/>
    <xf numFmtId="167" fontId="0" fillId="5" borderId="16" xfId="0" applyNumberFormat="1" applyFill="1" applyBorder="1"/>
    <xf numFmtId="167" fontId="0" fillId="5" borderId="10" xfId="0" applyNumberFormat="1" applyFill="1" applyBorder="1"/>
    <xf numFmtId="0" fontId="0" fillId="0" borderId="16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2" fontId="0" fillId="0" borderId="11" xfId="0" applyNumberFormat="1" applyBorder="1"/>
    <xf numFmtId="171" fontId="3" fillId="5" borderId="10" xfId="0" applyNumberFormat="1" applyFont="1" applyFill="1" applyBorder="1"/>
    <xf numFmtId="171" fontId="0" fillId="4" borderId="4" xfId="0" applyNumberFormat="1" applyFill="1" applyBorder="1" applyAlignment="1">
      <alignment horizontal="center"/>
    </xf>
    <xf numFmtId="170" fontId="3" fillId="4" borderId="4" xfId="1" applyNumberFormat="1" applyFont="1" applyFill="1" applyBorder="1" applyAlignment="1">
      <alignment horizontal="center"/>
    </xf>
    <xf numFmtId="0" fontId="3" fillId="5" borderId="18" xfId="0" applyFont="1" applyFill="1" applyBorder="1"/>
    <xf numFmtId="10" fontId="3" fillId="5" borderId="18" xfId="0" applyNumberFormat="1" applyFont="1" applyFill="1" applyBorder="1"/>
    <xf numFmtId="0" fontId="2" fillId="6" borderId="0" xfId="0" applyFont="1" applyFill="1" applyAlignment="1">
      <alignment horizontal="center" vertical="center" wrapText="1"/>
    </xf>
    <xf numFmtId="2" fontId="0" fillId="0" borderId="0" xfId="0" applyNumberFormat="1"/>
    <xf numFmtId="172" fontId="0" fillId="0" borderId="0" xfId="0" applyNumberFormat="1"/>
    <xf numFmtId="0" fontId="0" fillId="3" borderId="0" xfId="0" applyFill="1"/>
    <xf numFmtId="172" fontId="0" fillId="5" borderId="0" xfId="0" applyNumberFormat="1" applyFill="1"/>
    <xf numFmtId="4" fontId="0" fillId="0" borderId="0" xfId="0" applyNumberFormat="1"/>
    <xf numFmtId="172" fontId="0" fillId="5" borderId="12" xfId="0" applyNumberFormat="1" applyFill="1" applyBorder="1"/>
    <xf numFmtId="172" fontId="3" fillId="5" borderId="0" xfId="0" applyNumberFormat="1" applyFont="1" applyFill="1"/>
    <xf numFmtId="172" fontId="0" fillId="5" borderId="14" xfId="0" applyNumberFormat="1" applyFill="1" applyBorder="1"/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0" fillId="5" borderId="9" xfId="0" applyFill="1" applyBorder="1"/>
    <xf numFmtId="3" fontId="3" fillId="5" borderId="10" xfId="0" applyNumberFormat="1" applyFont="1" applyFill="1" applyBorder="1"/>
    <xf numFmtId="0" fontId="15" fillId="6" borderId="0" xfId="0" applyFont="1" applyFill="1"/>
    <xf numFmtId="0" fontId="14" fillId="0" borderId="0" xfId="0" applyFont="1"/>
    <xf numFmtId="0" fontId="16" fillId="6" borderId="0" xfId="0" applyFont="1" applyFill="1"/>
    <xf numFmtId="0" fontId="14" fillId="6" borderId="0" xfId="0" applyFont="1" applyFill="1"/>
    <xf numFmtId="0" fontId="2" fillId="6" borderId="0" xfId="0" applyFont="1" applyFill="1" applyAlignment="1">
      <alignment horizontal="center"/>
    </xf>
    <xf numFmtId="0" fontId="13" fillId="6" borderId="0" xfId="0" applyFont="1" applyFill="1"/>
    <xf numFmtId="10" fontId="4" fillId="4" borderId="20" xfId="0" applyNumberFormat="1" applyFont="1" applyFill="1" applyBorder="1"/>
    <xf numFmtId="3" fontId="4" fillId="4" borderId="20" xfId="0" applyNumberFormat="1" applyFont="1" applyFill="1" applyBorder="1"/>
    <xf numFmtId="10" fontId="0" fillId="5" borderId="10" xfId="0" applyNumberFormat="1" applyFill="1" applyBorder="1"/>
    <xf numFmtId="0" fontId="0" fillId="0" borderId="21" xfId="0" applyBorder="1"/>
    <xf numFmtId="0" fontId="17" fillId="6" borderId="0" xfId="0" applyFont="1" applyFill="1"/>
    <xf numFmtId="164" fontId="2" fillId="6" borderId="0" xfId="0" applyNumberFormat="1" applyFont="1" applyFill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8" fillId="0" borderId="0" xfId="0" applyFont="1"/>
    <xf numFmtId="3" fontId="18" fillId="0" borderId="0" xfId="0" applyNumberFormat="1" applyFont="1"/>
    <xf numFmtId="10" fontId="19" fillId="4" borderId="4" xfId="1" applyNumberFormat="1" applyFont="1" applyFill="1" applyBorder="1" applyAlignment="1">
      <alignment horizontal="center"/>
    </xf>
    <xf numFmtId="10" fontId="20" fillId="5" borderId="1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2C8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FEE7-96C2-41D3-882B-40789378DA3D}">
  <sheetPr>
    <pageSetUpPr fitToPage="1"/>
  </sheetPr>
  <dimension ref="B2:M66"/>
  <sheetViews>
    <sheetView showGridLines="0" tabSelected="1" zoomScale="70" zoomScaleNormal="80" workbookViewId="0"/>
  </sheetViews>
  <sheetFormatPr defaultRowHeight="14.4" outlineLevelRow="1" x14ac:dyDescent="0.3"/>
  <cols>
    <col min="1" max="1" width="2" customWidth="1"/>
    <col min="2" max="2" width="33.109375" customWidth="1"/>
    <col min="3" max="3" width="13.5546875" customWidth="1"/>
    <col min="4" max="4" width="10.77734375" customWidth="1"/>
    <col min="5" max="5" width="12.21875" customWidth="1"/>
    <col min="6" max="6" width="12.77734375" customWidth="1"/>
    <col min="7" max="12" width="10.77734375" customWidth="1"/>
    <col min="13" max="13" width="11.6640625" bestFit="1" customWidth="1"/>
    <col min="14" max="14" width="2" customWidth="1"/>
    <col min="15" max="15" width="27.109375" bestFit="1" customWidth="1"/>
    <col min="16" max="16" width="13.109375" customWidth="1"/>
  </cols>
  <sheetData>
    <row r="2" spans="2:13" ht="21" x14ac:dyDescent="0.4">
      <c r="B2" s="113" t="s">
        <v>232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2:13" x14ac:dyDescent="0.3">
      <c r="B3" s="66" t="s">
        <v>187</v>
      </c>
    </row>
    <row r="5" spans="2:13" x14ac:dyDescent="0.3">
      <c r="B5" t="s">
        <v>67</v>
      </c>
      <c r="C5" s="55" t="s">
        <v>95</v>
      </c>
      <c r="J5" s="124" t="s">
        <v>188</v>
      </c>
      <c r="K5" s="124"/>
      <c r="L5" s="124"/>
      <c r="M5" s="124"/>
    </row>
    <row r="6" spans="2:13" x14ac:dyDescent="0.3">
      <c r="B6" t="s">
        <v>68</v>
      </c>
      <c r="C6" s="56">
        <f ca="1">TODAY()</f>
        <v>45627</v>
      </c>
      <c r="J6" t="s">
        <v>169</v>
      </c>
      <c r="M6" s="13">
        <f ca="1">M63</f>
        <v>53561.318829840289</v>
      </c>
    </row>
    <row r="7" spans="2:13" x14ac:dyDescent="0.3">
      <c r="B7" t="s">
        <v>69</v>
      </c>
      <c r="C7" s="56">
        <v>45747</v>
      </c>
      <c r="J7" t="s">
        <v>171</v>
      </c>
      <c r="M7" s="13">
        <f ca="1">M60</f>
        <v>28304.325155841903</v>
      </c>
    </row>
    <row r="8" spans="2:13" x14ac:dyDescent="0.3">
      <c r="C8" s="50"/>
      <c r="J8" s="3" t="s">
        <v>172</v>
      </c>
      <c r="K8" s="3"/>
      <c r="L8" s="3"/>
      <c r="M8" s="12">
        <f ca="1">SUM(M6:M7)</f>
        <v>81865.643985682196</v>
      </c>
    </row>
    <row r="9" spans="2:13" ht="14.4" customHeight="1" x14ac:dyDescent="0.3">
      <c r="B9" t="s">
        <v>175</v>
      </c>
      <c r="C9" s="95">
        <f ca="1">M15</f>
        <v>1245.6556628564672</v>
      </c>
      <c r="J9" t="s">
        <v>176</v>
      </c>
      <c r="M9" s="127">
        <f>'Historical Statements'!G24</f>
        <v>2589</v>
      </c>
    </row>
    <row r="10" spans="2:13" x14ac:dyDescent="0.3">
      <c r="B10" t="s">
        <v>186</v>
      </c>
      <c r="C10" s="95">
        <v>2415.4499999999998</v>
      </c>
      <c r="J10" t="s">
        <v>177</v>
      </c>
      <c r="M10" s="128">
        <f>SUM('Historical Statements'!G52:G53)</f>
        <v>25286</v>
      </c>
    </row>
    <row r="11" spans="2:13" x14ac:dyDescent="0.3">
      <c r="B11" t="s">
        <v>185</v>
      </c>
      <c r="C11" s="96">
        <f ca="1">C9/C10-1</f>
        <v>-0.48429664747501822</v>
      </c>
    </row>
    <row r="12" spans="2:13" x14ac:dyDescent="0.3">
      <c r="C12" s="50"/>
      <c r="J12" s="79" t="s">
        <v>173</v>
      </c>
      <c r="K12" s="79"/>
      <c r="L12" s="79"/>
      <c r="M12" s="73">
        <f ca="1">M8+M9-M10</f>
        <v>59168.643985682196</v>
      </c>
    </row>
    <row r="13" spans="2:13" x14ac:dyDescent="0.3">
      <c r="C13" s="50"/>
      <c r="J13" t="s">
        <v>174</v>
      </c>
      <c r="M13" s="53">
        <v>47.5</v>
      </c>
    </row>
    <row r="14" spans="2:13" x14ac:dyDescent="0.3">
      <c r="B14" t="s">
        <v>84</v>
      </c>
      <c r="C14" s="129">
        <f>WACC</f>
        <v>0.11883762046401251</v>
      </c>
    </row>
    <row r="15" spans="2:13" x14ac:dyDescent="0.3">
      <c r="B15" t="s">
        <v>94</v>
      </c>
      <c r="C15" s="64">
        <v>0.04</v>
      </c>
      <c r="J15" s="79" t="s">
        <v>175</v>
      </c>
      <c r="K15" s="79"/>
      <c r="L15" s="79"/>
      <c r="M15" s="94">
        <f ca="1">M12/M13</f>
        <v>1245.6556628564672</v>
      </c>
    </row>
    <row r="16" spans="2:13" x14ac:dyDescent="0.3">
      <c r="B16" t="s">
        <v>89</v>
      </c>
      <c r="C16" s="65">
        <v>0.25</v>
      </c>
    </row>
    <row r="18" spans="2:13" hidden="1" outlineLevel="1" x14ac:dyDescent="0.3">
      <c r="B18" s="74" t="s">
        <v>229</v>
      </c>
      <c r="C18" s="75">
        <v>43921</v>
      </c>
      <c r="D18" s="75">
        <f>C18+365</f>
        <v>44286</v>
      </c>
      <c r="E18" s="75">
        <f t="shared" ref="E18:G18" si="0">D18+365</f>
        <v>44651</v>
      </c>
      <c r="F18" s="75">
        <f>E18+365</f>
        <v>45016</v>
      </c>
      <c r="G18" s="76">
        <f t="shared" si="0"/>
        <v>45381</v>
      </c>
      <c r="H18" s="77">
        <f>G18+365</f>
        <v>45746</v>
      </c>
      <c r="I18" s="77">
        <f t="shared" ref="I18:L18" si="1">H18+365</f>
        <v>46111</v>
      </c>
      <c r="J18" s="77">
        <f t="shared" si="1"/>
        <v>46476</v>
      </c>
      <c r="K18" s="77">
        <f t="shared" si="1"/>
        <v>46841</v>
      </c>
      <c r="L18" s="77">
        <f t="shared" si="1"/>
        <v>47206</v>
      </c>
      <c r="M18" s="77">
        <f>L18+365</f>
        <v>47571</v>
      </c>
    </row>
    <row r="19" spans="2:13" ht="3" hidden="1" customHeight="1" outlineLevel="1" x14ac:dyDescent="0.3">
      <c r="G19" s="27"/>
    </row>
    <row r="20" spans="2:13" hidden="1" outlineLevel="1" x14ac:dyDescent="0.3">
      <c r="B20" t="s">
        <v>1</v>
      </c>
      <c r="C20" s="57">
        <f>'Historical Statements'!C7</f>
        <v>18849</v>
      </c>
      <c r="D20" s="57">
        <f>'Historical Statements'!D7</f>
        <v>19421</v>
      </c>
      <c r="E20" s="57">
        <f>'Historical Statements'!E7</f>
        <v>24355</v>
      </c>
      <c r="F20" s="57">
        <f>'Historical Statements'!F7</f>
        <v>31974</v>
      </c>
      <c r="G20" s="58">
        <f>'Historical Statements'!G7</f>
        <v>39145</v>
      </c>
      <c r="H20" s="26">
        <v>36970</v>
      </c>
      <c r="I20" s="26">
        <v>41975</v>
      </c>
      <c r="J20" s="26">
        <v>47274</v>
      </c>
      <c r="K20" s="25">
        <f>J20*(1+K21)</f>
        <v>52474.140000000007</v>
      </c>
      <c r="L20" s="25">
        <f t="shared" ref="L20:M20" si="2">K20*(1+L21)</f>
        <v>57721.554000000011</v>
      </c>
      <c r="M20" s="25">
        <f t="shared" si="2"/>
        <v>62916.493860000017</v>
      </c>
    </row>
    <row r="21" spans="2:13" hidden="1" outlineLevel="1" x14ac:dyDescent="0.3">
      <c r="B21" s="19" t="s">
        <v>16</v>
      </c>
      <c r="C21" s="20" t="s">
        <v>17</v>
      </c>
      <c r="D21" s="23">
        <f>D20/C20-1</f>
        <v>3.0346437476789223E-2</v>
      </c>
      <c r="E21" s="23">
        <f t="shared" ref="E21:G21" si="3">E20/D20-1</f>
        <v>0.25405488903763973</v>
      </c>
      <c r="F21" s="23">
        <f t="shared" si="3"/>
        <v>0.31283104085403401</v>
      </c>
      <c r="G21" s="28">
        <f t="shared" si="3"/>
        <v>0.2242759742290612</v>
      </c>
      <c r="H21" s="23">
        <f>H20/G20-1</f>
        <v>-5.5562651679652575E-2</v>
      </c>
      <c r="I21" s="23">
        <f t="shared" ref="I21:J21" si="4">I20/H20-1</f>
        <v>0.13538003786854214</v>
      </c>
      <c r="J21" s="23">
        <f t="shared" si="4"/>
        <v>0.1262418106015486</v>
      </c>
      <c r="K21" s="24">
        <v>0.11</v>
      </c>
      <c r="L21" s="24">
        <v>0.1</v>
      </c>
      <c r="M21" s="24">
        <v>0.09</v>
      </c>
    </row>
    <row r="22" spans="2:13" hidden="1" outlineLevel="1" x14ac:dyDescent="0.3">
      <c r="B22" s="19"/>
      <c r="C22" s="20"/>
      <c r="D22" s="23"/>
      <c r="E22" s="23"/>
      <c r="F22" s="23"/>
      <c r="G22" s="28"/>
      <c r="H22" s="23"/>
      <c r="I22" s="23"/>
      <c r="J22" s="23"/>
      <c r="K22" s="24"/>
      <c r="L22" s="24"/>
      <c r="M22" s="24"/>
    </row>
    <row r="23" spans="2:13" hidden="1" outlineLevel="1" x14ac:dyDescent="0.3">
      <c r="B23" t="s">
        <v>8</v>
      </c>
      <c r="C23" s="57">
        <f>'Historical Statements'!C14</f>
        <v>1720</v>
      </c>
      <c r="D23" s="57">
        <f>'Historical Statements'!D14</f>
        <v>1703</v>
      </c>
      <c r="E23" s="57">
        <f>'Historical Statements'!E14</f>
        <v>2007</v>
      </c>
      <c r="F23" s="57">
        <f>'Historical Statements'!F14</f>
        <v>3304</v>
      </c>
      <c r="G23" s="58">
        <f>'Historical Statements'!G14</f>
        <v>4631</v>
      </c>
      <c r="H23" s="25">
        <f t="shared" ref="H23:M23" si="5">H20*H24</f>
        <v>3571.1828672813754</v>
      </c>
      <c r="I23" s="25">
        <f t="shared" si="5"/>
        <v>4054.6497390894165</v>
      </c>
      <c r="J23" s="25">
        <f t="shared" si="5"/>
        <v>4566.5160635071607</v>
      </c>
      <c r="K23" s="25">
        <f t="shared" si="5"/>
        <v>5068.8328304929491</v>
      </c>
      <c r="L23" s="25">
        <f t="shared" si="5"/>
        <v>5575.7161135422439</v>
      </c>
      <c r="M23" s="25">
        <f t="shared" si="5"/>
        <v>6077.5305637610463</v>
      </c>
    </row>
    <row r="24" spans="2:13" hidden="1" outlineLevel="1" x14ac:dyDescent="0.3">
      <c r="B24" s="19" t="s">
        <v>18</v>
      </c>
      <c r="C24" s="23">
        <f>C23/C20</f>
        <v>9.1251525279855694E-2</v>
      </c>
      <c r="D24" s="23">
        <f>D23/D20</f>
        <v>8.768858452190928E-2</v>
      </c>
      <c r="E24" s="23">
        <f>E23/E20</f>
        <v>8.2406076780948467E-2</v>
      </c>
      <c r="F24" s="23">
        <f>F23/F20</f>
        <v>0.10333395884155877</v>
      </c>
      <c r="G24" s="28">
        <f>G23/G20</f>
        <v>0.11830374249584877</v>
      </c>
      <c r="H24" s="23">
        <f>AVERAGE(C24:G24)</f>
        <v>9.6596777584024213E-2</v>
      </c>
      <c r="I24" s="23">
        <f>$H$24</f>
        <v>9.6596777584024213E-2</v>
      </c>
      <c r="J24" s="23">
        <f t="shared" ref="J24:M24" si="6">$H$24</f>
        <v>9.6596777584024213E-2</v>
      </c>
      <c r="K24" s="23">
        <f t="shared" si="6"/>
        <v>9.6596777584024213E-2</v>
      </c>
      <c r="L24" s="23">
        <f t="shared" si="6"/>
        <v>9.6596777584024213E-2</v>
      </c>
      <c r="M24" s="23">
        <f t="shared" si="6"/>
        <v>9.6596777584024213E-2</v>
      </c>
    </row>
    <row r="25" spans="2:13" hidden="1" outlineLevel="1" x14ac:dyDescent="0.3">
      <c r="G25" s="27"/>
    </row>
    <row r="26" spans="2:13" hidden="1" outlineLevel="1" x14ac:dyDescent="0.3">
      <c r="B26" t="s">
        <v>11</v>
      </c>
      <c r="C26" s="57">
        <f>'Historical Statements'!C17</f>
        <v>218.62</v>
      </c>
      <c r="D26" s="57">
        <f>'Historical Statements'!D17</f>
        <v>214.13</v>
      </c>
      <c r="E26" s="57">
        <f>'Historical Statements'!E17</f>
        <v>336.12</v>
      </c>
      <c r="F26" s="57">
        <f>'Historical Statements'!F17</f>
        <v>627</v>
      </c>
      <c r="G26" s="58">
        <f>'Historical Statements'!G17</f>
        <v>924</v>
      </c>
      <c r="H26" s="25">
        <f>H23*H27</f>
        <v>892.79571682034384</v>
      </c>
      <c r="I26" s="25">
        <f t="shared" ref="I26:M26" si="7">I23*I27</f>
        <v>1013.6624347723541</v>
      </c>
      <c r="J26" s="25">
        <f t="shared" si="7"/>
        <v>1141.6290158767902</v>
      </c>
      <c r="K26" s="25">
        <f t="shared" si="7"/>
        <v>1267.2082076232373</v>
      </c>
      <c r="L26" s="25">
        <f t="shared" si="7"/>
        <v>1393.929028385561</v>
      </c>
      <c r="M26" s="25">
        <f t="shared" si="7"/>
        <v>1519.3826409402616</v>
      </c>
    </row>
    <row r="27" spans="2:13" hidden="1" outlineLevel="1" x14ac:dyDescent="0.3">
      <c r="B27" s="19" t="s">
        <v>19</v>
      </c>
      <c r="C27" s="23">
        <f>C26/'Historical Statements'!C16</f>
        <v>0.25261722631785727</v>
      </c>
      <c r="D27" s="23">
        <f>D26/'Historical Statements'!D16</f>
        <v>0.26061609240168931</v>
      </c>
      <c r="E27" s="23">
        <f>E26/'Historical Statements'!E16</f>
        <v>0.31501405810684163</v>
      </c>
      <c r="F27" s="23">
        <f>F26/'Historical Statements'!F16</f>
        <v>0.32386363636363635</v>
      </c>
      <c r="G27" s="28">
        <f>G26/'Historical Statements'!G16</f>
        <v>0.34184239733629301</v>
      </c>
      <c r="H27" s="23">
        <f t="shared" ref="H27:M27" si="8">TaxRate</f>
        <v>0.25</v>
      </c>
      <c r="I27" s="23">
        <f t="shared" si="8"/>
        <v>0.25</v>
      </c>
      <c r="J27" s="23">
        <f t="shared" si="8"/>
        <v>0.25</v>
      </c>
      <c r="K27" s="23">
        <f t="shared" si="8"/>
        <v>0.25</v>
      </c>
      <c r="L27" s="23">
        <f t="shared" si="8"/>
        <v>0.25</v>
      </c>
      <c r="M27" s="23">
        <f t="shared" si="8"/>
        <v>0.25</v>
      </c>
    </row>
    <row r="28" spans="2:13" hidden="1" outlineLevel="1" x14ac:dyDescent="0.3">
      <c r="B28" s="19" t="s">
        <v>18</v>
      </c>
      <c r="C28" s="23">
        <f t="shared" ref="C28:M28" si="9">C26/C20</f>
        <v>1.1598493288768635E-2</v>
      </c>
      <c r="D28" s="23">
        <f t="shared" si="9"/>
        <v>1.1025693836568663E-2</v>
      </c>
      <c r="E28" s="23">
        <f t="shared" si="9"/>
        <v>1.3800862245945391E-2</v>
      </c>
      <c r="F28" s="23">
        <f t="shared" si="9"/>
        <v>1.9609682867329704E-2</v>
      </c>
      <c r="G28" s="28">
        <f t="shared" si="9"/>
        <v>2.3604547196321369E-2</v>
      </c>
      <c r="H28" s="23">
        <f t="shared" si="9"/>
        <v>2.4149194396006053E-2</v>
      </c>
      <c r="I28" s="23">
        <f t="shared" si="9"/>
        <v>2.4149194396006053E-2</v>
      </c>
      <c r="J28" s="23">
        <f t="shared" si="9"/>
        <v>2.4149194396006053E-2</v>
      </c>
      <c r="K28" s="23">
        <f t="shared" si="9"/>
        <v>2.4149194396006053E-2</v>
      </c>
      <c r="L28" s="23">
        <f t="shared" si="9"/>
        <v>2.4149194396006053E-2</v>
      </c>
      <c r="M28" s="23">
        <f t="shared" si="9"/>
        <v>2.4149194396006053E-2</v>
      </c>
    </row>
    <row r="29" spans="2:13" hidden="1" outlineLevel="1" x14ac:dyDescent="0.3">
      <c r="C29" s="9"/>
      <c r="D29" s="9"/>
      <c r="E29" s="9"/>
      <c r="F29" s="9"/>
      <c r="G29" s="29"/>
      <c r="H29" s="9"/>
      <c r="I29" s="9"/>
      <c r="J29" s="9"/>
      <c r="K29" s="9"/>
      <c r="L29" s="9"/>
    </row>
    <row r="30" spans="2:13" hidden="1" outlineLevel="1" x14ac:dyDescent="0.3">
      <c r="B30" s="74" t="s">
        <v>230</v>
      </c>
      <c r="C30" s="75">
        <v>43921</v>
      </c>
      <c r="D30" s="75">
        <f>C30+365</f>
        <v>44286</v>
      </c>
      <c r="E30" s="75">
        <f t="shared" ref="E30:G30" si="10">D30+365</f>
        <v>44651</v>
      </c>
      <c r="F30" s="75">
        <f t="shared" si="10"/>
        <v>45016</v>
      </c>
      <c r="G30" s="76">
        <f t="shared" si="10"/>
        <v>45381</v>
      </c>
      <c r="H30" s="77">
        <f>G30+365</f>
        <v>45746</v>
      </c>
      <c r="I30" s="77">
        <f t="shared" ref="I30:L30" si="11">H30+365</f>
        <v>46111</v>
      </c>
      <c r="J30" s="77">
        <f t="shared" si="11"/>
        <v>46476</v>
      </c>
      <c r="K30" s="77">
        <f t="shared" si="11"/>
        <v>46841</v>
      </c>
      <c r="L30" s="77">
        <f t="shared" si="11"/>
        <v>47206</v>
      </c>
      <c r="M30" s="77">
        <f>L30+365</f>
        <v>47571</v>
      </c>
    </row>
    <row r="31" spans="2:13" ht="3" hidden="1" customHeight="1" outlineLevel="1" x14ac:dyDescent="0.3">
      <c r="G31" s="27"/>
    </row>
    <row r="32" spans="2:13" hidden="1" outlineLevel="1" x14ac:dyDescent="0.3">
      <c r="B32" t="s">
        <v>12</v>
      </c>
      <c r="C32" s="57">
        <f>'Historical Statements'!C13</f>
        <v>556</v>
      </c>
      <c r="D32" s="57">
        <f>'Historical Statements'!D13</f>
        <v>565</v>
      </c>
      <c r="E32" s="57">
        <f>'Historical Statements'!E13</f>
        <v>743</v>
      </c>
      <c r="F32" s="57">
        <f>'Historical Statements'!F13</f>
        <v>859</v>
      </c>
      <c r="G32" s="58">
        <f>'Historical Statements'!G13</f>
        <v>975</v>
      </c>
      <c r="H32" s="25">
        <f t="shared" ref="H32:M32" si="12">H20*H33</f>
        <v>1013.9645641357826</v>
      </c>
      <c r="I32" s="25">
        <f t="shared" si="12"/>
        <v>1151.2351252258445</v>
      </c>
      <c r="J32" s="25">
        <f t="shared" si="12"/>
        <v>1295.3076000000001</v>
      </c>
      <c r="K32" s="25">
        <f t="shared" si="12"/>
        <v>1437.7914360000002</v>
      </c>
      <c r="L32" s="25">
        <f t="shared" si="12"/>
        <v>1581.5705796000004</v>
      </c>
      <c r="M32" s="25">
        <f t="shared" si="12"/>
        <v>1723.9119317640004</v>
      </c>
    </row>
    <row r="33" spans="2:13" hidden="1" outlineLevel="1" x14ac:dyDescent="0.3">
      <c r="B33" s="19" t="s">
        <v>184</v>
      </c>
      <c r="C33" s="23">
        <f>C32/C20</f>
        <v>2.9497586078837075E-2</v>
      </c>
      <c r="D33" s="23">
        <f>D32/D20</f>
        <v>2.9092219762113177E-2</v>
      </c>
      <c r="E33" s="23">
        <f>E32/E20</f>
        <v>3.0507082734551428E-2</v>
      </c>
      <c r="F33" s="23">
        <f>F32/F20</f>
        <v>2.6865578282354412E-2</v>
      </c>
      <c r="G33" s="28">
        <f>G32/G20</f>
        <v>2.4907395580533911E-2</v>
      </c>
      <c r="H33" s="23">
        <f>AVERAGE(E33:G33)</f>
        <v>2.7426685532479917E-2</v>
      </c>
      <c r="I33" s="23">
        <f>$H$33</f>
        <v>2.7426685532479917E-2</v>
      </c>
      <c r="J33" s="23">
        <v>2.7400000000000001E-2</v>
      </c>
      <c r="K33" s="23">
        <v>2.7400000000000001E-2</v>
      </c>
      <c r="L33" s="23">
        <v>2.7400000000000001E-2</v>
      </c>
      <c r="M33" s="23">
        <v>2.7400000000000001E-2</v>
      </c>
    </row>
    <row r="34" spans="2:13" hidden="1" outlineLevel="1" x14ac:dyDescent="0.3">
      <c r="G34" s="27"/>
    </row>
    <row r="35" spans="2:13" hidden="1" outlineLevel="1" x14ac:dyDescent="0.3">
      <c r="B35" t="s">
        <v>22</v>
      </c>
      <c r="C35" s="57">
        <f>-'Historical Statements'!C66</f>
        <v>1021</v>
      </c>
      <c r="D35" s="57">
        <f>-'Historical Statements'!D66</f>
        <v>927.98</v>
      </c>
      <c r="E35" s="57">
        <f>-'Historical Statements'!E66</f>
        <v>969.83</v>
      </c>
      <c r="F35" s="57">
        <f>-'Historical Statements'!F66</f>
        <v>1341</v>
      </c>
      <c r="G35" s="58">
        <f>-'Historical Statements'!G66</f>
        <v>1145</v>
      </c>
      <c r="H35" s="25">
        <f t="shared" ref="H35:M35" si="13">H20*H36</f>
        <v>1368.0270449297534</v>
      </c>
      <c r="I35" s="25">
        <f t="shared" si="13"/>
        <v>1553.2305980775332</v>
      </c>
      <c r="J35" s="25">
        <f t="shared" si="13"/>
        <v>1749.1379999999999</v>
      </c>
      <c r="K35" s="25">
        <f t="shared" si="13"/>
        <v>1941.5431800000001</v>
      </c>
      <c r="L35" s="25">
        <f t="shared" si="13"/>
        <v>2135.6974980000005</v>
      </c>
      <c r="M35" s="25">
        <f t="shared" si="13"/>
        <v>2327.9102728200005</v>
      </c>
    </row>
    <row r="36" spans="2:13" hidden="1" outlineLevel="1" x14ac:dyDescent="0.3">
      <c r="B36" s="19" t="s">
        <v>21</v>
      </c>
      <c r="C36" s="23">
        <f>C35/C20</f>
        <v>5.4167329831821313E-2</v>
      </c>
      <c r="D36" s="23">
        <f>D35/D20</f>
        <v>4.7782297513001393E-2</v>
      </c>
      <c r="E36" s="23">
        <f>E35/E20</f>
        <v>3.9820570724697191E-2</v>
      </c>
      <c r="F36" s="23">
        <f>F35/F20</f>
        <v>4.1940326515293676E-2</v>
      </c>
      <c r="G36" s="28">
        <f>G35/G20</f>
        <v>2.9250223527909056E-2</v>
      </c>
      <c r="H36" s="23">
        <f>AVERAGE(E36:G36)</f>
        <v>3.7003706922633307E-2</v>
      </c>
      <c r="I36" s="23">
        <f>$H$36</f>
        <v>3.7003706922633307E-2</v>
      </c>
      <c r="J36" s="23">
        <v>3.6999999999999998E-2</v>
      </c>
      <c r="K36" s="23">
        <v>3.6999999999999998E-2</v>
      </c>
      <c r="L36" s="23">
        <v>3.6999999999999998E-2</v>
      </c>
      <c r="M36" s="23">
        <v>3.6999999999999998E-2</v>
      </c>
    </row>
    <row r="37" spans="2:13" hidden="1" outlineLevel="1" x14ac:dyDescent="0.3">
      <c r="G37" s="27"/>
      <c r="H37" s="9"/>
      <c r="I37" s="9"/>
      <c r="J37" s="9"/>
      <c r="K37" s="9"/>
      <c r="L37" s="9"/>
      <c r="M37" s="9"/>
    </row>
    <row r="38" spans="2:13" hidden="1" outlineLevel="1" x14ac:dyDescent="0.3">
      <c r="B38" t="s">
        <v>23</v>
      </c>
      <c r="C38" s="57">
        <f>'Historical Statements'!C63</f>
        <v>-881.36</v>
      </c>
      <c r="D38" s="57">
        <f>'Historical Statements'!D63</f>
        <v>-157.33000000000001</v>
      </c>
      <c r="E38" s="57">
        <f>'Historical Statements'!E63</f>
        <v>-3128</v>
      </c>
      <c r="F38" s="57">
        <f>'Historical Statements'!F63</f>
        <v>-6727</v>
      </c>
      <c r="G38" s="59">
        <f>'Historical Statements'!G63</f>
        <v>-4268</v>
      </c>
      <c r="H38" s="25">
        <f>AVERAGE(C38:G38)</f>
        <v>-3032.3380000000002</v>
      </c>
      <c r="I38" s="25">
        <f>$H$38</f>
        <v>-3032.3380000000002</v>
      </c>
      <c r="J38" s="25">
        <f t="shared" ref="J38:M38" si="14">$H$38</f>
        <v>-3032.3380000000002</v>
      </c>
      <c r="K38" s="25">
        <f t="shared" si="14"/>
        <v>-3032.3380000000002</v>
      </c>
      <c r="L38" s="25">
        <f t="shared" si="14"/>
        <v>-3032.3380000000002</v>
      </c>
      <c r="M38" s="25">
        <f t="shared" si="14"/>
        <v>-3032.3380000000002</v>
      </c>
    </row>
    <row r="39" spans="2:13" hidden="1" outlineLevel="1" x14ac:dyDescent="0.3">
      <c r="B39" s="19" t="s">
        <v>21</v>
      </c>
      <c r="C39" s="23">
        <f t="shared" ref="C39:M39" si="15">C38/C20</f>
        <v>-4.6758979256193961E-2</v>
      </c>
      <c r="D39" s="23">
        <f t="shared" si="15"/>
        <v>-8.1010246640234804E-3</v>
      </c>
      <c r="E39" s="23">
        <f t="shared" si="15"/>
        <v>-0.12843358653253953</v>
      </c>
      <c r="F39" s="23">
        <f t="shared" si="15"/>
        <v>-0.21038969162444487</v>
      </c>
      <c r="G39" s="28">
        <f t="shared" si="15"/>
        <v>-0.10903052752586537</v>
      </c>
      <c r="H39" s="23">
        <f t="shared" si="15"/>
        <v>-8.2021585068974848E-2</v>
      </c>
      <c r="I39" s="23">
        <f t="shared" si="15"/>
        <v>-7.2241524717093511E-2</v>
      </c>
      <c r="J39" s="23">
        <f t="shared" si="15"/>
        <v>-6.4143884587722647E-2</v>
      </c>
      <c r="K39" s="23">
        <f t="shared" si="15"/>
        <v>-5.7787283412362736E-2</v>
      </c>
      <c r="L39" s="23">
        <f t="shared" si="15"/>
        <v>-5.2533894011238848E-2</v>
      </c>
      <c r="M39" s="23">
        <f t="shared" si="15"/>
        <v>-4.8196233037833797E-2</v>
      </c>
    </row>
    <row r="40" spans="2:13" hidden="1" outlineLevel="1" x14ac:dyDescent="0.3">
      <c r="D40" s="7"/>
      <c r="E40" s="7"/>
      <c r="F40" s="7"/>
      <c r="G40" s="30"/>
      <c r="H40" s="7"/>
      <c r="I40" s="7"/>
      <c r="J40" s="7"/>
      <c r="K40" s="7"/>
      <c r="L40" s="7"/>
      <c r="M40" s="7"/>
    </row>
    <row r="41" spans="2:13" collapsed="1" x14ac:dyDescent="0.3">
      <c r="B41" s="74" t="s">
        <v>62</v>
      </c>
      <c r="C41" s="75">
        <v>43921</v>
      </c>
      <c r="D41" s="75">
        <f>C41+365</f>
        <v>44286</v>
      </c>
      <c r="E41" s="75">
        <f t="shared" ref="E41:G41" si="16">D41+365</f>
        <v>44651</v>
      </c>
      <c r="F41" s="75">
        <f t="shared" si="16"/>
        <v>45016</v>
      </c>
      <c r="G41" s="76">
        <f t="shared" si="16"/>
        <v>45381</v>
      </c>
      <c r="H41" s="77">
        <f>G41+365</f>
        <v>45746</v>
      </c>
      <c r="I41" s="77">
        <f t="shared" ref="I41:L41" si="17">H41+365</f>
        <v>46111</v>
      </c>
      <c r="J41" s="77">
        <f t="shared" si="17"/>
        <v>46476</v>
      </c>
      <c r="K41" s="77">
        <f t="shared" si="17"/>
        <v>46841</v>
      </c>
      <c r="L41" s="77">
        <f t="shared" si="17"/>
        <v>47206</v>
      </c>
      <c r="M41" s="77">
        <f>L41+365</f>
        <v>47571</v>
      </c>
    </row>
    <row r="42" spans="2:13" ht="3" customHeight="1" x14ac:dyDescent="0.3">
      <c r="G42" s="27"/>
    </row>
    <row r="43" spans="2:13" x14ac:dyDescent="0.3">
      <c r="B43" t="s">
        <v>1</v>
      </c>
      <c r="C43" s="2"/>
      <c r="D43" s="2"/>
      <c r="E43" s="2"/>
      <c r="F43" s="2"/>
      <c r="G43" s="31"/>
      <c r="H43" s="13">
        <f t="shared" ref="H43:M44" si="18">H20</f>
        <v>36970</v>
      </c>
      <c r="I43" s="13">
        <f t="shared" si="18"/>
        <v>41975</v>
      </c>
      <c r="J43" s="13">
        <f t="shared" si="18"/>
        <v>47274</v>
      </c>
      <c r="K43" s="13">
        <f t="shared" si="18"/>
        <v>52474.140000000007</v>
      </c>
      <c r="L43" s="13">
        <f t="shared" si="18"/>
        <v>57721.554000000011</v>
      </c>
      <c r="M43" s="13">
        <f t="shared" si="18"/>
        <v>62916.493860000017</v>
      </c>
    </row>
    <row r="44" spans="2:13" x14ac:dyDescent="0.3">
      <c r="B44" s="19" t="s">
        <v>16</v>
      </c>
      <c r="C44" s="6"/>
      <c r="D44" s="8"/>
      <c r="E44" s="8"/>
      <c r="F44" s="8"/>
      <c r="G44" s="32"/>
      <c r="H44" s="23">
        <f t="shared" si="18"/>
        <v>-5.5562651679652575E-2</v>
      </c>
      <c r="I44" s="23">
        <f t="shared" si="18"/>
        <v>0.13538003786854214</v>
      </c>
      <c r="J44" s="23">
        <f t="shared" si="18"/>
        <v>0.1262418106015486</v>
      </c>
      <c r="K44" s="23">
        <f t="shared" si="18"/>
        <v>0.11</v>
      </c>
      <c r="L44" s="23">
        <f t="shared" si="18"/>
        <v>0.1</v>
      </c>
      <c r="M44" s="23">
        <f t="shared" si="18"/>
        <v>0.09</v>
      </c>
    </row>
    <row r="45" spans="2:13" x14ac:dyDescent="0.3">
      <c r="G45" s="27"/>
    </row>
    <row r="46" spans="2:13" x14ac:dyDescent="0.3">
      <c r="B46" t="s">
        <v>8</v>
      </c>
      <c r="C46" s="2"/>
      <c r="D46" s="2"/>
      <c r="E46" s="2"/>
      <c r="F46" s="2"/>
      <c r="G46" s="31"/>
      <c r="H46" s="13">
        <f>H23</f>
        <v>3571.1828672813754</v>
      </c>
      <c r="I46" s="13">
        <f t="shared" ref="I46:M46" si="19">I23</f>
        <v>4054.6497390894165</v>
      </c>
      <c r="J46" s="13">
        <f t="shared" si="19"/>
        <v>4566.5160635071607</v>
      </c>
      <c r="K46" s="13">
        <f t="shared" si="19"/>
        <v>5068.8328304929491</v>
      </c>
      <c r="L46" s="13">
        <f t="shared" si="19"/>
        <v>5575.7161135422439</v>
      </c>
      <c r="M46" s="13">
        <f t="shared" si="19"/>
        <v>6077.5305637610463</v>
      </c>
    </row>
    <row r="47" spans="2:13" x14ac:dyDescent="0.3">
      <c r="B47" s="19" t="s">
        <v>18</v>
      </c>
      <c r="C47" s="8"/>
      <c r="D47" s="8"/>
      <c r="E47" s="8"/>
      <c r="F47" s="8"/>
      <c r="G47" s="32"/>
      <c r="H47" s="23">
        <f>H24</f>
        <v>9.6596777584024213E-2</v>
      </c>
      <c r="I47" s="23">
        <f t="shared" ref="I47:M47" si="20">I24</f>
        <v>9.6596777584024213E-2</v>
      </c>
      <c r="J47" s="23">
        <f t="shared" si="20"/>
        <v>9.6596777584024213E-2</v>
      </c>
      <c r="K47" s="23">
        <f t="shared" si="20"/>
        <v>9.6596777584024213E-2</v>
      </c>
      <c r="L47" s="23">
        <f t="shared" si="20"/>
        <v>9.6596777584024213E-2</v>
      </c>
      <c r="M47" s="23">
        <f t="shared" si="20"/>
        <v>9.6596777584024213E-2</v>
      </c>
    </row>
    <row r="48" spans="2:13" x14ac:dyDescent="0.3">
      <c r="G48" s="27"/>
    </row>
    <row r="49" spans="2:13" x14ac:dyDescent="0.3">
      <c r="B49" t="s">
        <v>11</v>
      </c>
      <c r="G49" s="27"/>
      <c r="H49" s="13">
        <f>H26</f>
        <v>892.79571682034384</v>
      </c>
      <c r="I49" s="13">
        <f t="shared" ref="I49:M49" si="21">I26</f>
        <v>1013.6624347723541</v>
      </c>
      <c r="J49" s="13">
        <f t="shared" si="21"/>
        <v>1141.6290158767902</v>
      </c>
      <c r="K49" s="13">
        <f t="shared" si="21"/>
        <v>1267.2082076232373</v>
      </c>
      <c r="L49" s="13">
        <f t="shared" si="21"/>
        <v>1393.929028385561</v>
      </c>
      <c r="M49" s="13">
        <f t="shared" si="21"/>
        <v>1519.3826409402616</v>
      </c>
    </row>
    <row r="50" spans="2:13" x14ac:dyDescent="0.3">
      <c r="B50" s="19" t="s">
        <v>19</v>
      </c>
      <c r="C50" s="8"/>
      <c r="D50" s="8"/>
      <c r="E50" s="8"/>
      <c r="F50" s="8"/>
      <c r="G50" s="32"/>
      <c r="H50" s="23">
        <f t="shared" ref="H50:M50" si="22">TaxRate</f>
        <v>0.25</v>
      </c>
      <c r="I50" s="23">
        <f t="shared" si="22"/>
        <v>0.25</v>
      </c>
      <c r="J50" s="23">
        <f t="shared" si="22"/>
        <v>0.25</v>
      </c>
      <c r="K50" s="23">
        <f t="shared" si="22"/>
        <v>0.25</v>
      </c>
      <c r="L50" s="23">
        <f t="shared" si="22"/>
        <v>0.25</v>
      </c>
      <c r="M50" s="23">
        <f t="shared" si="22"/>
        <v>0.25</v>
      </c>
    </row>
    <row r="51" spans="2:13" x14ac:dyDescent="0.3">
      <c r="G51" s="27"/>
    </row>
    <row r="52" spans="2:13" x14ac:dyDescent="0.3">
      <c r="B52" s="72" t="s">
        <v>20</v>
      </c>
      <c r="C52" s="72"/>
      <c r="D52" s="72"/>
      <c r="E52" s="72"/>
      <c r="F52" s="72"/>
      <c r="G52" s="72"/>
      <c r="H52" s="73">
        <f>H46-H49</f>
        <v>2678.3871504610315</v>
      </c>
      <c r="I52" s="73">
        <f t="shared" ref="I52:M52" si="23">I46-I49</f>
        <v>3040.9873043170624</v>
      </c>
      <c r="J52" s="73">
        <f t="shared" si="23"/>
        <v>3424.8870476303705</v>
      </c>
      <c r="K52" s="73">
        <f t="shared" si="23"/>
        <v>3801.6246228697119</v>
      </c>
      <c r="L52" s="73">
        <f t="shared" si="23"/>
        <v>4181.7870851566831</v>
      </c>
      <c r="M52" s="73">
        <f t="shared" si="23"/>
        <v>4558.1479228207845</v>
      </c>
    </row>
    <row r="53" spans="2:13" x14ac:dyDescent="0.3">
      <c r="B53" t="s">
        <v>64</v>
      </c>
      <c r="G53" s="27"/>
      <c r="H53" s="13">
        <f>H32</f>
        <v>1013.9645641357826</v>
      </c>
      <c r="I53" s="13">
        <f t="shared" ref="I53:M53" si="24">I32</f>
        <v>1151.2351252258445</v>
      </c>
      <c r="J53" s="13">
        <f t="shared" si="24"/>
        <v>1295.3076000000001</v>
      </c>
      <c r="K53" s="13">
        <f t="shared" si="24"/>
        <v>1437.7914360000002</v>
      </c>
      <c r="L53" s="13">
        <f t="shared" si="24"/>
        <v>1581.5705796000004</v>
      </c>
      <c r="M53" s="13">
        <f t="shared" si="24"/>
        <v>1723.9119317640004</v>
      </c>
    </row>
    <row r="54" spans="2:13" x14ac:dyDescent="0.3">
      <c r="B54" t="s">
        <v>65</v>
      </c>
      <c r="G54" s="27"/>
      <c r="H54" s="13">
        <f>H35</f>
        <v>1368.0270449297534</v>
      </c>
      <c r="I54" s="13">
        <f t="shared" ref="I54:M54" si="25">I35</f>
        <v>1553.2305980775332</v>
      </c>
      <c r="J54" s="13">
        <f t="shared" si="25"/>
        <v>1749.1379999999999</v>
      </c>
      <c r="K54" s="13">
        <f t="shared" si="25"/>
        <v>1941.5431800000001</v>
      </c>
      <c r="L54" s="13">
        <f t="shared" si="25"/>
        <v>2135.6974980000005</v>
      </c>
      <c r="M54" s="13">
        <f t="shared" si="25"/>
        <v>2327.9102728200005</v>
      </c>
    </row>
    <row r="55" spans="2:13" x14ac:dyDescent="0.3">
      <c r="B55" t="s">
        <v>66</v>
      </c>
      <c r="G55" s="27"/>
      <c r="H55" s="13">
        <f>H38</f>
        <v>-3032.3380000000002</v>
      </c>
      <c r="I55" s="13">
        <f t="shared" ref="I55:M55" si="26">I38</f>
        <v>-3032.3380000000002</v>
      </c>
      <c r="J55" s="13">
        <f t="shared" si="26"/>
        <v>-3032.3380000000002</v>
      </c>
      <c r="K55" s="13">
        <f t="shared" si="26"/>
        <v>-3032.3380000000002</v>
      </c>
      <c r="L55" s="13">
        <f t="shared" si="26"/>
        <v>-3032.3380000000002</v>
      </c>
      <c r="M55" s="13">
        <f t="shared" si="26"/>
        <v>-3032.3380000000002</v>
      </c>
    </row>
    <row r="56" spans="2:13" x14ac:dyDescent="0.3">
      <c r="G56" s="27"/>
    </row>
    <row r="57" spans="2:13" x14ac:dyDescent="0.3">
      <c r="B57" s="80" t="s">
        <v>63</v>
      </c>
      <c r="C57" s="80"/>
      <c r="D57" s="80"/>
      <c r="E57" s="80"/>
      <c r="F57" s="80"/>
      <c r="G57" s="81"/>
      <c r="H57" s="87">
        <f>H52+H53-H54-H55</f>
        <v>5356.662669667061</v>
      </c>
      <c r="I57" s="88">
        <f t="shared" ref="I57:M57" si="27">I52+I53-I54-I55</f>
        <v>5671.3298314653739</v>
      </c>
      <c r="J57" s="88">
        <f t="shared" si="27"/>
        <v>6003.3946476303718</v>
      </c>
      <c r="K57" s="88">
        <f t="shared" si="27"/>
        <v>6330.2108788697124</v>
      </c>
      <c r="L57" s="88">
        <f t="shared" si="27"/>
        <v>6659.9981667566826</v>
      </c>
      <c r="M57" s="88">
        <f t="shared" si="27"/>
        <v>6986.4875817647844</v>
      </c>
    </row>
    <row r="58" spans="2:13" x14ac:dyDescent="0.3">
      <c r="B58" s="82" t="s">
        <v>72</v>
      </c>
      <c r="C58" s="82"/>
      <c r="D58" s="82"/>
      <c r="E58" s="82"/>
      <c r="F58" s="82"/>
      <c r="G58" s="83"/>
      <c r="H58" s="85">
        <f t="shared" ref="H58:M58" ca="1" si="28">H57/(1+WACC)^H66</f>
        <v>5257.3447223569401</v>
      </c>
      <c r="I58" s="86">
        <f t="shared" ca="1" si="28"/>
        <v>5164.7069957383983</v>
      </c>
      <c r="J58" s="86">
        <f t="shared" ca="1" si="28"/>
        <v>4886.4180017082654</v>
      </c>
      <c r="K58" s="86">
        <f t="shared" ca="1" si="28"/>
        <v>4605.1612184331389</v>
      </c>
      <c r="L58" s="86">
        <f t="shared" ca="1" si="28"/>
        <v>4330.4567892792811</v>
      </c>
      <c r="M58" s="86">
        <f t="shared" ca="1" si="28"/>
        <v>4060.23742832588</v>
      </c>
    </row>
    <row r="59" spans="2:13" x14ac:dyDescent="0.3">
      <c r="H59" s="12"/>
      <c r="I59" s="12"/>
      <c r="J59" s="12"/>
      <c r="K59" s="12"/>
      <c r="L59" s="12"/>
      <c r="M59" s="12"/>
    </row>
    <row r="60" spans="2:13" x14ac:dyDescent="0.3">
      <c r="B60" s="3" t="s">
        <v>167</v>
      </c>
      <c r="M60" s="12">
        <f ca="1">SUM(H58:M58)</f>
        <v>28304.325155841903</v>
      </c>
    </row>
    <row r="61" spans="2:13" x14ac:dyDescent="0.3">
      <c r="B61" s="3"/>
      <c r="M61" s="12"/>
    </row>
    <row r="62" spans="2:13" x14ac:dyDescent="0.3">
      <c r="B62" t="s">
        <v>168</v>
      </c>
      <c r="M62" s="13">
        <f>(M57*(1+TGR))/(WACC-TGR)</f>
        <v>92163.449914779034</v>
      </c>
    </row>
    <row r="63" spans="2:13" x14ac:dyDescent="0.3">
      <c r="B63" s="3" t="s">
        <v>169</v>
      </c>
      <c r="M63" s="12">
        <f ca="1">M62/(1+WACC)^M66</f>
        <v>53561.318829840289</v>
      </c>
    </row>
    <row r="65" spans="2:13" x14ac:dyDescent="0.3">
      <c r="B65" s="89" t="s">
        <v>70</v>
      </c>
      <c r="C65" s="90"/>
      <c r="D65" s="90"/>
      <c r="E65" s="90"/>
      <c r="F65" s="90"/>
      <c r="G65" s="90"/>
      <c r="H65" s="91">
        <f ca="1">YEARFRAC(C6,C7)</f>
        <v>0.33333333333333331</v>
      </c>
      <c r="I65" s="90"/>
      <c r="J65" s="90"/>
      <c r="K65" s="90"/>
      <c r="L65" s="90"/>
      <c r="M65" s="92"/>
    </row>
    <row r="66" spans="2:13" x14ac:dyDescent="0.3">
      <c r="B66" s="89" t="s">
        <v>71</v>
      </c>
      <c r="C66" s="90"/>
      <c r="D66" s="90"/>
      <c r="E66" s="90"/>
      <c r="F66" s="90"/>
      <c r="G66" s="90"/>
      <c r="H66" s="91">
        <f ca="1">H65/2</f>
        <v>0.16666666666666666</v>
      </c>
      <c r="I66" s="91">
        <f ca="1">H65+0.5</f>
        <v>0.83333333333333326</v>
      </c>
      <c r="J66" s="91">
        <f ca="1">I66+1</f>
        <v>1.8333333333333333</v>
      </c>
      <c r="K66" s="91">
        <f t="shared" ref="K66:M66" ca="1" si="29">J66+1</f>
        <v>2.833333333333333</v>
      </c>
      <c r="L66" s="91">
        <f t="shared" ca="1" si="29"/>
        <v>3.833333333333333</v>
      </c>
      <c r="M66" s="93">
        <f t="shared" ca="1" si="29"/>
        <v>4.833333333333333</v>
      </c>
    </row>
  </sheetData>
  <mergeCells count="1">
    <mergeCell ref="J5:M5"/>
  </mergeCells>
  <pageMargins left="0.7" right="0.7" top="0.75" bottom="0.75" header="0.3" footer="0.3"/>
  <pageSetup scale="76" orientation="landscape" r:id="rId1"/>
  <ignoredErrors>
    <ignoredError sqref="M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CC14-9FEA-4755-8F10-C3A242593CA6}">
  <sheetPr>
    <pageSetUpPr fitToPage="1"/>
  </sheetPr>
  <dimension ref="B2:S27"/>
  <sheetViews>
    <sheetView showGridLines="0" zoomScale="76" workbookViewId="0"/>
  </sheetViews>
  <sheetFormatPr defaultRowHeight="14.4" x14ac:dyDescent="0.3"/>
  <cols>
    <col min="1" max="1" width="2" customWidth="1"/>
    <col min="2" max="2" width="13.21875" customWidth="1"/>
    <col min="3" max="3" width="9.5546875" customWidth="1"/>
    <col min="4" max="4" width="2" customWidth="1"/>
    <col min="5" max="5" width="11.77734375" customWidth="1"/>
    <col min="6" max="6" width="15.6640625" customWidth="1"/>
    <col min="7" max="8" width="11.77734375" customWidth="1"/>
    <col min="9" max="9" width="2" customWidth="1"/>
    <col min="10" max="12" width="11.77734375" customWidth="1"/>
    <col min="13" max="13" width="2" customWidth="1"/>
    <col min="14" max="16" width="11.77734375" customWidth="1"/>
  </cols>
  <sheetData>
    <row r="2" spans="2:19" s="114" customFormat="1" ht="21" x14ac:dyDescent="0.4">
      <c r="B2" s="113" t="s">
        <v>231</v>
      </c>
      <c r="C2" s="115"/>
      <c r="D2" s="115"/>
      <c r="E2" s="115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2:19" x14ac:dyDescent="0.3">
      <c r="B3" s="66" t="s">
        <v>187</v>
      </c>
    </row>
    <row r="4" spans="2:19" x14ac:dyDescent="0.3">
      <c r="B4" s="66"/>
    </row>
    <row r="5" spans="2:19" x14ac:dyDescent="0.3">
      <c r="B5" s="74"/>
      <c r="C5" s="74"/>
      <c r="D5" s="74"/>
      <c r="E5" s="125" t="s">
        <v>205</v>
      </c>
      <c r="F5" s="125"/>
      <c r="G5" s="125"/>
      <c r="H5" s="125"/>
      <c r="I5" s="74"/>
      <c r="J5" s="125" t="s">
        <v>206</v>
      </c>
      <c r="K5" s="125"/>
      <c r="L5" s="125"/>
      <c r="M5" s="74"/>
      <c r="N5" s="125" t="s">
        <v>207</v>
      </c>
      <c r="O5" s="125"/>
      <c r="P5" s="125"/>
    </row>
    <row r="6" spans="2:19" s="67" customFormat="1" ht="28.8" x14ac:dyDescent="0.3">
      <c r="B6" s="99" t="s">
        <v>208</v>
      </c>
      <c r="C6" s="99" t="s">
        <v>209</v>
      </c>
      <c r="D6" s="99"/>
      <c r="E6" s="99" t="s">
        <v>210</v>
      </c>
      <c r="F6" s="99" t="s">
        <v>211</v>
      </c>
      <c r="G6" s="99" t="s">
        <v>212</v>
      </c>
      <c r="H6" s="99" t="s">
        <v>213</v>
      </c>
      <c r="I6" s="99"/>
      <c r="J6" s="99" t="s">
        <v>1</v>
      </c>
      <c r="K6" s="99" t="s">
        <v>7</v>
      </c>
      <c r="L6" s="99" t="s">
        <v>214</v>
      </c>
      <c r="M6" s="99"/>
      <c r="N6" s="99" t="s">
        <v>215</v>
      </c>
      <c r="O6" s="99" t="s">
        <v>216</v>
      </c>
      <c r="P6" s="99" t="s">
        <v>217</v>
      </c>
      <c r="Q6"/>
    </row>
    <row r="7" spans="2:19" ht="4.95" customHeight="1" x14ac:dyDescent="0.3">
      <c r="J7" s="100"/>
      <c r="K7" s="100"/>
      <c r="L7" s="100"/>
      <c r="N7" s="101"/>
      <c r="O7" s="101"/>
      <c r="P7" s="101"/>
    </row>
    <row r="8" spans="2:19" x14ac:dyDescent="0.3">
      <c r="B8" s="79" t="s">
        <v>191</v>
      </c>
      <c r="C8" s="79"/>
      <c r="D8" s="79"/>
      <c r="E8" s="84">
        <f>'Data (Comps)'!C3</f>
        <v>2434.4499999999998</v>
      </c>
      <c r="F8" s="84">
        <f>'Data (Comps)'!D3</f>
        <v>47.51</v>
      </c>
      <c r="G8" s="112">
        <f>'Data (Comps)'!E3</f>
        <v>115660.72</v>
      </c>
      <c r="H8" s="112">
        <f>'Data (Comps)'!F3</f>
        <v>126709.72</v>
      </c>
      <c r="I8" s="112"/>
      <c r="J8" s="112">
        <f>'Data (Comps)'!G3</f>
        <v>41864.949999999997</v>
      </c>
      <c r="K8" s="112">
        <f>'Data (Comps)'!H3</f>
        <v>6062.65</v>
      </c>
      <c r="L8" s="112">
        <f>'Data (Comps)'!I3</f>
        <v>1994.09</v>
      </c>
      <c r="M8" s="102"/>
      <c r="N8" s="103">
        <f>$H8/J8</f>
        <v>3.0266301524306134</v>
      </c>
      <c r="O8" s="103">
        <f>$H8/K8</f>
        <v>20.900055256364791</v>
      </c>
      <c r="P8" s="103">
        <f>G8/L8</f>
        <v>58.001755186576339</v>
      </c>
    </row>
    <row r="9" spans="2:19" ht="4.95" customHeight="1" x14ac:dyDescent="0.3">
      <c r="C9" s="3"/>
      <c r="E9" s="104"/>
      <c r="F9" s="104"/>
      <c r="G9" s="2"/>
      <c r="H9" s="2"/>
      <c r="I9" s="2"/>
      <c r="J9" s="2"/>
      <c r="K9" s="2"/>
      <c r="L9" s="2"/>
      <c r="N9" s="101"/>
      <c r="O9" s="101"/>
      <c r="P9" s="101"/>
    </row>
    <row r="10" spans="2:19" x14ac:dyDescent="0.3">
      <c r="B10" t="s">
        <v>189</v>
      </c>
      <c r="C10" s="3"/>
      <c r="E10" s="104">
        <f>'Data (Comps)'!C4</f>
        <v>9033.65</v>
      </c>
      <c r="F10" s="104">
        <f>'Data (Comps)'!D4</f>
        <v>27.93</v>
      </c>
      <c r="G10" s="2">
        <f>'Data (Comps)'!E4</f>
        <v>252271.55</v>
      </c>
      <c r="H10" s="2">
        <f>'Data (Comps)'!F4</f>
        <v>255963.64</v>
      </c>
      <c r="I10" s="2"/>
      <c r="J10" s="2">
        <f>'Data (Comps)'!G4</f>
        <v>48899.63</v>
      </c>
      <c r="K10" s="2">
        <f>'Data (Comps)'!H4</f>
        <v>10677.74</v>
      </c>
      <c r="L10" s="2">
        <f>'Data (Comps)'!I4</f>
        <v>7371.28</v>
      </c>
      <c r="N10" s="101">
        <f>$H10/J10</f>
        <v>5.2344698722669278</v>
      </c>
      <c r="O10" s="101">
        <f>$H10/K10</f>
        <v>23.971705623100021</v>
      </c>
      <c r="P10" s="101">
        <f>G10/L10</f>
        <v>34.223574467392368</v>
      </c>
    </row>
    <row r="11" spans="2:19" x14ac:dyDescent="0.3">
      <c r="B11" t="s">
        <v>190</v>
      </c>
      <c r="C11" s="3"/>
      <c r="E11" s="104">
        <f>'Data (Comps)'!C5</f>
        <v>4831.8500000000004</v>
      </c>
      <c r="F11" s="104">
        <f>'Data (Comps)'!D5</f>
        <v>27.41</v>
      </c>
      <c r="G11" s="2">
        <f>'Data (Comps)'!E5</f>
        <v>132456.69</v>
      </c>
      <c r="H11" s="2">
        <f>'Data (Comps)'!F5</f>
        <v>132652.67000000001</v>
      </c>
      <c r="I11" s="2"/>
      <c r="J11" s="2">
        <f>'Data (Comps)'!G5</f>
        <v>17091</v>
      </c>
      <c r="K11" s="2">
        <f>'Data (Comps)'!H5</f>
        <v>6200.6399999999994</v>
      </c>
      <c r="L11" s="2">
        <f>'Data (Comps)'!I5</f>
        <v>4268.21</v>
      </c>
      <c r="N11" s="101">
        <f t="shared" ref="N11:N12" si="0">$H11/J11</f>
        <v>7.761551108770699</v>
      </c>
      <c r="O11" s="101">
        <f t="shared" ref="O11:O12" si="1">$H11/K11</f>
        <v>21.393383586210462</v>
      </c>
      <c r="P11" s="101">
        <f t="shared" ref="P11:P12" si="2">G11/L11</f>
        <v>31.03331138814632</v>
      </c>
    </row>
    <row r="12" spans="2:19" x14ac:dyDescent="0.3">
      <c r="B12" t="s">
        <v>192</v>
      </c>
      <c r="C12" s="3"/>
      <c r="E12" s="104">
        <f>'Data (Comps)'!C6</f>
        <v>4761.7</v>
      </c>
      <c r="F12" s="104">
        <f>'Data (Comps)'!D6</f>
        <v>20</v>
      </c>
      <c r="G12" s="2">
        <f>'Data (Comps)'!E6</f>
        <v>95233.78</v>
      </c>
      <c r="H12" s="2">
        <f>'Data (Comps)'!F6</f>
        <v>95522.66</v>
      </c>
      <c r="I12" s="2"/>
      <c r="J12" s="2">
        <f>'Data (Comps)'!G6</f>
        <v>40098.26</v>
      </c>
      <c r="K12" s="2">
        <f>'Data (Comps)'!H6</f>
        <v>6489.49</v>
      </c>
      <c r="L12" s="2">
        <f>'Data (Comps)'!I6</f>
        <v>4133.26</v>
      </c>
      <c r="N12" s="101">
        <f t="shared" si="0"/>
        <v>2.3822145898600087</v>
      </c>
      <c r="O12" s="101">
        <f t="shared" si="1"/>
        <v>14.719594297856997</v>
      </c>
      <c r="P12" s="101">
        <f t="shared" si="2"/>
        <v>23.040839434248024</v>
      </c>
    </row>
    <row r="13" spans="2:19" x14ac:dyDescent="0.3">
      <c r="S13" s="101"/>
    </row>
    <row r="14" spans="2:19" x14ac:dyDescent="0.3">
      <c r="B14" s="80" t="s">
        <v>218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105">
        <f>MAX(N10:N12)</f>
        <v>7.761551108770699</v>
      </c>
      <c r="O14" s="105">
        <f t="shared" ref="O14:P14" si="3">MAX(O10:O12)</f>
        <v>23.971705623100021</v>
      </c>
      <c r="P14" s="105">
        <f t="shared" si="3"/>
        <v>34.223574467392368</v>
      </c>
    </row>
    <row r="15" spans="2:19" x14ac:dyDescent="0.3">
      <c r="B15" s="68" t="s">
        <v>219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103">
        <f>QUARTILE(N10:N12,)</f>
        <v>2.3822145898600087</v>
      </c>
      <c r="O15" s="103">
        <f t="shared" ref="O15:P15" si="4">QUARTILE(O10:O12,)</f>
        <v>14.719594297856997</v>
      </c>
      <c r="P15" s="103">
        <f t="shared" si="4"/>
        <v>23.040839434248024</v>
      </c>
    </row>
    <row r="16" spans="2:19" x14ac:dyDescent="0.3">
      <c r="B16" s="69" t="s">
        <v>220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106">
        <f>AVERAGE(N10:N12)</f>
        <v>5.1260785236325459</v>
      </c>
      <c r="O16" s="106">
        <f t="shared" ref="O16:P16" si="5">AVERAGE(O10:O12)</f>
        <v>20.028227835722493</v>
      </c>
      <c r="P16" s="106">
        <f t="shared" si="5"/>
        <v>29.432575096595571</v>
      </c>
    </row>
    <row r="17" spans="2:16" x14ac:dyDescent="0.3">
      <c r="B17" s="69" t="s">
        <v>221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106">
        <f>MEDIAN(N10:N12)</f>
        <v>5.2344698722669278</v>
      </c>
      <c r="O17" s="106">
        <f t="shared" ref="O17:P17" si="6">MEDIAN(O10:O12)</f>
        <v>21.393383586210462</v>
      </c>
      <c r="P17" s="106">
        <f t="shared" si="6"/>
        <v>31.03331138814632</v>
      </c>
    </row>
    <row r="18" spans="2:16" x14ac:dyDescent="0.3">
      <c r="B18" s="68" t="s">
        <v>222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103">
        <f>QUARTILE(N10:N12,1)</f>
        <v>3.8083422310634685</v>
      </c>
      <c r="O18" s="103">
        <f t="shared" ref="O18:P18" si="7">QUARTILE(O10:O12,1)</f>
        <v>18.056488942033731</v>
      </c>
      <c r="P18" s="103">
        <f t="shared" si="7"/>
        <v>27.037075411197172</v>
      </c>
    </row>
    <row r="19" spans="2:16" x14ac:dyDescent="0.3">
      <c r="B19" s="82" t="s">
        <v>223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07">
        <f>MIN(N10:N12)</f>
        <v>2.3822145898600087</v>
      </c>
      <c r="O19" s="107">
        <f t="shared" ref="O19:P19" si="8">MIN(O10:O12)</f>
        <v>14.719594297856997</v>
      </c>
      <c r="P19" s="107">
        <f t="shared" si="8"/>
        <v>23.040839434248024</v>
      </c>
    </row>
    <row r="21" spans="2:16" x14ac:dyDescent="0.3">
      <c r="B21" s="74" t="s">
        <v>224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8" t="s">
        <v>215</v>
      </c>
      <c r="O21" s="109" t="s">
        <v>216</v>
      </c>
      <c r="P21" s="110" t="s">
        <v>217</v>
      </c>
    </row>
    <row r="22" spans="2:16" x14ac:dyDescent="0.3">
      <c r="B22" t="s">
        <v>172</v>
      </c>
      <c r="N22" s="2">
        <f>N16*J8</f>
        <v>214603.02108795033</v>
      </c>
      <c r="O22" s="2">
        <f t="shared" ref="O22" si="9">O16*K8</f>
        <v>121424.13548824297</v>
      </c>
      <c r="P22" s="2"/>
    </row>
    <row r="23" spans="2:16" x14ac:dyDescent="0.3">
      <c r="B23" t="s">
        <v>225</v>
      </c>
      <c r="N23" s="2">
        <f>$H$8-$G$8</f>
        <v>11049</v>
      </c>
      <c r="O23" s="2">
        <f t="shared" ref="O23" si="10">$H$8-$G$8</f>
        <v>11049</v>
      </c>
      <c r="P23" s="2"/>
    </row>
    <row r="24" spans="2:16" x14ac:dyDescent="0.3">
      <c r="B24" t="s">
        <v>226</v>
      </c>
      <c r="N24" s="2">
        <f>N22-N23</f>
        <v>203554.02108795033</v>
      </c>
      <c r="O24" s="2">
        <f>O22-O23</f>
        <v>110375.13548824297</v>
      </c>
      <c r="P24" s="2">
        <f>P16*L8</f>
        <v>58691.203674370256</v>
      </c>
    </row>
    <row r="25" spans="2:16" x14ac:dyDescent="0.3">
      <c r="B25" t="s">
        <v>227</v>
      </c>
      <c r="N25" s="104">
        <f>$F$8</f>
        <v>47.51</v>
      </c>
      <c r="O25" s="104">
        <f t="shared" ref="O25:P25" si="11">$F$8</f>
        <v>47.51</v>
      </c>
      <c r="P25" s="104">
        <f t="shared" si="11"/>
        <v>47.51</v>
      </c>
    </row>
    <row r="26" spans="2:16" ht="15" thickBot="1" x14ac:dyDescent="0.35">
      <c r="B26" s="70" t="s">
        <v>228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71">
        <f>N24/N25</f>
        <v>4284.4458237834215</v>
      </c>
      <c r="O26" s="71">
        <f t="shared" ref="O26:P26" si="12">O24/O25</f>
        <v>2323.1979686011991</v>
      </c>
      <c r="P26" s="71">
        <f t="shared" si="12"/>
        <v>1235.344215415076</v>
      </c>
    </row>
    <row r="27" spans="2:16" ht="15" thickTop="1" x14ac:dyDescent="0.3"/>
  </sheetData>
  <mergeCells count="3">
    <mergeCell ref="E5:H5"/>
    <mergeCell ref="J5:L5"/>
    <mergeCell ref="N5:P5"/>
  </mergeCells>
  <conditionalFormatting sqref="N7:N12 O8 O10:O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ADBF-9F9A-4B5C-BAAE-8208CB9A1715}">
  <sheetPr>
    <pageSetUpPr fitToPage="1"/>
  </sheetPr>
  <dimension ref="A2:C26"/>
  <sheetViews>
    <sheetView showGridLines="0" zoomScale="85" workbookViewId="0">
      <selection activeCell="K27" sqref="K27"/>
    </sheetView>
  </sheetViews>
  <sheetFormatPr defaultRowHeight="14.4" x14ac:dyDescent="0.3"/>
  <cols>
    <col min="1" max="1" width="2" customWidth="1"/>
    <col min="2" max="2" width="38.21875" customWidth="1"/>
    <col min="3" max="3" width="23.77734375" customWidth="1"/>
  </cols>
  <sheetData>
    <row r="2" spans="1:3" ht="21" x14ac:dyDescent="0.4">
      <c r="B2" s="113" t="s">
        <v>74</v>
      </c>
      <c r="C2" s="118"/>
    </row>
    <row r="3" spans="1:3" ht="4.95" customHeight="1" x14ac:dyDescent="0.3"/>
    <row r="4" spans="1:3" x14ac:dyDescent="0.3">
      <c r="A4" t="s">
        <v>80</v>
      </c>
      <c r="B4" t="s">
        <v>81</v>
      </c>
    </row>
    <row r="5" spans="1:3" x14ac:dyDescent="0.3">
      <c r="B5" t="s">
        <v>82</v>
      </c>
    </row>
    <row r="6" spans="1:3" x14ac:dyDescent="0.3">
      <c r="B6" t="s">
        <v>83</v>
      </c>
    </row>
    <row r="7" spans="1:3" ht="4.95" customHeight="1" x14ac:dyDescent="0.3"/>
    <row r="8" spans="1:3" x14ac:dyDescent="0.3">
      <c r="B8" s="74"/>
      <c r="C8" s="74"/>
    </row>
    <row r="9" spans="1:3" x14ac:dyDescent="0.3">
      <c r="B9" t="s">
        <v>164</v>
      </c>
      <c r="C9" s="119">
        <v>6.9199999999999998E-2</v>
      </c>
    </row>
    <row r="10" spans="1:3" x14ac:dyDescent="0.3">
      <c r="B10" t="s">
        <v>85</v>
      </c>
      <c r="C10" s="60">
        <f>MarketReturns</f>
        <v>0.13691999999999999</v>
      </c>
    </row>
    <row r="11" spans="1:3" x14ac:dyDescent="0.3">
      <c r="B11" t="s">
        <v>86</v>
      </c>
      <c r="C11" s="21">
        <f>MarketReturns-RiskFreeRate</f>
        <v>6.7719999999999989E-2</v>
      </c>
    </row>
    <row r="12" spans="1:3" x14ac:dyDescent="0.3">
      <c r="B12" t="s">
        <v>73</v>
      </c>
      <c r="C12" s="61">
        <f>Beta</f>
        <v>0.93365966002929468</v>
      </c>
    </row>
    <row r="13" spans="1:3" x14ac:dyDescent="0.3">
      <c r="B13" t="s">
        <v>89</v>
      </c>
      <c r="C13" s="62">
        <f>TaxRate</f>
        <v>0.25</v>
      </c>
    </row>
    <row r="15" spans="1:3" x14ac:dyDescent="0.3">
      <c r="B15" t="s">
        <v>170</v>
      </c>
      <c r="C15" s="120">
        <v>114713</v>
      </c>
    </row>
    <row r="16" spans="1:3" x14ac:dyDescent="0.3">
      <c r="B16" t="s">
        <v>87</v>
      </c>
      <c r="C16" s="9">
        <f>C15/C23</f>
        <v>0.81938442417445834</v>
      </c>
    </row>
    <row r="17" spans="2:3" x14ac:dyDescent="0.3">
      <c r="B17" s="72" t="s">
        <v>88</v>
      </c>
      <c r="C17" s="121">
        <f>C9+C12*C11</f>
        <v>0.13242743217718383</v>
      </c>
    </row>
    <row r="19" spans="2:3" x14ac:dyDescent="0.3">
      <c r="B19" t="s">
        <v>90</v>
      </c>
      <c r="C19" s="63">
        <f>'Historical Statements'!G52+'Historical Statements'!G53</f>
        <v>25286</v>
      </c>
    </row>
    <row r="20" spans="2:3" x14ac:dyDescent="0.3">
      <c r="B20" t="s">
        <v>91</v>
      </c>
      <c r="C20" s="9">
        <f>C19/C23</f>
        <v>0.18061557582554161</v>
      </c>
    </row>
    <row r="21" spans="2:3" x14ac:dyDescent="0.3">
      <c r="B21" s="72" t="s">
        <v>92</v>
      </c>
      <c r="C21" s="130">
        <f>'Historical Statements'!G15/WACC!C19</f>
        <v>7.624772601439532E-2</v>
      </c>
    </row>
    <row r="23" spans="2:3" x14ac:dyDescent="0.3">
      <c r="B23" t="s">
        <v>93</v>
      </c>
      <c r="C23" s="2">
        <f>C19+C15</f>
        <v>139999</v>
      </c>
    </row>
    <row r="24" spans="2:3" ht="15" thickBot="1" x14ac:dyDescent="0.35">
      <c r="B24" s="122"/>
    </row>
    <row r="25" spans="2:3" ht="15" thickBot="1" x14ac:dyDescent="0.35">
      <c r="B25" s="97" t="s">
        <v>84</v>
      </c>
      <c r="C25" s="98">
        <f>EquityShare*CostofEquity+DebtShare*CostofDebt*(1-TaxRate)</f>
        <v>0.11883762046401251</v>
      </c>
    </row>
    <row r="26" spans="2:3" ht="15" thickTop="1" x14ac:dyDescent="0.3"/>
  </sheetData>
  <pageMargins left="1" right="1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22D1-C0FE-4886-B5D2-6A3655BBD76D}">
  <sheetPr>
    <pageSetUpPr fitToPage="1"/>
  </sheetPr>
  <dimension ref="B2:M66"/>
  <sheetViews>
    <sheetView showGridLines="0" zoomScale="89" workbookViewId="0"/>
  </sheetViews>
  <sheetFormatPr defaultRowHeight="14.4" x14ac:dyDescent="0.3"/>
  <cols>
    <col min="1" max="1" width="2" customWidth="1"/>
    <col min="2" max="2" width="19.77734375" customWidth="1"/>
    <col min="3" max="3" width="13.77734375" customWidth="1"/>
    <col min="4" max="4" width="7.21875" customWidth="1"/>
    <col min="5" max="5" width="13.77734375" customWidth="1"/>
    <col min="6" max="7" width="11.77734375" customWidth="1"/>
    <col min="8" max="8" width="2.88671875" customWidth="1"/>
    <col min="9" max="11" width="11.77734375" customWidth="1"/>
    <col min="12" max="12" width="8.6640625" customWidth="1"/>
    <col min="13" max="13" width="8.88671875" style="67" customWidth="1"/>
    <col min="14" max="14" width="8.88671875" customWidth="1"/>
  </cols>
  <sheetData>
    <row r="2" spans="2:11" ht="21" x14ac:dyDescent="0.4">
      <c r="B2" s="113" t="s">
        <v>178</v>
      </c>
      <c r="C2" s="118"/>
      <c r="D2" s="118"/>
      <c r="E2" s="118"/>
      <c r="F2" s="118"/>
      <c r="G2" s="118"/>
      <c r="H2" s="118"/>
      <c r="I2" s="118"/>
      <c r="J2" s="118"/>
    </row>
    <row r="4" spans="2:11" x14ac:dyDescent="0.3">
      <c r="B4" s="126" t="s">
        <v>181</v>
      </c>
      <c r="C4" s="126"/>
      <c r="E4" s="126" t="s">
        <v>179</v>
      </c>
      <c r="F4" s="126"/>
      <c r="G4" s="126"/>
      <c r="I4" s="126" t="s">
        <v>180</v>
      </c>
      <c r="J4" s="126"/>
      <c r="K4" s="38"/>
    </row>
    <row r="5" spans="2:11" x14ac:dyDescent="0.3">
      <c r="B5" t="s">
        <v>159</v>
      </c>
      <c r="C5" s="22">
        <f>SLOPE(G8:G67,J8:J67)</f>
        <v>0.89948433337771916</v>
      </c>
      <c r="E5" s="117" t="s">
        <v>68</v>
      </c>
      <c r="F5" s="117" t="s">
        <v>101</v>
      </c>
      <c r="G5" s="117" t="s">
        <v>102</v>
      </c>
      <c r="I5" s="117" t="s">
        <v>101</v>
      </c>
      <c r="J5" s="117" t="s">
        <v>102</v>
      </c>
      <c r="K5" s="38"/>
    </row>
    <row r="6" spans="2:11" x14ac:dyDescent="0.3">
      <c r="B6" t="s">
        <v>160</v>
      </c>
      <c r="C6" s="54">
        <v>0.66</v>
      </c>
      <c r="E6" s="39" t="s">
        <v>96</v>
      </c>
      <c r="F6" s="40">
        <v>2415.4499999999998</v>
      </c>
      <c r="G6" s="41"/>
      <c r="I6" s="40">
        <v>23914.15</v>
      </c>
      <c r="J6" s="41"/>
    </row>
    <row r="7" spans="2:11" x14ac:dyDescent="0.3">
      <c r="E7" s="42" t="s">
        <v>103</v>
      </c>
      <c r="F7" s="43">
        <v>2440.65</v>
      </c>
      <c r="G7" s="44">
        <f>F7/F6-1</f>
        <v>1.0432838601502903E-2</v>
      </c>
      <c r="I7" s="43">
        <v>24274.9</v>
      </c>
      <c r="J7" s="44">
        <f>I7/I6-1</f>
        <v>1.5085211057052073E-2</v>
      </c>
      <c r="K7" s="38"/>
    </row>
    <row r="8" spans="2:11" x14ac:dyDescent="0.3">
      <c r="B8" t="s">
        <v>161</v>
      </c>
      <c r="C8">
        <v>1</v>
      </c>
      <c r="E8" s="42" t="s">
        <v>104</v>
      </c>
      <c r="F8" s="43">
        <v>2493.6999999999998</v>
      </c>
      <c r="G8" s="44">
        <f t="shared" ref="G8:G66" si="0">F8/F7-1</f>
        <v>2.1736012947370487E-2</v>
      </c>
      <c r="I8" s="43">
        <v>24205.35</v>
      </c>
      <c r="J8" s="44">
        <f t="shared" ref="J8:J66" si="1">I8/I7-1</f>
        <v>-2.8650993412950854E-3</v>
      </c>
      <c r="K8" s="38"/>
    </row>
    <row r="9" spans="2:11" x14ac:dyDescent="0.3">
      <c r="B9" t="s">
        <v>162</v>
      </c>
      <c r="C9" s="10">
        <f>1 - C6</f>
        <v>0.33999999999999997</v>
      </c>
      <c r="E9" s="42" t="s">
        <v>105</v>
      </c>
      <c r="F9" s="43">
        <v>2839.85</v>
      </c>
      <c r="G9" s="44">
        <f t="shared" si="0"/>
        <v>0.1388098006977585</v>
      </c>
      <c r="I9" s="43">
        <v>25810.85</v>
      </c>
      <c r="J9" s="44">
        <f t="shared" si="1"/>
        <v>6.6328311716211452E-2</v>
      </c>
      <c r="K9" s="38"/>
    </row>
    <row r="10" spans="2:11" ht="15" thickBot="1" x14ac:dyDescent="0.35">
      <c r="E10" s="42" t="s">
        <v>106</v>
      </c>
      <c r="F10" s="43">
        <v>2813.3</v>
      </c>
      <c r="G10" s="44">
        <f t="shared" si="0"/>
        <v>-9.3490853390142403E-3</v>
      </c>
      <c r="I10" s="43">
        <v>25235.9</v>
      </c>
      <c r="J10" s="44">
        <f t="shared" si="1"/>
        <v>-2.2275515916755806E-2</v>
      </c>
      <c r="K10" s="38"/>
    </row>
    <row r="11" spans="2:11" ht="15" thickBot="1" x14ac:dyDescent="0.35">
      <c r="B11" s="15" t="s">
        <v>163</v>
      </c>
      <c r="C11" s="52">
        <f>C5*C6+C8*C9</f>
        <v>0.93365966002929468</v>
      </c>
      <c r="E11" s="42" t="s">
        <v>97</v>
      </c>
      <c r="F11" s="43">
        <v>2531</v>
      </c>
      <c r="G11" s="44">
        <f t="shared" si="0"/>
        <v>-0.10034479081505709</v>
      </c>
      <c r="I11" s="43">
        <v>24951.15</v>
      </c>
      <c r="J11" s="44">
        <f t="shared" si="1"/>
        <v>-1.1283528623904804E-2</v>
      </c>
      <c r="K11" s="38"/>
    </row>
    <row r="12" spans="2:11" ht="15" thickTop="1" x14ac:dyDescent="0.3">
      <c r="E12" s="42" t="s">
        <v>107</v>
      </c>
      <c r="F12" s="43">
        <v>2364.85</v>
      </c>
      <c r="G12" s="44">
        <f t="shared" si="0"/>
        <v>-6.564598972738056E-2</v>
      </c>
      <c r="I12" s="43">
        <v>24010.6</v>
      </c>
      <c r="J12" s="44">
        <f t="shared" si="1"/>
        <v>-3.7695657314392395E-2</v>
      </c>
      <c r="K12" s="38"/>
    </row>
    <row r="13" spans="2:11" x14ac:dyDescent="0.3">
      <c r="E13" s="42" t="s">
        <v>108</v>
      </c>
      <c r="F13" s="43">
        <v>2179.25</v>
      </c>
      <c r="G13" s="44">
        <f t="shared" si="0"/>
        <v>-7.8482779034611094E-2</v>
      </c>
      <c r="I13" s="43">
        <v>22530.7</v>
      </c>
      <c r="J13" s="44">
        <f t="shared" si="1"/>
        <v>-6.1635277752326023E-2</v>
      </c>
      <c r="K13" s="38"/>
    </row>
    <row r="14" spans="2:11" x14ac:dyDescent="0.3">
      <c r="B14" s="126" t="s">
        <v>182</v>
      </c>
      <c r="C14" s="126"/>
      <c r="E14" s="42" t="s">
        <v>98</v>
      </c>
      <c r="F14" s="43">
        <v>2060</v>
      </c>
      <c r="G14" s="44">
        <f t="shared" si="0"/>
        <v>-5.4720660777790475E-2</v>
      </c>
      <c r="I14" s="43">
        <v>22604.85</v>
      </c>
      <c r="J14" s="44">
        <f t="shared" si="1"/>
        <v>3.2910650800905827E-3</v>
      </c>
      <c r="K14" s="38"/>
    </row>
    <row r="15" spans="2:11" x14ac:dyDescent="0.3">
      <c r="B15" s="117" t="s">
        <v>15</v>
      </c>
      <c r="C15" s="117" t="s">
        <v>165</v>
      </c>
      <c r="E15" s="42" t="s">
        <v>109</v>
      </c>
      <c r="F15" s="43">
        <v>2143.38</v>
      </c>
      <c r="G15" s="44">
        <f t="shared" si="0"/>
        <v>4.0475728155339841E-2</v>
      </c>
      <c r="I15" s="43">
        <v>22326.9</v>
      </c>
      <c r="J15" s="44">
        <f t="shared" si="1"/>
        <v>-1.2296033815751839E-2</v>
      </c>
      <c r="K15" s="38"/>
    </row>
    <row r="16" spans="2:11" x14ac:dyDescent="0.3">
      <c r="B16" s="50">
        <v>2014</v>
      </c>
      <c r="C16" s="38">
        <v>0.31390000000000001</v>
      </c>
      <c r="E16" s="42" t="s">
        <v>110</v>
      </c>
      <c r="F16" s="43">
        <v>2130.7800000000002</v>
      </c>
      <c r="G16" s="44">
        <f t="shared" si="0"/>
        <v>-5.8785656299862321E-3</v>
      </c>
      <c r="I16" s="43">
        <v>21982.799999999999</v>
      </c>
      <c r="J16" s="44">
        <f t="shared" si="1"/>
        <v>-1.5411902234524377E-2</v>
      </c>
      <c r="K16" s="38"/>
    </row>
    <row r="17" spans="2:11" x14ac:dyDescent="0.3">
      <c r="B17" s="50">
        <v>2015</v>
      </c>
      <c r="C17" s="38">
        <v>-4.0599999999999997E-2</v>
      </c>
      <c r="E17" s="42" t="s">
        <v>99</v>
      </c>
      <c r="F17" s="43">
        <v>1993.47</v>
      </c>
      <c r="G17" s="44">
        <f t="shared" si="0"/>
        <v>-6.4441190549939575E-2</v>
      </c>
      <c r="I17" s="43">
        <v>21725.7</v>
      </c>
      <c r="J17" s="44">
        <f t="shared" si="1"/>
        <v>-1.1695507396691895E-2</v>
      </c>
      <c r="K17" s="38"/>
    </row>
    <row r="18" spans="2:11" x14ac:dyDescent="0.3">
      <c r="B18" s="50">
        <v>2016</v>
      </c>
      <c r="C18" s="38">
        <v>3.0099999999999998E-2</v>
      </c>
      <c r="E18" s="42" t="s">
        <v>111</v>
      </c>
      <c r="F18" s="43">
        <v>2017.82</v>
      </c>
      <c r="G18" s="44">
        <f t="shared" si="0"/>
        <v>1.2214881588386017E-2</v>
      </c>
      <c r="I18" s="43">
        <v>21731.4</v>
      </c>
      <c r="J18" s="44">
        <f t="shared" si="1"/>
        <v>2.6236208729746302E-4</v>
      </c>
      <c r="K18" s="38"/>
    </row>
    <row r="19" spans="2:11" x14ac:dyDescent="0.3">
      <c r="B19" s="50">
        <v>2017</v>
      </c>
      <c r="C19" s="38">
        <v>0.28649999999999998</v>
      </c>
      <c r="E19" s="45" t="s">
        <v>112</v>
      </c>
      <c r="F19" s="46">
        <v>1857.16</v>
      </c>
      <c r="G19" s="47">
        <f t="shared" si="0"/>
        <v>-7.962058062661681E-2</v>
      </c>
      <c r="I19" s="46">
        <v>20133.150000000001</v>
      </c>
      <c r="J19" s="47">
        <f t="shared" si="1"/>
        <v>-7.3545652834147823E-2</v>
      </c>
      <c r="K19" s="38"/>
    </row>
    <row r="20" spans="2:11" x14ac:dyDescent="0.3">
      <c r="B20" s="50">
        <v>2018</v>
      </c>
      <c r="C20" s="38">
        <v>3.15E-2</v>
      </c>
      <c r="E20" s="48" t="s">
        <v>113</v>
      </c>
      <c r="F20" s="40">
        <v>1584.54</v>
      </c>
      <c r="G20" s="49">
        <f t="shared" si="0"/>
        <v>-0.14679402959357302</v>
      </c>
      <c r="I20" s="40">
        <v>19079.599999999999</v>
      </c>
      <c r="J20" s="49">
        <f t="shared" si="1"/>
        <v>-5.2329118890983461E-2</v>
      </c>
      <c r="K20" s="38"/>
    </row>
    <row r="21" spans="2:11" x14ac:dyDescent="0.3">
      <c r="B21" s="50">
        <v>2019</v>
      </c>
      <c r="C21" s="38">
        <v>0.1202</v>
      </c>
      <c r="E21" s="42" t="s">
        <v>114</v>
      </c>
      <c r="F21" s="43">
        <v>1515.81</v>
      </c>
      <c r="G21" s="44">
        <f t="shared" si="0"/>
        <v>-4.3375364459085963E-2</v>
      </c>
      <c r="I21" s="43">
        <v>19638.3</v>
      </c>
      <c r="J21" s="44">
        <f t="shared" si="1"/>
        <v>2.9282584540556433E-2</v>
      </c>
      <c r="K21" s="38"/>
    </row>
    <row r="22" spans="2:11" x14ac:dyDescent="0.3">
      <c r="B22" s="50">
        <v>2020</v>
      </c>
      <c r="C22" s="38">
        <v>0.14899999999999999</v>
      </c>
      <c r="E22" s="42" t="s">
        <v>115</v>
      </c>
      <c r="F22" s="43">
        <v>1414.31</v>
      </c>
      <c r="G22" s="44">
        <f t="shared" si="0"/>
        <v>-6.6960898793384405E-2</v>
      </c>
      <c r="I22" s="43">
        <v>19253.8</v>
      </c>
      <c r="J22" s="44">
        <f t="shared" si="1"/>
        <v>-1.9579087802915729E-2</v>
      </c>
      <c r="K22" s="38"/>
    </row>
    <row r="23" spans="2:11" x14ac:dyDescent="0.3">
      <c r="B23" s="50">
        <v>2021</v>
      </c>
      <c r="C23" s="38">
        <v>0.2412</v>
      </c>
      <c r="E23" s="42" t="s">
        <v>116</v>
      </c>
      <c r="F23" s="43">
        <v>1371.28</v>
      </c>
      <c r="G23" s="44">
        <f t="shared" si="0"/>
        <v>-3.0424730080392592E-2</v>
      </c>
      <c r="I23" s="43">
        <v>19753.8</v>
      </c>
      <c r="J23" s="44">
        <f t="shared" si="1"/>
        <v>2.5968899645784305E-2</v>
      </c>
      <c r="K23" s="38"/>
    </row>
    <row r="24" spans="2:11" x14ac:dyDescent="0.3">
      <c r="B24" s="50">
        <v>2022</v>
      </c>
      <c r="C24" s="38">
        <v>4.3200000000000002E-2</v>
      </c>
      <c r="E24" s="42" t="s">
        <v>117</v>
      </c>
      <c r="F24" s="43">
        <v>1320.43</v>
      </c>
      <c r="G24" s="44">
        <f t="shared" si="0"/>
        <v>-3.7082142232075066E-2</v>
      </c>
      <c r="I24" s="43">
        <v>19189.05</v>
      </c>
      <c r="J24" s="44">
        <f t="shared" si="1"/>
        <v>-2.8589435956626108E-2</v>
      </c>
      <c r="K24" s="38"/>
    </row>
    <row r="25" spans="2:11" ht="15" thickBot="1" x14ac:dyDescent="0.35">
      <c r="B25" s="50">
        <v>2023</v>
      </c>
      <c r="C25" s="38">
        <v>0.19420000000000001</v>
      </c>
      <c r="E25" s="42" t="s">
        <v>100</v>
      </c>
      <c r="F25" s="43">
        <v>1297.67</v>
      </c>
      <c r="G25" s="44">
        <f t="shared" si="0"/>
        <v>-1.7236809221238492E-2</v>
      </c>
      <c r="I25" s="43">
        <v>18534.400000000001</v>
      </c>
      <c r="J25" s="44">
        <f t="shared" si="1"/>
        <v>-3.4115810840036231E-2</v>
      </c>
      <c r="K25" s="38"/>
    </row>
    <row r="26" spans="2:11" ht="15" thickBot="1" x14ac:dyDescent="0.35">
      <c r="B26" s="15" t="s">
        <v>166</v>
      </c>
      <c r="C26" s="51">
        <f>AVERAGE(C16:C25)</f>
        <v>0.13691999999999999</v>
      </c>
      <c r="E26" s="45" t="s">
        <v>118</v>
      </c>
      <c r="F26" s="46">
        <v>1133.8699999999999</v>
      </c>
      <c r="G26" s="47">
        <f t="shared" si="0"/>
        <v>-0.12622623625420959</v>
      </c>
      <c r="I26" s="46">
        <v>18065</v>
      </c>
      <c r="J26" s="47">
        <f t="shared" si="1"/>
        <v>-2.5325880524861955E-2</v>
      </c>
      <c r="K26" s="38"/>
    </row>
    <row r="27" spans="2:11" ht="15" thickTop="1" x14ac:dyDescent="0.3">
      <c r="E27" s="48" t="s">
        <v>119</v>
      </c>
      <c r="F27" s="40">
        <v>1072.96</v>
      </c>
      <c r="G27" s="49">
        <f t="shared" si="0"/>
        <v>-5.3718680271988783E-2</v>
      </c>
      <c r="I27" s="40">
        <v>17359.75</v>
      </c>
      <c r="J27" s="49">
        <f t="shared" si="1"/>
        <v>-3.9039579296983096E-2</v>
      </c>
      <c r="K27" s="38"/>
    </row>
    <row r="28" spans="2:11" x14ac:dyDescent="0.3">
      <c r="E28" s="42" t="s">
        <v>120</v>
      </c>
      <c r="F28" s="43">
        <v>1070.76</v>
      </c>
      <c r="G28" s="44">
        <f t="shared" si="0"/>
        <v>-2.0504026245153906E-3</v>
      </c>
      <c r="I28" s="43">
        <v>17303.95</v>
      </c>
      <c r="J28" s="44">
        <f t="shared" si="1"/>
        <v>-3.2143320036290834E-3</v>
      </c>
      <c r="K28" s="38"/>
    </row>
    <row r="29" spans="2:11" x14ac:dyDescent="0.3">
      <c r="E29" s="42" t="s">
        <v>121</v>
      </c>
      <c r="F29" s="43">
        <v>1027.5999999999999</v>
      </c>
      <c r="G29" s="44">
        <f t="shared" si="0"/>
        <v>-4.0307818745563995E-2</v>
      </c>
      <c r="I29" s="43">
        <v>17662.150000000001</v>
      </c>
      <c r="J29" s="44">
        <f t="shared" si="1"/>
        <v>2.0700475902900806E-2</v>
      </c>
      <c r="K29" s="38"/>
    </row>
    <row r="30" spans="2:11" x14ac:dyDescent="0.3">
      <c r="E30" s="42" t="s">
        <v>122</v>
      </c>
      <c r="F30" s="43">
        <v>1075.82</v>
      </c>
      <c r="G30" s="44">
        <f t="shared" si="0"/>
        <v>4.6924873491630992E-2</v>
      </c>
      <c r="I30" s="43">
        <v>18105.3</v>
      </c>
      <c r="J30" s="44">
        <f t="shared" si="1"/>
        <v>2.5090376879371767E-2</v>
      </c>
      <c r="K30" s="38"/>
    </row>
    <row r="31" spans="2:11" x14ac:dyDescent="0.3">
      <c r="E31" s="42" t="s">
        <v>123</v>
      </c>
      <c r="F31" s="43">
        <v>1038.9000000000001</v>
      </c>
      <c r="G31" s="44">
        <f t="shared" si="0"/>
        <v>-3.4318008588797189E-2</v>
      </c>
      <c r="I31" s="43">
        <v>18758.349999999999</v>
      </c>
      <c r="J31" s="44">
        <f t="shared" si="1"/>
        <v>3.6069548695685683E-2</v>
      </c>
      <c r="K31" s="38"/>
    </row>
    <row r="32" spans="2:11" x14ac:dyDescent="0.3">
      <c r="E32" s="42" t="s">
        <v>124</v>
      </c>
      <c r="F32" s="43">
        <v>1135.93</v>
      </c>
      <c r="G32" s="44">
        <f t="shared" si="0"/>
        <v>9.3396862065646236E-2</v>
      </c>
      <c r="I32" s="43">
        <v>18012.2</v>
      </c>
      <c r="J32" s="44">
        <f t="shared" si="1"/>
        <v>-3.9776952663746923E-2</v>
      </c>
      <c r="K32" s="38"/>
    </row>
    <row r="33" spans="5:11" x14ac:dyDescent="0.3">
      <c r="E33" s="42" t="s">
        <v>125</v>
      </c>
      <c r="F33" s="43">
        <v>1023.14</v>
      </c>
      <c r="G33" s="44">
        <f t="shared" si="0"/>
        <v>-9.9293090243236848E-2</v>
      </c>
      <c r="I33" s="43">
        <v>17094.349999999999</v>
      </c>
      <c r="J33" s="44">
        <f t="shared" si="1"/>
        <v>-5.0957129056972583E-2</v>
      </c>
      <c r="K33" s="38"/>
    </row>
    <row r="34" spans="5:11" x14ac:dyDescent="0.3">
      <c r="E34" s="42" t="s">
        <v>126</v>
      </c>
      <c r="F34" s="43">
        <v>976.9</v>
      </c>
      <c r="G34" s="44">
        <f t="shared" si="0"/>
        <v>-4.5194206071505372E-2</v>
      </c>
      <c r="I34" s="43">
        <v>17759.3</v>
      </c>
      <c r="J34" s="44">
        <f t="shared" si="1"/>
        <v>3.8898817445530254E-2</v>
      </c>
      <c r="K34" s="38"/>
    </row>
    <row r="35" spans="5:11" x14ac:dyDescent="0.3">
      <c r="E35" s="42" t="s">
        <v>127</v>
      </c>
      <c r="F35" s="43">
        <v>900.03</v>
      </c>
      <c r="G35" s="44">
        <f t="shared" si="0"/>
        <v>-7.8687685535878793E-2</v>
      </c>
      <c r="I35" s="43">
        <v>17158.25</v>
      </c>
      <c r="J35" s="44">
        <f t="shared" si="1"/>
        <v>-3.3844239356280892E-2</v>
      </c>
      <c r="K35" s="38"/>
    </row>
    <row r="36" spans="5:11" x14ac:dyDescent="0.3">
      <c r="E36" s="42" t="s">
        <v>128</v>
      </c>
      <c r="F36" s="43">
        <v>834.52</v>
      </c>
      <c r="G36" s="44">
        <f t="shared" si="0"/>
        <v>-7.2786462673466445E-2</v>
      </c>
      <c r="I36" s="43">
        <v>15780.25</v>
      </c>
      <c r="J36" s="44">
        <f t="shared" si="1"/>
        <v>-8.0311220549881268E-2</v>
      </c>
      <c r="K36" s="38"/>
    </row>
    <row r="37" spans="5:11" x14ac:dyDescent="0.3">
      <c r="E37" s="42" t="s">
        <v>129</v>
      </c>
      <c r="F37" s="43">
        <v>730.05</v>
      </c>
      <c r="G37" s="44">
        <f t="shared" si="0"/>
        <v>-0.12518573551263001</v>
      </c>
      <c r="I37" s="43">
        <v>16584.55</v>
      </c>
      <c r="J37" s="44">
        <f t="shared" si="1"/>
        <v>5.0968774258962846E-2</v>
      </c>
      <c r="K37" s="38"/>
    </row>
    <row r="38" spans="5:11" x14ac:dyDescent="0.3">
      <c r="E38" s="42" t="s">
        <v>130</v>
      </c>
      <c r="F38" s="43">
        <v>649.07000000000005</v>
      </c>
      <c r="G38" s="44">
        <f t="shared" si="0"/>
        <v>-0.11092390932127927</v>
      </c>
      <c r="I38" s="43">
        <v>17102.55</v>
      </c>
      <c r="J38" s="44">
        <f t="shared" si="1"/>
        <v>3.1233889372940471E-2</v>
      </c>
      <c r="K38" s="38"/>
    </row>
    <row r="39" spans="5:11" x14ac:dyDescent="0.3">
      <c r="E39" s="42" t="s">
        <v>131</v>
      </c>
      <c r="F39" s="43">
        <v>616.30999999999995</v>
      </c>
      <c r="G39" s="44">
        <f t="shared" si="0"/>
        <v>-5.0472214090930279E-2</v>
      </c>
      <c r="I39" s="43">
        <v>17464.75</v>
      </c>
      <c r="J39" s="44">
        <f t="shared" si="1"/>
        <v>2.1178128407752128E-2</v>
      </c>
      <c r="K39" s="38"/>
    </row>
    <row r="40" spans="5:11" x14ac:dyDescent="0.3">
      <c r="E40" s="42" t="s">
        <v>132</v>
      </c>
      <c r="F40" s="43">
        <v>608.38</v>
      </c>
      <c r="G40" s="44">
        <f t="shared" si="0"/>
        <v>-1.2866901397024177E-2</v>
      </c>
      <c r="I40" s="43">
        <v>16793.900000000001</v>
      </c>
      <c r="J40" s="44">
        <f t="shared" si="1"/>
        <v>-3.841165776778932E-2</v>
      </c>
      <c r="K40" s="38"/>
    </row>
    <row r="41" spans="5:11" x14ac:dyDescent="0.3">
      <c r="E41" s="42" t="s">
        <v>133</v>
      </c>
      <c r="F41" s="43">
        <v>597.25</v>
      </c>
      <c r="G41" s="44">
        <f t="shared" si="0"/>
        <v>-1.8294486998257642E-2</v>
      </c>
      <c r="I41" s="43">
        <v>17339.849999999999</v>
      </c>
      <c r="J41" s="44">
        <f t="shared" si="1"/>
        <v>3.2508827610024937E-2</v>
      </c>
      <c r="K41" s="38"/>
    </row>
    <row r="42" spans="5:11" x14ac:dyDescent="0.3">
      <c r="E42" s="42" t="s">
        <v>134</v>
      </c>
      <c r="F42" s="43">
        <v>617.64</v>
      </c>
      <c r="G42" s="44">
        <f t="shared" si="0"/>
        <v>3.4139807450816129E-2</v>
      </c>
      <c r="I42" s="43">
        <v>17354.05</v>
      </c>
      <c r="J42" s="44">
        <f t="shared" si="1"/>
        <v>8.189228857227171E-4</v>
      </c>
      <c r="K42" s="38"/>
    </row>
    <row r="43" spans="5:11" x14ac:dyDescent="0.3">
      <c r="E43" s="42" t="s">
        <v>135</v>
      </c>
      <c r="F43" s="43">
        <v>676.25</v>
      </c>
      <c r="G43" s="44">
        <f t="shared" si="0"/>
        <v>9.4893465449128911E-2</v>
      </c>
      <c r="I43" s="43">
        <v>16983.2</v>
      </c>
      <c r="J43" s="44">
        <f t="shared" si="1"/>
        <v>-2.1369651464643646E-2</v>
      </c>
      <c r="K43" s="38"/>
    </row>
    <row r="44" spans="5:11" x14ac:dyDescent="0.3">
      <c r="E44" s="42" t="s">
        <v>136</v>
      </c>
      <c r="F44" s="43">
        <v>652.66</v>
      </c>
      <c r="G44" s="44">
        <f t="shared" si="0"/>
        <v>-3.488354898336421E-2</v>
      </c>
      <c r="I44" s="43">
        <v>17671.650000000001</v>
      </c>
      <c r="J44" s="44">
        <f t="shared" si="1"/>
        <v>4.0537119035281899E-2</v>
      </c>
      <c r="K44" s="38"/>
    </row>
    <row r="45" spans="5:11" x14ac:dyDescent="0.3">
      <c r="E45" s="42" t="s">
        <v>137</v>
      </c>
      <c r="F45" s="43">
        <v>541.25</v>
      </c>
      <c r="G45" s="44">
        <f t="shared" si="0"/>
        <v>-0.17070143719547692</v>
      </c>
      <c r="I45" s="43">
        <v>17618.150000000001</v>
      </c>
      <c r="J45" s="44">
        <f t="shared" si="1"/>
        <v>-3.0274479179929203E-3</v>
      </c>
      <c r="K45" s="38"/>
    </row>
    <row r="46" spans="5:11" x14ac:dyDescent="0.3">
      <c r="E46" s="42" t="s">
        <v>138</v>
      </c>
      <c r="F46" s="43">
        <v>517.30999999999995</v>
      </c>
      <c r="G46" s="44">
        <f t="shared" si="0"/>
        <v>-4.4230946882217181E-2</v>
      </c>
      <c r="I46" s="43">
        <v>17132.2</v>
      </c>
      <c r="J46" s="44">
        <f t="shared" si="1"/>
        <v>-2.7582351154917029E-2</v>
      </c>
      <c r="K46" s="38"/>
    </row>
    <row r="47" spans="5:11" x14ac:dyDescent="0.3">
      <c r="E47" s="42" t="s">
        <v>139</v>
      </c>
      <c r="F47" s="43">
        <v>570.65</v>
      </c>
      <c r="G47" s="44">
        <f t="shared" si="0"/>
        <v>0.10311032069745418</v>
      </c>
      <c r="I47" s="43">
        <v>15763.05</v>
      </c>
      <c r="J47" s="44">
        <f t="shared" si="1"/>
        <v>-7.9916764922193351E-2</v>
      </c>
      <c r="K47" s="38"/>
    </row>
    <row r="48" spans="5:11" x14ac:dyDescent="0.3">
      <c r="E48" s="42" t="s">
        <v>140</v>
      </c>
      <c r="F48" s="43">
        <v>611.23</v>
      </c>
      <c r="G48" s="44">
        <f t="shared" si="0"/>
        <v>7.1111889950057128E-2</v>
      </c>
      <c r="I48" s="43">
        <v>15721.5</v>
      </c>
      <c r="J48" s="44">
        <f t="shared" si="1"/>
        <v>-2.6359111973888183E-3</v>
      </c>
      <c r="K48" s="38"/>
    </row>
    <row r="49" spans="5:11" x14ac:dyDescent="0.3">
      <c r="E49" s="42" t="s">
        <v>141</v>
      </c>
      <c r="F49" s="43">
        <v>606.01</v>
      </c>
      <c r="G49" s="44">
        <f t="shared" si="0"/>
        <v>-8.540156733144677E-3</v>
      </c>
      <c r="I49" s="43">
        <v>15582.8</v>
      </c>
      <c r="J49" s="44">
        <f t="shared" si="1"/>
        <v>-8.8223133924880681E-3</v>
      </c>
      <c r="K49" s="38"/>
    </row>
    <row r="50" spans="5:11" x14ac:dyDescent="0.3">
      <c r="E50" s="42" t="s">
        <v>142</v>
      </c>
      <c r="F50" s="43">
        <v>621.48</v>
      </c>
      <c r="G50" s="44">
        <f t="shared" si="0"/>
        <v>2.5527631557235031E-2</v>
      </c>
      <c r="I50" s="43">
        <v>14631.1</v>
      </c>
      <c r="J50" s="44">
        <f t="shared" si="1"/>
        <v>-6.1073747978540371E-2</v>
      </c>
      <c r="K50" s="38"/>
    </row>
    <row r="51" spans="5:11" x14ac:dyDescent="0.3">
      <c r="E51" s="42" t="s">
        <v>143</v>
      </c>
      <c r="F51" s="43">
        <v>574.9</v>
      </c>
      <c r="G51" s="44">
        <f t="shared" si="0"/>
        <v>-7.495011907060567E-2</v>
      </c>
      <c r="I51" s="43">
        <v>14690.7</v>
      </c>
      <c r="J51" s="44">
        <f t="shared" si="1"/>
        <v>4.0735146366301933E-3</v>
      </c>
      <c r="K51" s="38"/>
    </row>
    <row r="52" spans="5:11" x14ac:dyDescent="0.3">
      <c r="E52" s="42" t="s">
        <v>144</v>
      </c>
      <c r="F52" s="43">
        <v>582.53</v>
      </c>
      <c r="G52" s="44">
        <f t="shared" si="0"/>
        <v>1.3271873369281595E-2</v>
      </c>
      <c r="I52" s="43">
        <v>14529.15</v>
      </c>
      <c r="J52" s="44">
        <f t="shared" si="1"/>
        <v>-1.0996753047846641E-2</v>
      </c>
      <c r="K52" s="38"/>
    </row>
    <row r="53" spans="5:11" x14ac:dyDescent="0.3">
      <c r="E53" s="42" t="s">
        <v>145</v>
      </c>
      <c r="F53" s="43">
        <v>549.17999999999995</v>
      </c>
      <c r="G53" s="44">
        <f t="shared" si="0"/>
        <v>-5.7250270372341427E-2</v>
      </c>
      <c r="I53" s="43">
        <v>13634.6</v>
      </c>
      <c r="J53" s="44">
        <f t="shared" si="1"/>
        <v>-6.156932786845748E-2</v>
      </c>
      <c r="K53" s="38"/>
    </row>
    <row r="54" spans="5:11" x14ac:dyDescent="0.3">
      <c r="E54" s="42" t="s">
        <v>146</v>
      </c>
      <c r="F54" s="43">
        <v>475.03</v>
      </c>
      <c r="G54" s="44">
        <f t="shared" si="0"/>
        <v>-0.13501948359372151</v>
      </c>
      <c r="I54" s="43">
        <v>13981.75</v>
      </c>
      <c r="J54" s="44">
        <f t="shared" si="1"/>
        <v>2.5460959617443768E-2</v>
      </c>
      <c r="K54" s="38"/>
    </row>
    <row r="55" spans="5:11" x14ac:dyDescent="0.3">
      <c r="E55" s="42" t="s">
        <v>147</v>
      </c>
      <c r="F55" s="43">
        <v>489.38</v>
      </c>
      <c r="G55" s="44">
        <f t="shared" si="0"/>
        <v>3.0208618403048337E-2</v>
      </c>
      <c r="I55" s="43">
        <v>12968.95</v>
      </c>
      <c r="J55" s="44">
        <f t="shared" si="1"/>
        <v>-7.2437284317056094E-2</v>
      </c>
      <c r="K55" s="38"/>
    </row>
    <row r="56" spans="5:11" x14ac:dyDescent="0.3">
      <c r="E56" s="42" t="s">
        <v>148</v>
      </c>
      <c r="F56" s="43">
        <v>446.14</v>
      </c>
      <c r="G56" s="44">
        <f t="shared" si="0"/>
        <v>-8.8356696227880227E-2</v>
      </c>
      <c r="I56" s="43">
        <v>11642.4</v>
      </c>
      <c r="J56" s="44">
        <f t="shared" si="1"/>
        <v>-0.10228661533894423</v>
      </c>
      <c r="K56" s="38"/>
    </row>
    <row r="57" spans="5:11" x14ac:dyDescent="0.3">
      <c r="E57" s="42" t="s">
        <v>149</v>
      </c>
      <c r="F57" s="43">
        <v>458.68</v>
      </c>
      <c r="G57" s="44">
        <f t="shared" si="0"/>
        <v>2.8107768861792337E-2</v>
      </c>
      <c r="I57" s="43">
        <v>11247.55</v>
      </c>
      <c r="J57" s="44">
        <f t="shared" si="1"/>
        <v>-3.3914828557685683E-2</v>
      </c>
      <c r="K57" s="38"/>
    </row>
    <row r="58" spans="5:11" x14ac:dyDescent="0.3">
      <c r="E58" s="42" t="s">
        <v>150</v>
      </c>
      <c r="F58" s="43">
        <v>423.96</v>
      </c>
      <c r="G58" s="44">
        <f t="shared" si="0"/>
        <v>-7.5695473968780069E-2</v>
      </c>
      <c r="I58" s="43">
        <v>11387.5</v>
      </c>
      <c r="J58" s="44">
        <f t="shared" si="1"/>
        <v>1.2442709745678071E-2</v>
      </c>
      <c r="K58" s="38"/>
    </row>
    <row r="59" spans="5:11" x14ac:dyDescent="0.3">
      <c r="E59" s="42" t="s">
        <v>151</v>
      </c>
      <c r="F59" s="43">
        <v>379.54</v>
      </c>
      <c r="G59" s="44">
        <f t="shared" si="0"/>
        <v>-0.10477403528634766</v>
      </c>
      <c r="I59" s="43">
        <v>11073.45</v>
      </c>
      <c r="J59" s="44">
        <f t="shared" si="1"/>
        <v>-2.7578485181119605E-2</v>
      </c>
      <c r="K59" s="38"/>
    </row>
    <row r="60" spans="5:11" x14ac:dyDescent="0.3">
      <c r="E60" s="42" t="s">
        <v>152</v>
      </c>
      <c r="F60" s="43">
        <v>370.58</v>
      </c>
      <c r="G60" s="44">
        <f t="shared" si="0"/>
        <v>-2.3607524898561549E-2</v>
      </c>
      <c r="I60" s="43">
        <v>10302.1</v>
      </c>
      <c r="J60" s="44">
        <f t="shared" si="1"/>
        <v>-6.9657604450284238E-2</v>
      </c>
      <c r="K60" s="38"/>
    </row>
    <row r="61" spans="5:11" x14ac:dyDescent="0.3">
      <c r="E61" s="42" t="s">
        <v>153</v>
      </c>
      <c r="F61" s="43">
        <v>329</v>
      </c>
      <c r="G61" s="44">
        <f t="shared" si="0"/>
        <v>-0.11220249338874189</v>
      </c>
      <c r="I61" s="43">
        <v>9580.2999999999993</v>
      </c>
      <c r="J61" s="44">
        <f t="shared" si="1"/>
        <v>-7.00633851350696E-2</v>
      </c>
      <c r="K61" s="38"/>
    </row>
    <row r="62" spans="5:11" x14ac:dyDescent="0.3">
      <c r="E62" s="42" t="s">
        <v>154</v>
      </c>
      <c r="F62" s="43">
        <v>321.60000000000002</v>
      </c>
      <c r="G62" s="44">
        <f t="shared" si="0"/>
        <v>-2.2492401215805424E-2</v>
      </c>
      <c r="I62" s="43">
        <v>9859.9</v>
      </c>
      <c r="J62" s="44">
        <f t="shared" si="1"/>
        <v>2.9184889825997207E-2</v>
      </c>
      <c r="K62" s="38"/>
    </row>
    <row r="63" spans="5:11" x14ac:dyDescent="0.3">
      <c r="E63" s="42" t="s">
        <v>155</v>
      </c>
      <c r="F63" s="43">
        <v>290.36</v>
      </c>
      <c r="G63" s="44">
        <f t="shared" si="0"/>
        <v>-9.7139303482587036E-2</v>
      </c>
      <c r="I63" s="43">
        <v>8597.75</v>
      </c>
      <c r="J63" s="44">
        <f t="shared" si="1"/>
        <v>-0.12800839765109173</v>
      </c>
      <c r="K63" s="38"/>
    </row>
    <row r="64" spans="5:11" x14ac:dyDescent="0.3">
      <c r="E64" s="42" t="s">
        <v>156</v>
      </c>
      <c r="F64" s="43">
        <v>423.22</v>
      </c>
      <c r="G64" s="44">
        <f t="shared" si="0"/>
        <v>0.45756991321118612</v>
      </c>
      <c r="I64" s="43">
        <v>11201.75</v>
      </c>
      <c r="J64" s="44">
        <f t="shared" si="1"/>
        <v>0.3028699369020964</v>
      </c>
      <c r="K64" s="38"/>
    </row>
    <row r="65" spans="5:11" x14ac:dyDescent="0.3">
      <c r="E65" s="42" t="s">
        <v>157</v>
      </c>
      <c r="F65" s="43">
        <v>453.67</v>
      </c>
      <c r="G65" s="44">
        <f t="shared" si="0"/>
        <v>7.1948395633476547E-2</v>
      </c>
      <c r="I65" s="43">
        <v>11962.1</v>
      </c>
      <c r="J65" s="44">
        <f t="shared" si="1"/>
        <v>6.7877786952931451E-2</v>
      </c>
      <c r="K65" s="38"/>
    </row>
    <row r="66" spans="5:11" x14ac:dyDescent="0.3">
      <c r="E66" s="45" t="s">
        <v>158</v>
      </c>
      <c r="F66" s="46">
        <v>455.03</v>
      </c>
      <c r="G66" s="47">
        <f t="shared" si="0"/>
        <v>2.9977737121695824E-3</v>
      </c>
      <c r="I66" s="46">
        <v>12168.45</v>
      </c>
      <c r="J66" s="47">
        <f t="shared" si="1"/>
        <v>1.725031558004031E-2</v>
      </c>
      <c r="K66" s="38"/>
    </row>
  </sheetData>
  <mergeCells count="4">
    <mergeCell ref="E4:G4"/>
    <mergeCell ref="I4:J4"/>
    <mergeCell ref="B4:C4"/>
    <mergeCell ref="B14:C14"/>
  </mergeCells>
  <pageMargins left="0.7" right="0.7" top="0.75" bottom="0.75" header="0.3" footer="0.3"/>
  <pageSetup scale="70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7595-ADA7-44C7-AB93-D5C1B77FD681}">
  <sheetPr>
    <tabColor rgb="FF002060"/>
  </sheetPr>
  <dimension ref="A1"/>
  <sheetViews>
    <sheetView showGridLines="0" workbookViewId="0"/>
  </sheetViews>
  <sheetFormatPr defaultRowHeight="14.4" x14ac:dyDescent="0.3"/>
  <cols>
    <col min="1" max="1" width="2" customWidth="1"/>
  </cols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B209-2419-4E96-8367-92A0E422AD36}">
  <sheetPr>
    <pageSetUpPr fitToPage="1"/>
  </sheetPr>
  <dimension ref="A2:N76"/>
  <sheetViews>
    <sheetView showGridLines="0" zoomScale="94" zoomScaleNormal="100" workbookViewId="0"/>
  </sheetViews>
  <sheetFormatPr defaultRowHeight="14.4" x14ac:dyDescent="0.3"/>
  <cols>
    <col min="1" max="1" width="2" customWidth="1"/>
    <col min="2" max="2" width="35.77734375" bestFit="1" customWidth="1"/>
    <col min="11" max="15" width="8.88671875" customWidth="1"/>
  </cols>
  <sheetData>
    <row r="2" spans="1:14" ht="18" x14ac:dyDescent="0.35">
      <c r="B2" s="123" t="s">
        <v>183</v>
      </c>
      <c r="C2" s="118"/>
      <c r="D2" s="118"/>
      <c r="E2" s="118"/>
      <c r="F2" s="118"/>
      <c r="G2" s="118"/>
    </row>
    <row r="3" spans="1:14" x14ac:dyDescent="0.3">
      <c r="B3" s="3"/>
    </row>
    <row r="4" spans="1:14" x14ac:dyDescent="0.3">
      <c r="A4" t="s">
        <v>47</v>
      </c>
      <c r="B4" s="74" t="s">
        <v>13</v>
      </c>
      <c r="C4" s="74"/>
      <c r="D4" s="74"/>
      <c r="E4" s="74"/>
      <c r="F4" s="74"/>
      <c r="G4" s="74"/>
    </row>
    <row r="5" spans="1:14" x14ac:dyDescent="0.3">
      <c r="B5" s="74" t="s">
        <v>0</v>
      </c>
      <c r="C5" s="74">
        <v>2020</v>
      </c>
      <c r="D5" s="74">
        <v>2021</v>
      </c>
      <c r="E5" s="74">
        <v>2022</v>
      </c>
      <c r="F5" s="74">
        <v>2023</v>
      </c>
      <c r="G5" s="74">
        <v>2024</v>
      </c>
    </row>
    <row r="6" spans="1:14" x14ac:dyDescent="0.3">
      <c r="B6" s="3" t="s">
        <v>1</v>
      </c>
      <c r="C6" s="12">
        <v>18901</v>
      </c>
      <c r="D6" s="12">
        <v>19468</v>
      </c>
      <c r="E6" s="12">
        <v>24388</v>
      </c>
      <c r="F6" s="12">
        <v>32112</v>
      </c>
      <c r="G6" s="12">
        <v>39251</v>
      </c>
    </row>
    <row r="7" spans="1:14" x14ac:dyDescent="0.3">
      <c r="B7" s="4" t="s">
        <v>2</v>
      </c>
      <c r="C7" s="13">
        <v>18849</v>
      </c>
      <c r="D7" s="13">
        <v>19421</v>
      </c>
      <c r="E7" s="13">
        <v>24355</v>
      </c>
      <c r="F7" s="13">
        <v>31974</v>
      </c>
      <c r="G7" s="13">
        <v>39145</v>
      </c>
    </row>
    <row r="8" spans="1:14" x14ac:dyDescent="0.3">
      <c r="B8" s="4" t="s">
        <v>3</v>
      </c>
      <c r="C8" s="13">
        <v>51.83</v>
      </c>
      <c r="D8" s="13">
        <v>47.22</v>
      </c>
      <c r="E8" s="13">
        <v>32.869999999999997</v>
      </c>
      <c r="F8" s="13">
        <v>138</v>
      </c>
      <c r="G8" s="13">
        <v>105.82</v>
      </c>
      <c r="K8" s="13"/>
      <c r="L8" s="13"/>
      <c r="M8" s="13"/>
      <c r="N8" s="13"/>
    </row>
    <row r="9" spans="1:14" x14ac:dyDescent="0.3">
      <c r="B9" s="3" t="s">
        <v>4</v>
      </c>
      <c r="C9" s="12">
        <v>17987</v>
      </c>
      <c r="D9" s="12">
        <v>18629</v>
      </c>
      <c r="E9" s="12">
        <v>23284</v>
      </c>
      <c r="F9" s="12">
        <v>30133</v>
      </c>
      <c r="G9" s="12">
        <v>36504</v>
      </c>
    </row>
    <row r="10" spans="1:14" x14ac:dyDescent="0.3">
      <c r="B10" s="4" t="s">
        <v>5</v>
      </c>
      <c r="C10" s="13">
        <v>1224</v>
      </c>
      <c r="D10" s="13">
        <v>986.91</v>
      </c>
      <c r="E10" s="13">
        <v>1138</v>
      </c>
      <c r="F10" s="13">
        <v>1354</v>
      </c>
      <c r="G10" s="13">
        <v>1828</v>
      </c>
    </row>
    <row r="11" spans="1:14" x14ac:dyDescent="0.3">
      <c r="B11" s="4" t="s">
        <v>6</v>
      </c>
      <c r="C11" s="13">
        <v>16763</v>
      </c>
      <c r="D11" s="13">
        <v>17642</v>
      </c>
      <c r="E11" s="13">
        <v>22145</v>
      </c>
      <c r="F11" s="13">
        <v>28780</v>
      </c>
      <c r="G11" s="13">
        <v>34676</v>
      </c>
    </row>
    <row r="12" spans="1:14" x14ac:dyDescent="0.3">
      <c r="B12" s="3" t="s">
        <v>7</v>
      </c>
      <c r="C12" s="12">
        <v>2276</v>
      </c>
      <c r="D12" s="12">
        <v>2268</v>
      </c>
      <c r="E12" s="12">
        <v>2750</v>
      </c>
      <c r="F12" s="12">
        <v>4163</v>
      </c>
      <c r="G12" s="12">
        <v>5606</v>
      </c>
    </row>
    <row r="13" spans="1:14" x14ac:dyDescent="0.3">
      <c r="B13" t="s">
        <v>12</v>
      </c>
      <c r="C13" s="13">
        <f>C12-C14</f>
        <v>556</v>
      </c>
      <c r="D13" s="13">
        <f t="shared" ref="D13:G13" si="0">D12-D14</f>
        <v>565</v>
      </c>
      <c r="E13" s="13">
        <f t="shared" si="0"/>
        <v>743</v>
      </c>
      <c r="F13" s="13">
        <f t="shared" si="0"/>
        <v>859</v>
      </c>
      <c r="G13" s="13">
        <f t="shared" si="0"/>
        <v>975</v>
      </c>
    </row>
    <row r="14" spans="1:14" x14ac:dyDescent="0.3">
      <c r="B14" s="3" t="s">
        <v>8</v>
      </c>
      <c r="C14" s="12">
        <v>1720</v>
      </c>
      <c r="D14" s="12">
        <v>1703</v>
      </c>
      <c r="E14" s="12">
        <v>2007</v>
      </c>
      <c r="F14" s="12">
        <v>3304</v>
      </c>
      <c r="G14" s="12">
        <v>4631</v>
      </c>
    </row>
    <row r="15" spans="1:14" x14ac:dyDescent="0.3">
      <c r="B15" t="s">
        <v>14</v>
      </c>
      <c r="C15" s="13">
        <f>C14-C16</f>
        <v>854.58</v>
      </c>
      <c r="D15" s="13">
        <f t="shared" ref="D15:G15" si="1">D14-D16</f>
        <v>881.37</v>
      </c>
      <c r="E15" s="13">
        <f t="shared" si="1"/>
        <v>940</v>
      </c>
      <c r="F15" s="13">
        <f t="shared" si="1"/>
        <v>1368</v>
      </c>
      <c r="G15" s="13">
        <f t="shared" si="1"/>
        <v>1928</v>
      </c>
    </row>
    <row r="16" spans="1:14" x14ac:dyDescent="0.3">
      <c r="B16" s="3" t="s">
        <v>9</v>
      </c>
      <c r="C16" s="12">
        <v>865.42</v>
      </c>
      <c r="D16" s="12">
        <v>821.63</v>
      </c>
      <c r="E16" s="12">
        <v>1067</v>
      </c>
      <c r="F16" s="12">
        <v>1936</v>
      </c>
      <c r="G16" s="12">
        <v>2703</v>
      </c>
    </row>
    <row r="17" spans="1:14" ht="15" thickBot="1" x14ac:dyDescent="0.35">
      <c r="B17" t="s">
        <v>11</v>
      </c>
      <c r="C17" s="13">
        <f>C16-C18</f>
        <v>218.62</v>
      </c>
      <c r="D17" s="13">
        <f>D16-D18</f>
        <v>214.13</v>
      </c>
      <c r="E17" s="13">
        <f>E16-E18</f>
        <v>336.12</v>
      </c>
      <c r="F17" s="13">
        <f>F16-F18</f>
        <v>627</v>
      </c>
      <c r="G17" s="13">
        <f>G16-G18</f>
        <v>924</v>
      </c>
    </row>
    <row r="18" spans="1:14" ht="15" thickBot="1" x14ac:dyDescent="0.35">
      <c r="B18" s="15" t="s">
        <v>10</v>
      </c>
      <c r="C18" s="16">
        <v>646.79999999999995</v>
      </c>
      <c r="D18" s="16">
        <v>607.5</v>
      </c>
      <c r="E18" s="16">
        <v>730.88</v>
      </c>
      <c r="F18" s="16">
        <v>1309</v>
      </c>
      <c r="G18" s="16">
        <v>1779</v>
      </c>
    </row>
    <row r="19" spans="1:14" ht="15" thickTop="1" x14ac:dyDescent="0.3"/>
    <row r="20" spans="1:14" x14ac:dyDescent="0.3">
      <c r="A20" t="s">
        <v>47</v>
      </c>
      <c r="B20" s="74" t="s">
        <v>48</v>
      </c>
      <c r="C20" s="74"/>
      <c r="D20" s="74"/>
      <c r="E20" s="74"/>
      <c r="F20" s="74"/>
      <c r="G20" s="74"/>
    </row>
    <row r="21" spans="1:14" x14ac:dyDescent="0.3">
      <c r="B21" s="74" t="s">
        <v>0</v>
      </c>
      <c r="C21" s="74">
        <v>2020</v>
      </c>
      <c r="D21" s="74">
        <v>2021</v>
      </c>
      <c r="E21" s="74">
        <v>2022</v>
      </c>
      <c r="F21" s="74">
        <v>2023</v>
      </c>
      <c r="G21" s="74">
        <v>2024</v>
      </c>
    </row>
    <row r="22" spans="1:14" x14ac:dyDescent="0.3">
      <c r="B22" s="14"/>
      <c r="C22" s="14"/>
      <c r="D22" s="14"/>
      <c r="E22" s="14"/>
      <c r="F22" s="14"/>
      <c r="G22" s="14"/>
    </row>
    <row r="23" spans="1:14" x14ac:dyDescent="0.3">
      <c r="B23" s="17" t="s">
        <v>25</v>
      </c>
      <c r="C23" s="18">
        <v>9739</v>
      </c>
      <c r="D23" s="18">
        <v>10537</v>
      </c>
      <c r="E23" s="18">
        <v>12888</v>
      </c>
      <c r="F23" s="18">
        <v>17024</v>
      </c>
      <c r="G23" s="18">
        <v>21520</v>
      </c>
    </row>
    <row r="24" spans="1:14" x14ac:dyDescent="0.3">
      <c r="B24" s="11" t="s">
        <v>26</v>
      </c>
      <c r="C24" s="13">
        <v>1108</v>
      </c>
      <c r="D24" s="13">
        <v>1657</v>
      </c>
      <c r="E24" s="13">
        <v>1666</v>
      </c>
      <c r="F24" s="13">
        <v>2071</v>
      </c>
      <c r="G24" s="13">
        <v>2589</v>
      </c>
    </row>
    <row r="25" spans="1:14" x14ac:dyDescent="0.3">
      <c r="B25" s="11" t="s">
        <v>27</v>
      </c>
      <c r="C25" s="13">
        <v>1454</v>
      </c>
      <c r="D25" s="13">
        <v>1029</v>
      </c>
      <c r="E25" s="13">
        <v>1177</v>
      </c>
      <c r="F25" s="13">
        <v>1256</v>
      </c>
      <c r="G25" s="13">
        <v>1839</v>
      </c>
      <c r="K25" s="13"/>
      <c r="L25" s="13"/>
      <c r="M25" s="13"/>
      <c r="N25" s="13"/>
    </row>
    <row r="26" spans="1:14" x14ac:dyDescent="0.3">
      <c r="B26" s="11" t="s">
        <v>28</v>
      </c>
      <c r="C26" s="13">
        <v>1188</v>
      </c>
      <c r="D26" s="13">
        <v>1367</v>
      </c>
      <c r="E26" s="13">
        <v>1642</v>
      </c>
      <c r="F26" s="13">
        <v>1922</v>
      </c>
      <c r="G26" s="13">
        <v>2248</v>
      </c>
      <c r="K26" s="13"/>
      <c r="L26" s="13"/>
      <c r="M26" s="13"/>
      <c r="N26" s="13"/>
    </row>
    <row r="27" spans="1:14" x14ac:dyDescent="0.3">
      <c r="B27" s="11" t="s">
        <v>29</v>
      </c>
      <c r="C27" s="13">
        <v>5989</v>
      </c>
      <c r="D27" s="13">
        <v>6483</v>
      </c>
      <c r="E27" s="13">
        <v>8402</v>
      </c>
      <c r="F27" s="13">
        <v>11775</v>
      </c>
      <c r="G27" s="13">
        <v>14843</v>
      </c>
    </row>
    <row r="28" spans="1:14" x14ac:dyDescent="0.3">
      <c r="B28" s="17" t="s">
        <v>30</v>
      </c>
      <c r="C28" s="18">
        <v>9620</v>
      </c>
      <c r="D28" s="18">
        <v>11456</v>
      </c>
      <c r="E28" s="18">
        <v>14239</v>
      </c>
      <c r="F28" s="18">
        <v>18209</v>
      </c>
      <c r="G28" s="18">
        <v>20700</v>
      </c>
    </row>
    <row r="29" spans="1:14" x14ac:dyDescent="0.3">
      <c r="B29" s="11" t="s">
        <v>31</v>
      </c>
      <c r="C29" s="13">
        <v>4148</v>
      </c>
      <c r="D29" s="13">
        <v>5362</v>
      </c>
      <c r="E29" s="13">
        <v>6716</v>
      </c>
      <c r="F29" s="13">
        <v>10321</v>
      </c>
      <c r="G29" s="13">
        <v>12055</v>
      </c>
    </row>
    <row r="30" spans="1:14" x14ac:dyDescent="0.3">
      <c r="B30" s="11" t="s">
        <v>32</v>
      </c>
      <c r="C30" s="13">
        <v>4149</v>
      </c>
      <c r="D30" s="13">
        <v>4240</v>
      </c>
      <c r="E30" s="13">
        <v>4698</v>
      </c>
      <c r="F30" s="13">
        <v>4493</v>
      </c>
      <c r="G30" s="13">
        <v>4632</v>
      </c>
    </row>
    <row r="31" spans="1:14" x14ac:dyDescent="0.3">
      <c r="B31" s="11" t="s">
        <v>33</v>
      </c>
      <c r="C31" s="13">
        <v>530.17999999999995</v>
      </c>
      <c r="D31" s="13">
        <v>883.63</v>
      </c>
      <c r="E31" s="13">
        <v>1690</v>
      </c>
      <c r="F31" s="13">
        <v>1861</v>
      </c>
      <c r="G31" s="13">
        <v>2154</v>
      </c>
    </row>
    <row r="32" spans="1:14" x14ac:dyDescent="0.3">
      <c r="B32" s="11" t="s">
        <v>34</v>
      </c>
      <c r="C32" s="13">
        <v>508.61</v>
      </c>
      <c r="D32" s="13">
        <v>605.71</v>
      </c>
      <c r="E32" s="13">
        <v>612.03</v>
      </c>
      <c r="F32" s="13">
        <v>913.03</v>
      </c>
      <c r="G32" s="13">
        <v>1098</v>
      </c>
    </row>
    <row r="33" spans="2:14" x14ac:dyDescent="0.3">
      <c r="B33" s="11" t="s">
        <v>35</v>
      </c>
      <c r="C33" s="13">
        <v>36.64</v>
      </c>
      <c r="D33" s="13">
        <v>14.92</v>
      </c>
      <c r="E33" s="13">
        <v>124.14</v>
      </c>
      <c r="F33" s="13">
        <v>192.93</v>
      </c>
      <c r="G33" s="13">
        <v>195.52</v>
      </c>
    </row>
    <row r="34" spans="2:14" ht="15" thickBot="1" x14ac:dyDescent="0.35">
      <c r="B34" s="11" t="s">
        <v>36</v>
      </c>
      <c r="C34" s="13">
        <v>247.08</v>
      </c>
      <c r="D34" s="13">
        <v>349.13</v>
      </c>
      <c r="E34" s="13">
        <v>397.94</v>
      </c>
      <c r="F34" s="13">
        <v>427.47</v>
      </c>
      <c r="G34" s="13">
        <v>566.61</v>
      </c>
    </row>
    <row r="35" spans="2:14" ht="15" thickBot="1" x14ac:dyDescent="0.35">
      <c r="B35" s="15" t="s">
        <v>24</v>
      </c>
      <c r="C35" s="16">
        <v>19359</v>
      </c>
      <c r="D35" s="16">
        <v>21993</v>
      </c>
      <c r="E35" s="16">
        <v>27127</v>
      </c>
      <c r="F35" s="16">
        <v>35233</v>
      </c>
      <c r="G35" s="16">
        <v>42220</v>
      </c>
    </row>
    <row r="36" spans="2:14" ht="15" thickTop="1" x14ac:dyDescent="0.3"/>
    <row r="37" spans="2:14" x14ac:dyDescent="0.3">
      <c r="B37" s="17" t="s">
        <v>38</v>
      </c>
      <c r="C37" s="18">
        <v>10025</v>
      </c>
      <c r="D37" s="18">
        <v>10909</v>
      </c>
      <c r="E37" s="18">
        <v>13906</v>
      </c>
      <c r="F37" s="18">
        <v>19219</v>
      </c>
      <c r="G37" s="18">
        <v>21078</v>
      </c>
    </row>
    <row r="38" spans="2:14" x14ac:dyDescent="0.3">
      <c r="B38" s="11" t="s">
        <v>39</v>
      </c>
      <c r="C38" s="13">
        <v>3187</v>
      </c>
      <c r="D38" s="13">
        <v>4299</v>
      </c>
      <c r="E38" s="13">
        <v>4663</v>
      </c>
      <c r="F38" s="13">
        <v>5097</v>
      </c>
      <c r="G38" s="13">
        <v>6638</v>
      </c>
    </row>
    <row r="39" spans="2:14" x14ac:dyDescent="0.3">
      <c r="B39" s="11" t="s">
        <v>40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</row>
    <row r="40" spans="2:14" x14ac:dyDescent="0.3">
      <c r="B40" s="11" t="s">
        <v>41</v>
      </c>
      <c r="C40" s="13">
        <v>6838</v>
      </c>
      <c r="D40" s="13">
        <v>6610</v>
      </c>
      <c r="E40" s="13">
        <v>9243</v>
      </c>
      <c r="F40" s="13">
        <v>14122</v>
      </c>
      <c r="G40" s="13">
        <v>14440</v>
      </c>
    </row>
    <row r="41" spans="2:14" x14ac:dyDescent="0.3">
      <c r="B41" s="17" t="s">
        <v>42</v>
      </c>
      <c r="C41" s="18">
        <v>5731</v>
      </c>
      <c r="D41" s="18">
        <v>6869</v>
      </c>
      <c r="E41" s="18">
        <v>8167</v>
      </c>
      <c r="F41" s="18">
        <v>10104</v>
      </c>
      <c r="G41" s="18">
        <v>13631</v>
      </c>
    </row>
    <row r="42" spans="2:14" x14ac:dyDescent="0.3">
      <c r="B42" s="11" t="s">
        <v>43</v>
      </c>
      <c r="C42" s="13">
        <v>5221</v>
      </c>
      <c r="D42" s="13">
        <v>6280</v>
      </c>
      <c r="E42" s="13">
        <v>7306</v>
      </c>
      <c r="F42" s="13">
        <v>9064</v>
      </c>
      <c r="G42" s="13">
        <v>12629</v>
      </c>
    </row>
    <row r="43" spans="2:14" x14ac:dyDescent="0.3">
      <c r="B43" s="11" t="s">
        <v>44</v>
      </c>
      <c r="C43" s="13">
        <v>173.77</v>
      </c>
      <c r="D43" s="13">
        <v>204.33</v>
      </c>
      <c r="E43" s="13">
        <v>207.56</v>
      </c>
      <c r="F43" s="13">
        <v>208.37</v>
      </c>
      <c r="G43" s="13">
        <v>196.46</v>
      </c>
    </row>
    <row r="44" spans="2:14" ht="15" thickBot="1" x14ac:dyDescent="0.35">
      <c r="B44" s="11" t="s">
        <v>45</v>
      </c>
      <c r="C44" s="13">
        <v>335.54</v>
      </c>
      <c r="D44" s="13">
        <v>384.88</v>
      </c>
      <c r="E44" s="13">
        <v>654.02</v>
      </c>
      <c r="F44" s="13">
        <v>831.91</v>
      </c>
      <c r="G44" s="13">
        <v>805.36</v>
      </c>
    </row>
    <row r="45" spans="2:14" ht="15" thickBot="1" x14ac:dyDescent="0.35">
      <c r="B45" s="15" t="s">
        <v>37</v>
      </c>
      <c r="C45" s="16">
        <v>15756</v>
      </c>
      <c r="D45" s="16">
        <v>17778</v>
      </c>
      <c r="E45" s="16">
        <v>22074</v>
      </c>
      <c r="F45" s="16">
        <v>29323</v>
      </c>
      <c r="G45" s="16">
        <v>34709</v>
      </c>
    </row>
    <row r="46" spans="2:14" ht="15.6" thickTop="1" thickBot="1" x14ac:dyDescent="0.35">
      <c r="B46" s="3"/>
      <c r="C46" s="12"/>
      <c r="D46" s="12"/>
      <c r="E46" s="12"/>
      <c r="F46" s="12"/>
      <c r="G46" s="12"/>
      <c r="N46" s="2"/>
    </row>
    <row r="47" spans="2:14" ht="15" thickBot="1" x14ac:dyDescent="0.35">
      <c r="B47" s="15" t="s">
        <v>46</v>
      </c>
      <c r="C47" s="16">
        <v>3603</v>
      </c>
      <c r="D47" s="16">
        <v>4215</v>
      </c>
      <c r="E47" s="16">
        <v>5053</v>
      </c>
      <c r="F47" s="16">
        <v>5910</v>
      </c>
      <c r="G47" s="16">
        <v>7511</v>
      </c>
      <c r="N47" s="13"/>
    </row>
    <row r="48" spans="2:14" ht="15" thickTop="1" x14ac:dyDescent="0.3">
      <c r="B48" s="3"/>
      <c r="C48" s="12"/>
      <c r="D48" s="12"/>
      <c r="E48" s="12"/>
      <c r="F48" s="12"/>
      <c r="G48" s="12"/>
      <c r="I48" s="33"/>
      <c r="J48" s="34"/>
      <c r="K48" s="34"/>
      <c r="L48" s="34"/>
      <c r="M48" s="34"/>
      <c r="N48" s="13"/>
    </row>
    <row r="49" spans="1:14" x14ac:dyDescent="0.3">
      <c r="I49" s="33"/>
      <c r="J49" s="34"/>
      <c r="K49" s="34"/>
      <c r="L49" s="34"/>
      <c r="M49" s="34"/>
      <c r="N49" s="13"/>
    </row>
    <row r="50" spans="1:14" x14ac:dyDescent="0.3">
      <c r="B50" s="1"/>
      <c r="C50" s="1">
        <v>2020</v>
      </c>
      <c r="D50" s="1">
        <v>2021</v>
      </c>
      <c r="E50" s="1">
        <v>2022</v>
      </c>
      <c r="F50" s="1">
        <v>2023</v>
      </c>
      <c r="G50" s="1">
        <v>2024</v>
      </c>
      <c r="I50" s="33"/>
      <c r="J50" s="34"/>
      <c r="K50" s="34"/>
      <c r="L50" s="34"/>
      <c r="M50" s="34"/>
      <c r="N50" s="13"/>
    </row>
    <row r="51" spans="1:14" x14ac:dyDescent="0.3">
      <c r="B51" s="33" t="s">
        <v>75</v>
      </c>
      <c r="C51" s="34">
        <v>11591</v>
      </c>
      <c r="D51" s="34">
        <v>12179</v>
      </c>
      <c r="E51" s="34">
        <v>15827</v>
      </c>
      <c r="F51" s="34">
        <v>22376</v>
      </c>
      <c r="G51" s="34">
        <v>26006</v>
      </c>
      <c r="I51" s="33"/>
      <c r="J51" s="34"/>
      <c r="K51" s="34"/>
      <c r="L51" s="34"/>
      <c r="M51" s="34"/>
      <c r="N51" s="13"/>
    </row>
    <row r="52" spans="1:14" x14ac:dyDescent="0.3">
      <c r="B52" s="35" t="s">
        <v>76</v>
      </c>
      <c r="C52" s="37">
        <v>5221</v>
      </c>
      <c r="D52" s="37">
        <v>6280</v>
      </c>
      <c r="E52" s="37">
        <v>7306</v>
      </c>
      <c r="F52" s="37">
        <v>9064</v>
      </c>
      <c r="G52" s="37">
        <v>12629</v>
      </c>
      <c r="I52" s="33"/>
      <c r="J52" s="34"/>
      <c r="K52" s="34"/>
      <c r="L52" s="34"/>
      <c r="M52" s="34"/>
      <c r="N52" s="13"/>
    </row>
    <row r="53" spans="1:14" x14ac:dyDescent="0.3">
      <c r="B53" s="35" t="s">
        <v>77</v>
      </c>
      <c r="C53" s="37">
        <v>3781</v>
      </c>
      <c r="D53" s="37">
        <v>3069</v>
      </c>
      <c r="E53" s="37">
        <v>7992</v>
      </c>
      <c r="F53" s="37">
        <v>12562</v>
      </c>
      <c r="G53" s="37">
        <v>12657</v>
      </c>
      <c r="I53" s="33"/>
      <c r="J53" s="34"/>
      <c r="K53" s="34"/>
      <c r="L53" s="34"/>
      <c r="M53" s="34"/>
      <c r="N53" s="13"/>
    </row>
    <row r="54" spans="1:14" x14ac:dyDescent="0.3">
      <c r="B54" s="35" t="s">
        <v>78</v>
      </c>
      <c r="C54" s="36">
        <v>242</v>
      </c>
      <c r="D54" s="36">
        <v>248</v>
      </c>
      <c r="E54" s="36">
        <v>530</v>
      </c>
      <c r="F54" s="36">
        <v>749</v>
      </c>
      <c r="G54" s="36">
        <v>719</v>
      </c>
      <c r="I54" s="33"/>
      <c r="J54" s="34"/>
      <c r="K54" s="34"/>
      <c r="L54" s="34"/>
      <c r="M54" s="34"/>
      <c r="N54" s="13"/>
    </row>
    <row r="55" spans="1:14" x14ac:dyDescent="0.3">
      <c r="B55" s="35" t="s">
        <v>79</v>
      </c>
      <c r="C55" s="37">
        <v>2348</v>
      </c>
      <c r="D55" s="37">
        <v>2581</v>
      </c>
      <c r="E55" s="36">
        <v>0</v>
      </c>
      <c r="F55" s="36">
        <v>0</v>
      </c>
      <c r="G55" s="36">
        <v>0</v>
      </c>
      <c r="I55" s="33"/>
      <c r="J55" s="34"/>
      <c r="K55" s="34"/>
      <c r="L55" s="34"/>
      <c r="M55" s="34"/>
      <c r="N55" s="13"/>
    </row>
    <row r="58" spans="1:14" x14ac:dyDescent="0.3">
      <c r="A58" t="s">
        <v>47</v>
      </c>
      <c r="B58" s="74" t="s">
        <v>49</v>
      </c>
      <c r="C58" s="74"/>
      <c r="D58" s="74"/>
      <c r="E58" s="74"/>
      <c r="F58" s="74"/>
      <c r="G58" s="74"/>
    </row>
    <row r="59" spans="1:14" x14ac:dyDescent="0.3">
      <c r="B59" s="74" t="s">
        <v>0</v>
      </c>
      <c r="C59" s="74">
        <v>2020</v>
      </c>
      <c r="D59" s="74">
        <v>2021</v>
      </c>
      <c r="E59" s="74">
        <v>2022</v>
      </c>
      <c r="F59" s="74">
        <v>2023</v>
      </c>
      <c r="G59" s="74">
        <v>2024</v>
      </c>
    </row>
    <row r="60" spans="1:14" x14ac:dyDescent="0.3">
      <c r="B60" s="3" t="s">
        <v>50</v>
      </c>
      <c r="C60" s="3">
        <v>138.88999999999999</v>
      </c>
      <c r="D60" s="5">
        <v>1041</v>
      </c>
      <c r="E60" s="5">
        <v>1574</v>
      </c>
      <c r="F60" s="5">
        <v>1446</v>
      </c>
      <c r="G60" s="5">
        <v>1851</v>
      </c>
    </row>
    <row r="61" spans="1:14" x14ac:dyDescent="0.3">
      <c r="D61" s="2"/>
      <c r="E61" s="2"/>
      <c r="F61" s="2"/>
      <c r="G61" s="2"/>
    </row>
    <row r="62" spans="1:14" x14ac:dyDescent="0.3">
      <c r="B62" s="3" t="s">
        <v>51</v>
      </c>
      <c r="C62" s="3">
        <v>373.43</v>
      </c>
      <c r="D62" s="5">
        <v>1151</v>
      </c>
      <c r="E62" s="5">
        <v>-1575</v>
      </c>
      <c r="F62" s="5">
        <v>-4405</v>
      </c>
      <c r="G62" s="5">
        <v>-1253</v>
      </c>
    </row>
    <row r="63" spans="1:14" x14ac:dyDescent="0.3">
      <c r="B63" s="11" t="s">
        <v>52</v>
      </c>
      <c r="C63">
        <v>-881.36</v>
      </c>
      <c r="D63">
        <v>-157.33000000000001</v>
      </c>
      <c r="E63" s="2">
        <v>-3128</v>
      </c>
      <c r="F63" s="2">
        <v>-6727</v>
      </c>
      <c r="G63" s="2">
        <v>-4268</v>
      </c>
    </row>
    <row r="64" spans="1:14" x14ac:dyDescent="0.3">
      <c r="E64" s="2"/>
      <c r="F64" s="2"/>
      <c r="G64" s="2"/>
    </row>
    <row r="65" spans="2:7" x14ac:dyDescent="0.3">
      <c r="B65" s="3" t="s">
        <v>53</v>
      </c>
      <c r="C65" s="5">
        <v>-1090</v>
      </c>
      <c r="D65" s="3">
        <v>-882.37</v>
      </c>
      <c r="E65" s="5">
        <v>-1471</v>
      </c>
      <c r="F65" s="5">
        <v>-1308</v>
      </c>
      <c r="G65" s="5">
        <v>-1001</v>
      </c>
    </row>
    <row r="66" spans="2:7" x14ac:dyDescent="0.3">
      <c r="B66" s="11" t="s">
        <v>54</v>
      </c>
      <c r="C66" s="2">
        <v>-1021</v>
      </c>
      <c r="D66">
        <v>-927.98</v>
      </c>
      <c r="E66">
        <v>-969.83</v>
      </c>
      <c r="F66" s="2">
        <v>-1341</v>
      </c>
      <c r="G66" s="2">
        <v>-1145</v>
      </c>
    </row>
    <row r="67" spans="2:7" x14ac:dyDescent="0.3">
      <c r="B67" s="11" t="s">
        <v>55</v>
      </c>
      <c r="C67">
        <v>-69.06</v>
      </c>
      <c r="D67">
        <v>45.61</v>
      </c>
      <c r="E67">
        <v>-501.08</v>
      </c>
      <c r="F67">
        <v>33.01</v>
      </c>
      <c r="G67">
        <v>143.81</v>
      </c>
    </row>
    <row r="69" spans="2:7" x14ac:dyDescent="0.3">
      <c r="B69" s="3" t="s">
        <v>56</v>
      </c>
      <c r="C69" s="5">
        <v>1619</v>
      </c>
      <c r="D69" s="3">
        <v>263.5</v>
      </c>
      <c r="E69" s="5">
        <v>2918</v>
      </c>
      <c r="F69" s="5">
        <v>6118</v>
      </c>
      <c r="G69" s="5">
        <v>2759</v>
      </c>
    </row>
    <row r="70" spans="2:7" x14ac:dyDescent="0.3">
      <c r="B70" s="11" t="s">
        <v>57</v>
      </c>
      <c r="C70">
        <v>-200.46</v>
      </c>
      <c r="D70">
        <v>-99.77</v>
      </c>
      <c r="E70">
        <v>-190.4</v>
      </c>
      <c r="F70">
        <v>-291.81</v>
      </c>
      <c r="G70">
        <v>-380.07</v>
      </c>
    </row>
    <row r="71" spans="2:7" x14ac:dyDescent="0.3">
      <c r="B71" s="11" t="s">
        <v>58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2:7" x14ac:dyDescent="0.3">
      <c r="B72" s="11" t="s">
        <v>59</v>
      </c>
      <c r="C72" s="2">
        <v>1987</v>
      </c>
      <c r="D72">
        <v>597.47</v>
      </c>
      <c r="E72" s="2">
        <v>3353</v>
      </c>
      <c r="F72" s="2">
        <v>6588</v>
      </c>
      <c r="G72" s="2">
        <v>3662</v>
      </c>
    </row>
    <row r="74" spans="2:7" x14ac:dyDescent="0.3">
      <c r="B74" s="3" t="s">
        <v>60</v>
      </c>
      <c r="C74" s="5">
        <v>1041</v>
      </c>
      <c r="D74" s="5">
        <v>1574</v>
      </c>
      <c r="E74" s="5">
        <v>1446</v>
      </c>
      <c r="F74" s="5">
        <v>1851</v>
      </c>
      <c r="G74" s="5">
        <v>2356</v>
      </c>
    </row>
    <row r="76" spans="2:7" x14ac:dyDescent="0.3">
      <c r="B76" s="3" t="s">
        <v>61</v>
      </c>
      <c r="C76" s="3">
        <v>902.45</v>
      </c>
      <c r="D76" s="3">
        <v>532.41999999999996</v>
      </c>
      <c r="E76" s="3">
        <v>-128.08000000000001</v>
      </c>
      <c r="F76" s="3">
        <v>405.51</v>
      </c>
      <c r="G76" s="3">
        <v>504.61</v>
      </c>
    </row>
  </sheetData>
  <pageMargins left="0.7" right="0.7" top="0.75" bottom="0.75" header="0.3" footer="0.3"/>
  <pageSetup scale="61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ADC5-9AF1-4E4B-9496-D520EFE938A7}">
  <dimension ref="B2:O6"/>
  <sheetViews>
    <sheetView showGridLines="0" workbookViewId="0"/>
  </sheetViews>
  <sheetFormatPr defaultRowHeight="14.4" x14ac:dyDescent="0.3"/>
  <cols>
    <col min="1" max="1" width="2" customWidth="1"/>
    <col min="2" max="2" width="13.77734375" bestFit="1" customWidth="1"/>
    <col min="3" max="3" width="8" bestFit="1" customWidth="1"/>
    <col min="4" max="4" width="15.6640625" bestFit="1" customWidth="1"/>
    <col min="5" max="5" width="13.6640625" bestFit="1" customWidth="1"/>
    <col min="6" max="6" width="10" bestFit="1" customWidth="1"/>
    <col min="7" max="7" width="10.33203125" bestFit="1" customWidth="1"/>
    <col min="8" max="8" width="9" bestFit="1" customWidth="1"/>
    <col min="9" max="9" width="12.6640625" bestFit="1" customWidth="1"/>
    <col min="10" max="10" width="3.109375" customWidth="1"/>
    <col min="11" max="11" width="13.6640625" bestFit="1" customWidth="1"/>
    <col min="12" max="12" width="10.109375" bestFit="1" customWidth="1"/>
    <col min="13" max="13" width="10.77734375" bestFit="1" customWidth="1"/>
    <col min="14" max="14" width="14.109375" bestFit="1" customWidth="1"/>
    <col min="15" max="15" width="13.6640625" bestFit="1" customWidth="1"/>
    <col min="17" max="17" width="8" bestFit="1" customWidth="1"/>
  </cols>
  <sheetData>
    <row r="2" spans="2:15" ht="21.6" customHeight="1" x14ac:dyDescent="0.3">
      <c r="B2" s="3" t="s">
        <v>193</v>
      </c>
      <c r="C2" s="3" t="s">
        <v>195</v>
      </c>
      <c r="D2" s="3" t="s">
        <v>196</v>
      </c>
      <c r="E2" s="3" t="s">
        <v>197</v>
      </c>
      <c r="F2" s="3" t="s">
        <v>198</v>
      </c>
      <c r="G2" s="3" t="s">
        <v>199</v>
      </c>
      <c r="H2" s="3" t="s">
        <v>7</v>
      </c>
      <c r="I2" s="3" t="s">
        <v>202</v>
      </c>
      <c r="J2" s="3"/>
      <c r="K2" s="3" t="s">
        <v>203</v>
      </c>
      <c r="L2" s="3" t="s">
        <v>204</v>
      </c>
      <c r="M2" s="3" t="s">
        <v>194</v>
      </c>
      <c r="N2" s="3" t="s">
        <v>200</v>
      </c>
      <c r="O2" s="3" t="s">
        <v>201</v>
      </c>
    </row>
    <row r="3" spans="2:15" x14ac:dyDescent="0.3">
      <c r="B3" t="s">
        <v>191</v>
      </c>
      <c r="C3">
        <v>2434.4499999999998</v>
      </c>
      <c r="D3">
        <v>47.51</v>
      </c>
      <c r="E3">
        <v>115660.72</v>
      </c>
      <c r="F3">
        <v>126709.72</v>
      </c>
      <c r="G3">
        <v>41864.949999999997</v>
      </c>
      <c r="H3">
        <f>N3+O3</f>
        <v>6062.65</v>
      </c>
      <c r="I3">
        <v>1994.09</v>
      </c>
      <c r="K3">
        <v>2425.73</v>
      </c>
      <c r="L3">
        <v>14618.8</v>
      </c>
      <c r="M3">
        <v>20.9</v>
      </c>
      <c r="N3">
        <v>5045.7299999999996</v>
      </c>
      <c r="O3">
        <v>1016.92</v>
      </c>
    </row>
    <row r="4" spans="2:15" x14ac:dyDescent="0.3">
      <c r="B4" t="s">
        <v>189</v>
      </c>
      <c r="C4">
        <v>9033.65</v>
      </c>
      <c r="D4">
        <v>27.93</v>
      </c>
      <c r="E4">
        <v>252271.55</v>
      </c>
      <c r="F4">
        <v>255963.64</v>
      </c>
      <c r="G4">
        <v>48899.63</v>
      </c>
      <c r="H4">
        <f>N4+O4</f>
        <v>10677.74</v>
      </c>
      <c r="I4">
        <v>7371.28</v>
      </c>
      <c r="K4">
        <v>955.32</v>
      </c>
      <c r="L4">
        <v>5245.29</v>
      </c>
      <c r="M4">
        <v>23.97</v>
      </c>
      <c r="N4">
        <v>10298.74</v>
      </c>
      <c r="O4">
        <v>379</v>
      </c>
    </row>
    <row r="5" spans="2:15" x14ac:dyDescent="0.3">
      <c r="B5" t="s">
        <v>190</v>
      </c>
      <c r="C5">
        <v>4831.8500000000004</v>
      </c>
      <c r="D5">
        <v>27.41</v>
      </c>
      <c r="E5">
        <v>132456.69</v>
      </c>
      <c r="F5">
        <v>132652.67000000001</v>
      </c>
      <c r="G5">
        <v>17091</v>
      </c>
      <c r="H5">
        <f>N5+O5</f>
        <v>6200.6399999999994</v>
      </c>
      <c r="I5">
        <v>4268.21</v>
      </c>
      <c r="K5">
        <v>146.31</v>
      </c>
      <c r="L5">
        <v>403.86</v>
      </c>
      <c r="M5">
        <v>21.39</v>
      </c>
      <c r="N5">
        <v>5539.16</v>
      </c>
      <c r="O5">
        <v>661.48</v>
      </c>
    </row>
    <row r="6" spans="2:15" x14ac:dyDescent="0.3">
      <c r="B6" t="s">
        <v>192</v>
      </c>
      <c r="C6">
        <v>4761.7</v>
      </c>
      <c r="D6">
        <v>20</v>
      </c>
      <c r="E6">
        <v>95233.78</v>
      </c>
      <c r="F6">
        <v>95522.66</v>
      </c>
      <c r="G6">
        <v>40098.26</v>
      </c>
      <c r="H6">
        <f>N6+O6</f>
        <v>6489.49</v>
      </c>
      <c r="I6">
        <v>4133.26</v>
      </c>
      <c r="K6">
        <v>696.47</v>
      </c>
      <c r="L6">
        <v>588.07000000000005</v>
      </c>
      <c r="M6">
        <v>14.72</v>
      </c>
      <c r="N6">
        <v>5687.42</v>
      </c>
      <c r="O6">
        <v>802.07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DCF</vt:lpstr>
      <vt:lpstr>Comps</vt:lpstr>
      <vt:lpstr>WACC</vt:lpstr>
      <vt:lpstr>Beta &amp; Market Return</vt:lpstr>
      <vt:lpstr>Data --&gt;</vt:lpstr>
      <vt:lpstr>Historical Statements</vt:lpstr>
      <vt:lpstr>Data (Comps)</vt:lpstr>
      <vt:lpstr>Beta</vt:lpstr>
      <vt:lpstr>CostofDebt</vt:lpstr>
      <vt:lpstr>CostofEquity</vt:lpstr>
      <vt:lpstr>DebtShare</vt:lpstr>
      <vt:lpstr>EquityShare</vt:lpstr>
      <vt:lpstr>MarketReturns</vt:lpstr>
      <vt:lpstr>RiskFreeRate</vt:lpstr>
      <vt:lpstr>TaxRate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Jose</dc:creator>
  <cp:lastModifiedBy>Benjamin Jose</cp:lastModifiedBy>
  <cp:lastPrinted>2024-12-01T06:32:42Z</cp:lastPrinted>
  <dcterms:created xsi:type="dcterms:W3CDTF">2024-11-27T14:57:19Z</dcterms:created>
  <dcterms:modified xsi:type="dcterms:W3CDTF">2024-12-01T06:42:30Z</dcterms:modified>
</cp:coreProperties>
</file>