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palmint/repos/distribution-planning-publications/tools/"/>
    </mc:Choice>
  </mc:AlternateContent>
  <xr:revisionPtr revIDLastSave="0" documentId="13_ncr:1_{0B5A4338-18F7-524F-A5A8-9BF8B770A4E2}" xr6:coauthVersionLast="31" xr6:coauthVersionMax="31" xr10:uidLastSave="{00000000-0000-0000-0000-000000000000}"/>
  <bookViews>
    <workbookView xWindow="240" yWindow="460" windowWidth="25280" windowHeight="15380" tabRatio="500" activeTab="1" xr2:uid="{00000000-000D-0000-FFFF-FFFF00000000}"/>
  </bookViews>
  <sheets>
    <sheet name="Ver History" sheetId="5" r:id="rId1"/>
    <sheet name="Decision_Tree" sheetId="1" r:id="rId2"/>
    <sheet name="Summary Tables" sheetId="9" r:id="rId3"/>
    <sheet name="Decision Cost" sheetId="7" r:id="rId4"/>
    <sheet name="Op_Cost" sheetId="3" r:id="rId5"/>
    <sheet name="RAW_ops" sheetId="4" r:id="rId6"/>
    <sheet name="ISGT Scenarios" sheetId="6" r:id="rId7"/>
    <sheet name="VARG" sheetId="8" r:id="rId8"/>
    <sheet name="Jan" sheetId="10" r:id="rId9"/>
    <sheet name="Apr" sheetId="12" r:id="rId10"/>
    <sheet name="Jul" sheetId="13" r:id="rId11"/>
    <sheet name="Oct" sheetId="14" r:id="rId12"/>
    <sheet name="Apr_old" sheetId="11" r:id="rId13"/>
  </sheets>
  <definedNames>
    <definedName name="add_down_down">Decision_Tree!$17:$17</definedName>
    <definedName name="add_down_up">Decision_Tree!$13:$13</definedName>
    <definedName name="add_up_down">Decision_Tree!$15:$15</definedName>
    <definedName name="add_up_up">Decision_Tree!$11:$11</definedName>
    <definedName name="chance_abbrev">Decision_Tree!$C$6</definedName>
    <definedName name="chance_name">Decision_Tree!$B$6</definedName>
    <definedName name="cost_backfeed">Op_Cost!$B$2</definedName>
    <definedName name="cost_energy">Op_Cost!$B$3</definedName>
    <definedName name="dec_abbrev">Decision_Tree!$C$5</definedName>
    <definedName name="dec_name">Decision_Tree!$B$5</definedName>
    <definedName name="decision_code_col_num">'Decision Cost'!$D$11</definedName>
    <definedName name="decision_cost_col_num">'Decision Cost'!$M$11</definedName>
    <definedName name="decision_cost_table">'Decision Cost'!$A$13:$N$19</definedName>
    <definedName name="decision_total_col_num">'Decision Cost'!$M$11</definedName>
    <definedName name="disc_rate">Decision_Tree!$B$8</definedName>
    <definedName name="op_cost_table">Op_Cost!$A$7:$J$33</definedName>
    <definedName name="op_cost_total_col_num">Op_Cost!$J$5</definedName>
    <definedName name="op_factor">Decision_Tree!$7:$7</definedName>
    <definedName name="p_down_down">Decision_Tree!$16:$16</definedName>
    <definedName name="p_down_up">Decision_Tree!$12:$12</definedName>
    <definedName name="p_up_down">Decision_Tree!$14:$14</definedName>
    <definedName name="p_up_up">Decision_Tree!$10:$10</definedName>
    <definedName name="p1_choice">Decision_Tree!$L:$L</definedName>
    <definedName name="p1_decision">Decision_Tree!$H$22</definedName>
    <definedName name="p1_decision_table_ul">Decision_Tree!$J$21</definedName>
    <definedName name="p1_picked">Decision_Tree!$J:$J</definedName>
    <definedName name="p1_prob">Decision_Tree!$T:$T</definedName>
    <definedName name="p1_value_flex">Decision_Tree!$K$37</definedName>
    <definedName name="p1_value_large">Decision_Tree!$K$22</definedName>
    <definedName name="p1_value_small">Decision_Tree!$K$52</definedName>
    <definedName name="p2_picked">Decision_Tree!$AE:$AE</definedName>
    <definedName name="p2_prob">Decision_Tree!$AO:$AO</definedName>
    <definedName name="peak_kW">'ISGT Scenarios'!$B$3</definedName>
    <definedName name="scale_to_annual">Op_Cost!$B$4</definedName>
    <definedName name="varg_table_ul">Decision_Tree!$AY$21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0" i="1" l="1"/>
  <c r="AO37" i="1"/>
  <c r="C12" i="1"/>
  <c r="AO12" i="1" s="1"/>
  <c r="J5" i="3"/>
  <c r="AO40" i="1"/>
  <c r="AO14" i="1"/>
  <c r="AO44" i="1" s="1"/>
  <c r="C16" i="1"/>
  <c r="AO16" i="1"/>
  <c r="AO48" i="1" s="1"/>
  <c r="AO45" i="1"/>
  <c r="AO52" i="1"/>
  <c r="AO55" i="1"/>
  <c r="AO59" i="1"/>
  <c r="AO60" i="1"/>
  <c r="AO62" i="1"/>
  <c r="AO63" i="1"/>
  <c r="AO22" i="1"/>
  <c r="AO25" i="1"/>
  <c r="AO29" i="1"/>
  <c r="AO30" i="1"/>
  <c r="AO32" i="1"/>
  <c r="AO33" i="1"/>
  <c r="W20" i="9"/>
  <c r="X20" i="9" s="1"/>
  <c r="W22" i="9"/>
  <c r="O7" i="9"/>
  <c r="W19" i="9"/>
  <c r="W21" i="9"/>
  <c r="X21" i="9" s="1"/>
  <c r="W18" i="9"/>
  <c r="W17" i="9"/>
  <c r="I18" i="7"/>
  <c r="F18" i="7"/>
  <c r="K18" i="7" s="1"/>
  <c r="M18" i="7" s="1"/>
  <c r="G18" i="7"/>
  <c r="H18" i="7"/>
  <c r="I16" i="7"/>
  <c r="F16" i="7"/>
  <c r="V7" i="1"/>
  <c r="AQ7" i="1" s="1"/>
  <c r="O9" i="9"/>
  <c r="O10" i="9"/>
  <c r="O11" i="9"/>
  <c r="O8" i="9"/>
  <c r="M11" i="9"/>
  <c r="M10" i="9"/>
  <c r="M9" i="9"/>
  <c r="M8" i="9"/>
  <c r="AH22" i="1"/>
  <c r="F14" i="7"/>
  <c r="I14" i="7"/>
  <c r="H14" i="7"/>
  <c r="AH29" i="1"/>
  <c r="T10" i="1"/>
  <c r="T22" i="1"/>
  <c r="B12" i="1"/>
  <c r="T12" i="1" s="1"/>
  <c r="T29" i="1"/>
  <c r="T30" i="1" s="1"/>
  <c r="T31" i="1" s="1"/>
  <c r="T32" i="1" s="1"/>
  <c r="T33" i="1"/>
  <c r="T34" i="1" s="1"/>
  <c r="F13" i="7"/>
  <c r="H13" i="7"/>
  <c r="I13" i="7"/>
  <c r="A9" i="9"/>
  <c r="H16" i="7"/>
  <c r="AH40" i="1"/>
  <c r="AH47" i="1"/>
  <c r="T37" i="1"/>
  <c r="T38" i="1" s="1"/>
  <c r="T39" i="1"/>
  <c r="T40" i="1" s="1"/>
  <c r="T41" i="1"/>
  <c r="T42" i="1" s="1"/>
  <c r="T44" i="1"/>
  <c r="T45" i="1" s="1"/>
  <c r="T46" i="1"/>
  <c r="T47" i="1" s="1"/>
  <c r="T48" i="1"/>
  <c r="T49" i="1" s="1"/>
  <c r="F15" i="7"/>
  <c r="H15" i="7"/>
  <c r="I15" i="7"/>
  <c r="B7" i="9"/>
  <c r="A10" i="9" s="1"/>
  <c r="AH23" i="1"/>
  <c r="AH41" i="1"/>
  <c r="AH48" i="1"/>
  <c r="AH55" i="1"/>
  <c r="AH62" i="1"/>
  <c r="T52" i="1"/>
  <c r="T53" i="1"/>
  <c r="T54" i="1"/>
  <c r="T55" i="1"/>
  <c r="T56" i="1" s="1"/>
  <c r="T57" i="1" s="1"/>
  <c r="T59" i="1"/>
  <c r="T60" i="1"/>
  <c r="T61" i="1" s="1"/>
  <c r="T62" i="1" s="1"/>
  <c r="T63" i="1" s="1"/>
  <c r="T64" i="1" s="1"/>
  <c r="F17" i="7"/>
  <c r="H17" i="7"/>
  <c r="I17" i="7"/>
  <c r="A11" i="9"/>
  <c r="AH63" i="1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8" i="4"/>
  <c r="C8" i="4"/>
  <c r="D7" i="3" s="1"/>
  <c r="A7" i="3" s="1"/>
  <c r="C9" i="4"/>
  <c r="C10" i="4"/>
  <c r="C11" i="4"/>
  <c r="C12" i="4"/>
  <c r="D11" i="3" s="1"/>
  <c r="A11" i="3" s="1"/>
  <c r="C13" i="4"/>
  <c r="C14" i="4"/>
  <c r="C15" i="4"/>
  <c r="C16" i="4"/>
  <c r="D15" i="3" s="1"/>
  <c r="C17" i="4"/>
  <c r="C18" i="4"/>
  <c r="C19" i="4"/>
  <c r="C20" i="4"/>
  <c r="D19" i="3" s="1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B8" i="4"/>
  <c r="B9" i="4"/>
  <c r="B10" i="4"/>
  <c r="C9" i="3" s="1"/>
  <c r="A9" i="3" s="1"/>
  <c r="B11" i="4"/>
  <c r="B12" i="4"/>
  <c r="B13" i="4"/>
  <c r="B14" i="4"/>
  <c r="C13" i="3" s="1"/>
  <c r="A13" i="3" s="1"/>
  <c r="B15" i="4"/>
  <c r="B16" i="4"/>
  <c r="B17" i="4"/>
  <c r="B18" i="4"/>
  <c r="C17" i="3" s="1"/>
  <c r="A17" i="3" s="1"/>
  <c r="B19" i="4"/>
  <c r="B20" i="4"/>
  <c r="B21" i="4"/>
  <c r="B22" i="4"/>
  <c r="C21" i="3" s="1"/>
  <c r="B23" i="4"/>
  <c r="B24" i="4"/>
  <c r="B25" i="4"/>
  <c r="B26" i="4"/>
  <c r="C25" i="3" s="1"/>
  <c r="B27" i="4"/>
  <c r="B28" i="4"/>
  <c r="B29" i="4"/>
  <c r="B30" i="4"/>
  <c r="C29" i="3" s="1"/>
  <c r="B31" i="4"/>
  <c r="B32" i="4"/>
  <c r="B33" i="4"/>
  <c r="A9" i="4"/>
  <c r="B8" i="3" s="1"/>
  <c r="A8" i="3" s="1"/>
  <c r="A10" i="4"/>
  <c r="A11" i="4"/>
  <c r="A12" i="4"/>
  <c r="A13" i="4"/>
  <c r="B12" i="3" s="1"/>
  <c r="A12" i="3" s="1"/>
  <c r="A14" i="4"/>
  <c r="A15" i="4"/>
  <c r="A16" i="4"/>
  <c r="A17" i="4"/>
  <c r="B16" i="3" s="1"/>
  <c r="A16" i="3" s="1"/>
  <c r="A18" i="4"/>
  <c r="A19" i="4"/>
  <c r="A20" i="4"/>
  <c r="A21" i="4"/>
  <c r="B20" i="3" s="1"/>
  <c r="A22" i="4"/>
  <c r="A23" i="4"/>
  <c r="A24" i="4"/>
  <c r="A25" i="4"/>
  <c r="B24" i="3" s="1"/>
  <c r="A24" i="3" s="1"/>
  <c r="A26" i="4"/>
  <c r="A27" i="4"/>
  <c r="A28" i="4"/>
  <c r="A29" i="4"/>
  <c r="B28" i="3" s="1"/>
  <c r="A30" i="4"/>
  <c r="A31" i="4"/>
  <c r="A32" i="4"/>
  <c r="A33" i="4"/>
  <c r="B32" i="3" s="1"/>
  <c r="A32" i="3" s="1"/>
  <c r="A8" i="4"/>
  <c r="B7" i="3"/>
  <c r="C8" i="3"/>
  <c r="D8" i="3"/>
  <c r="B9" i="3"/>
  <c r="D9" i="3"/>
  <c r="B10" i="3"/>
  <c r="C10" i="3"/>
  <c r="D10" i="3"/>
  <c r="A10" i="3"/>
  <c r="B11" i="3"/>
  <c r="C11" i="3"/>
  <c r="C12" i="3"/>
  <c r="D12" i="3"/>
  <c r="B13" i="3"/>
  <c r="D13" i="3"/>
  <c r="B14" i="3"/>
  <c r="C14" i="3"/>
  <c r="D14" i="3"/>
  <c r="A14" i="3"/>
  <c r="B15" i="3"/>
  <c r="C15" i="3"/>
  <c r="A15" i="3"/>
  <c r="C16" i="3"/>
  <c r="D16" i="3"/>
  <c r="B17" i="3"/>
  <c r="D17" i="3"/>
  <c r="B18" i="3"/>
  <c r="C18" i="3"/>
  <c r="D18" i="3"/>
  <c r="A18" i="3"/>
  <c r="B19" i="3"/>
  <c r="C19" i="3"/>
  <c r="A19" i="3"/>
  <c r="C20" i="3"/>
  <c r="D20" i="3"/>
  <c r="A20" i="3"/>
  <c r="B21" i="3"/>
  <c r="D21" i="3"/>
  <c r="A21" i="3"/>
  <c r="B22" i="3"/>
  <c r="C22" i="3"/>
  <c r="D22" i="3"/>
  <c r="A22" i="3"/>
  <c r="B23" i="3"/>
  <c r="C23" i="3"/>
  <c r="D23" i="3"/>
  <c r="A23" i="3"/>
  <c r="C24" i="3"/>
  <c r="D24" i="3"/>
  <c r="B25" i="3"/>
  <c r="D25" i="3"/>
  <c r="A25" i="3"/>
  <c r="B26" i="3"/>
  <c r="C26" i="3"/>
  <c r="D26" i="3"/>
  <c r="A26" i="3"/>
  <c r="B27" i="3"/>
  <c r="C27" i="3"/>
  <c r="D27" i="3"/>
  <c r="A27" i="3"/>
  <c r="C28" i="3"/>
  <c r="D28" i="3"/>
  <c r="A28" i="3"/>
  <c r="B29" i="3"/>
  <c r="D29" i="3"/>
  <c r="A29" i="3"/>
  <c r="B30" i="3"/>
  <c r="C30" i="3"/>
  <c r="D30" i="3"/>
  <c r="A30" i="3"/>
  <c r="B31" i="3"/>
  <c r="C31" i="3"/>
  <c r="D31" i="3"/>
  <c r="A31" i="3"/>
  <c r="D32" i="3"/>
  <c r="E16" i="3"/>
  <c r="F16" i="3" s="1"/>
  <c r="J16" i="3" s="1"/>
  <c r="G16" i="3"/>
  <c r="H16" i="3" s="1"/>
  <c r="E27" i="3"/>
  <c r="F27" i="3" s="1"/>
  <c r="G27" i="3"/>
  <c r="H27" i="3" s="1"/>
  <c r="E22" i="3"/>
  <c r="F22" i="3" s="1"/>
  <c r="J22" i="3" s="1"/>
  <c r="G22" i="3"/>
  <c r="H22" i="3" s="1"/>
  <c r="E15" i="3"/>
  <c r="F15" i="3" s="1"/>
  <c r="G15" i="3"/>
  <c r="H15" i="3" s="1"/>
  <c r="E30" i="3"/>
  <c r="F30" i="3" s="1"/>
  <c r="J30" i="3" s="1"/>
  <c r="G30" i="3"/>
  <c r="H30" i="3" s="1"/>
  <c r="E21" i="3"/>
  <c r="F21" i="3" s="1"/>
  <c r="G21" i="3"/>
  <c r="H21" i="3" s="1"/>
  <c r="E7" i="3"/>
  <c r="F7" i="3" s="1"/>
  <c r="J7" i="3" s="1"/>
  <c r="G7" i="3"/>
  <c r="H7" i="3" s="1"/>
  <c r="E9" i="3"/>
  <c r="F9" i="3" s="1"/>
  <c r="G9" i="3"/>
  <c r="H9" i="3" s="1"/>
  <c r="E13" i="3"/>
  <c r="F13" i="3" s="1"/>
  <c r="J13" i="3" s="1"/>
  <c r="G13" i="3"/>
  <c r="H13" i="3" s="1"/>
  <c r="E19" i="3"/>
  <c r="F19" i="3" s="1"/>
  <c r="G19" i="3"/>
  <c r="H19" i="3" s="1"/>
  <c r="E12" i="3"/>
  <c r="F12" i="3" s="1"/>
  <c r="J12" i="3" s="1"/>
  <c r="G12" i="3"/>
  <c r="H12" i="3" s="1"/>
  <c r="E18" i="3"/>
  <c r="F18" i="3" s="1"/>
  <c r="G18" i="3"/>
  <c r="H18" i="3" s="1"/>
  <c r="E14" i="3"/>
  <c r="F14" i="3" s="1"/>
  <c r="J14" i="3" s="1"/>
  <c r="G14" i="3"/>
  <c r="H14" i="3" s="1"/>
  <c r="E26" i="3"/>
  <c r="F26" i="3" s="1"/>
  <c r="G26" i="3"/>
  <c r="H26" i="3" s="1"/>
  <c r="E20" i="3"/>
  <c r="F20" i="3" s="1"/>
  <c r="J20" i="3" s="1"/>
  <c r="G20" i="3"/>
  <c r="H20" i="3" s="1"/>
  <c r="E8" i="3"/>
  <c r="F8" i="3" s="1"/>
  <c r="G8" i="3"/>
  <c r="H8" i="3" s="1"/>
  <c r="E11" i="3"/>
  <c r="F11" i="3" s="1"/>
  <c r="J11" i="3" s="1"/>
  <c r="G11" i="3"/>
  <c r="H11" i="3" s="1"/>
  <c r="E17" i="3"/>
  <c r="F17" i="3" s="1"/>
  <c r="G17" i="3"/>
  <c r="H17" i="3" s="1"/>
  <c r="E10" i="3"/>
  <c r="F10" i="3" s="1"/>
  <c r="J10" i="3" s="1"/>
  <c r="G10" i="3"/>
  <c r="H10" i="3" s="1"/>
  <c r="E6" i="9"/>
  <c r="F6" i="9"/>
  <c r="C11" i="9"/>
  <c r="C10" i="9"/>
  <c r="C9" i="9"/>
  <c r="D6" i="9"/>
  <c r="C6" i="9"/>
  <c r="D11" i="7"/>
  <c r="AI37" i="1" s="1"/>
  <c r="AJ37" i="1" s="1"/>
  <c r="U21" i="1"/>
  <c r="A11" i="1"/>
  <c r="T11" i="1" s="1"/>
  <c r="A13" i="1"/>
  <c r="T13" i="1"/>
  <c r="C18" i="8"/>
  <c r="C19" i="8" s="1"/>
  <c r="C20" i="8" s="1"/>
  <c r="C21" i="8" s="1"/>
  <c r="E18" i="8"/>
  <c r="E19" i="8"/>
  <c r="E20" i="8"/>
  <c r="E21" i="8"/>
  <c r="E22" i="8"/>
  <c r="H21" i="8" s="1"/>
  <c r="H22" i="8" s="1"/>
  <c r="E12" i="8"/>
  <c r="E13" i="8"/>
  <c r="E16" i="8" s="1"/>
  <c r="H15" i="8" s="1"/>
  <c r="H16" i="8" s="1"/>
  <c r="E14" i="8"/>
  <c r="E15" i="8"/>
  <c r="E7" i="8"/>
  <c r="E8" i="8"/>
  <c r="E10" i="8" s="1"/>
  <c r="H9" i="8" s="1"/>
  <c r="H10" i="8" s="1"/>
  <c r="E9" i="8"/>
  <c r="E6" i="8"/>
  <c r="C12" i="8"/>
  <c r="C13" i="8"/>
  <c r="C14" i="8" s="1"/>
  <c r="C15" i="8" s="1"/>
  <c r="C6" i="8"/>
  <c r="C7" i="8"/>
  <c r="C8" i="8" s="1"/>
  <c r="C9" i="8" s="1"/>
  <c r="L53" i="1"/>
  <c r="L54" i="1"/>
  <c r="L55" i="1"/>
  <c r="L56" i="1"/>
  <c r="L57" i="1" s="1"/>
  <c r="L58" i="1" s="1"/>
  <c r="L59" i="1" s="1"/>
  <c r="L60" i="1" s="1"/>
  <c r="L61" i="1" s="1"/>
  <c r="L62" i="1" s="1"/>
  <c r="L63" i="1" s="1"/>
  <c r="L64" i="1" s="1"/>
  <c r="L65" i="1" s="1"/>
  <c r="L38" i="1"/>
  <c r="L39" i="1"/>
  <c r="L40" i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23" i="1"/>
  <c r="L24" i="1"/>
  <c r="L25" i="1"/>
  <c r="L26" i="1"/>
  <c r="L27" i="1" s="1"/>
  <c r="L28" i="1" s="1"/>
  <c r="L29" i="1" s="1"/>
  <c r="L30" i="1" s="1"/>
  <c r="L31" i="1" s="1"/>
  <c r="L32" i="1" s="1"/>
  <c r="L33" i="1" s="1"/>
  <c r="L34" i="1" s="1"/>
  <c r="L35" i="1" s="1"/>
  <c r="AH64" i="1"/>
  <c r="AH49" i="1"/>
  <c r="AH42" i="1"/>
  <c r="AI38" i="1"/>
  <c r="AI39" i="1"/>
  <c r="AH24" i="1"/>
  <c r="E23" i="3"/>
  <c r="F23" i="3"/>
  <c r="J23" i="3" s="1"/>
  <c r="G23" i="3"/>
  <c r="H23" i="3"/>
  <c r="E28" i="3"/>
  <c r="F28" i="3" s="1"/>
  <c r="G28" i="3"/>
  <c r="H28" i="3" s="1"/>
  <c r="D2" i="3"/>
  <c r="E29" i="3"/>
  <c r="F29" i="3"/>
  <c r="J29" i="3" s="1"/>
  <c r="G29" i="3"/>
  <c r="H29" i="3" s="1"/>
  <c r="E31" i="3"/>
  <c r="F31" i="3"/>
  <c r="J31" i="3" s="1"/>
  <c r="G31" i="3"/>
  <c r="H31" i="3"/>
  <c r="C32" i="3"/>
  <c r="E32" i="3"/>
  <c r="F32" i="3"/>
  <c r="G32" i="3"/>
  <c r="H32" i="3"/>
  <c r="E24" i="3"/>
  <c r="F24" i="3"/>
  <c r="G24" i="3"/>
  <c r="H24" i="3" s="1"/>
  <c r="J24" i="3"/>
  <c r="E25" i="3"/>
  <c r="F25" i="3"/>
  <c r="J25" i="3" s="1"/>
  <c r="G25" i="3"/>
  <c r="H25" i="3"/>
  <c r="D17" i="7"/>
  <c r="M11" i="7"/>
  <c r="G17" i="7"/>
  <c r="D15" i="7"/>
  <c r="G15" i="7"/>
  <c r="K15" i="7" s="1"/>
  <c r="M15" i="7" s="1"/>
  <c r="M20" i="7" s="1"/>
  <c r="D13" i="7"/>
  <c r="G13" i="7"/>
  <c r="K13" i="7" s="1"/>
  <c r="M13" i="7" s="1"/>
  <c r="C7" i="3"/>
  <c r="D12" i="7"/>
  <c r="G16" i="7"/>
  <c r="K16" i="7" s="1"/>
  <c r="M16" i="7" s="1"/>
  <c r="G14" i="7"/>
  <c r="K14" i="7" s="1"/>
  <c r="M14" i="7" s="1"/>
  <c r="G18" i="6"/>
  <c r="G19" i="6"/>
  <c r="E18" i="6"/>
  <c r="E19" i="6"/>
  <c r="H18" i="6"/>
  <c r="H19" i="6"/>
  <c r="AI21" i="1"/>
  <c r="N21" i="1"/>
  <c r="F18" i="6"/>
  <c r="F19" i="6"/>
  <c r="D18" i="6"/>
  <c r="D19" i="6"/>
  <c r="C22" i="1" s="1"/>
  <c r="J9" i="6"/>
  <c r="J10" i="6"/>
  <c r="I18" i="6"/>
  <c r="I19" i="6"/>
  <c r="C13" i="1" s="1"/>
  <c r="AP13" i="1" s="1"/>
  <c r="C6" i="3"/>
  <c r="B7" i="4"/>
  <c r="B3" i="1"/>
  <c r="C7" i="4"/>
  <c r="B65" i="1"/>
  <c r="B66" i="1"/>
  <c r="B50" i="1"/>
  <c r="B51" i="1"/>
  <c r="B35" i="1"/>
  <c r="B36" i="1" s="1"/>
  <c r="A17" i="1"/>
  <c r="A15" i="1"/>
  <c r="B58" i="1"/>
  <c r="B43" i="1"/>
  <c r="B28" i="1"/>
  <c r="O21" i="1"/>
  <c r="C21" i="1"/>
  <c r="B21" i="1"/>
  <c r="W21" i="1"/>
  <c r="X21" i="1"/>
  <c r="AP21" i="1"/>
  <c r="AJ21" i="1"/>
  <c r="AS21" i="1"/>
  <c r="AR21" i="1"/>
  <c r="J28" i="3" l="1"/>
  <c r="C23" i="1"/>
  <c r="D22" i="1"/>
  <c r="G22" i="1" s="1"/>
  <c r="F22" i="1" s="1"/>
  <c r="B13" i="1"/>
  <c r="U13" i="1" s="1"/>
  <c r="AP23" i="1"/>
  <c r="AP26" i="1"/>
  <c r="AP38" i="1"/>
  <c r="AP41" i="1"/>
  <c r="AP53" i="1"/>
  <c r="AP56" i="1"/>
  <c r="B11" i="1"/>
  <c r="U11" i="1" s="1"/>
  <c r="C15" i="1"/>
  <c r="AP15" i="1" s="1"/>
  <c r="C17" i="1"/>
  <c r="AP17" i="1" s="1"/>
  <c r="J32" i="3"/>
  <c r="J18" i="6"/>
  <c r="J19" i="6" s="1"/>
  <c r="C11" i="1" s="1"/>
  <c r="AP11" i="1" s="1"/>
  <c r="AH25" i="1"/>
  <c r="AH37" i="1"/>
  <c r="AH32" i="1"/>
  <c r="M37" i="1"/>
  <c r="AH52" i="1"/>
  <c r="AH59" i="1"/>
  <c r="M22" i="1"/>
  <c r="M52" i="1"/>
  <c r="AH44" i="1"/>
  <c r="AR37" i="1"/>
  <c r="AJ38" i="1"/>
  <c r="K17" i="7"/>
  <c r="M17" i="7" s="1"/>
  <c r="M21" i="7" s="1"/>
  <c r="N21" i="7" s="1"/>
  <c r="AI59" i="1"/>
  <c r="AI52" i="1"/>
  <c r="N52" i="1"/>
  <c r="T23" i="1"/>
  <c r="T24" i="1" s="1"/>
  <c r="T25" i="1" s="1"/>
  <c r="T26" i="1" s="1"/>
  <c r="T27" i="1" s="1"/>
  <c r="J17" i="3"/>
  <c r="J8" i="3"/>
  <c r="J26" i="3"/>
  <c r="J18" i="3"/>
  <c r="J19" i="3"/>
  <c r="J9" i="3"/>
  <c r="J21" i="3"/>
  <c r="J15" i="3"/>
  <c r="J27" i="3"/>
  <c r="N22" i="1"/>
  <c r="N37" i="1"/>
  <c r="AI25" i="1"/>
  <c r="AI32" i="1"/>
  <c r="AH56" i="1"/>
  <c r="AH57" i="1" s="1"/>
  <c r="AH30" i="1"/>
  <c r="AH31" i="1" s="1"/>
  <c r="AI44" i="1"/>
  <c r="X18" i="9"/>
  <c r="X22" i="9"/>
  <c r="AO53" i="1"/>
  <c r="AO26" i="1"/>
  <c r="AO38" i="1"/>
  <c r="AO41" i="1"/>
  <c r="AO56" i="1"/>
  <c r="AO23" i="1"/>
  <c r="X19" i="9"/>
  <c r="AO47" i="1"/>
  <c r="O37" i="1" l="1"/>
  <c r="N38" i="1"/>
  <c r="AP25" i="1"/>
  <c r="AP40" i="1"/>
  <c r="AP22" i="1"/>
  <c r="AP37" i="1"/>
  <c r="AP52" i="1"/>
  <c r="AP55" i="1"/>
  <c r="U37" i="1"/>
  <c r="U38" i="1" s="1"/>
  <c r="U39" i="1" s="1"/>
  <c r="U40" i="1" s="1"/>
  <c r="U41" i="1" s="1"/>
  <c r="U42" i="1" s="1"/>
  <c r="U22" i="1"/>
  <c r="U52" i="1"/>
  <c r="U53" i="1" s="1"/>
  <c r="U54" i="1" s="1"/>
  <c r="U55" i="1" s="1"/>
  <c r="U56" i="1" s="1"/>
  <c r="U57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AJ52" i="1"/>
  <c r="AI53" i="1"/>
  <c r="AI54" i="1" s="1"/>
  <c r="AJ44" i="1"/>
  <c r="AI45" i="1"/>
  <c r="AI46" i="1" s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AH33" i="1"/>
  <c r="AH34" i="1" s="1"/>
  <c r="C24" i="1"/>
  <c r="M53" i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AJ32" i="1"/>
  <c r="AI33" i="1"/>
  <c r="AI34" i="1" s="1"/>
  <c r="AH60" i="1"/>
  <c r="AH61" i="1" s="1"/>
  <c r="AH38" i="1"/>
  <c r="AH39" i="1" s="1"/>
  <c r="AP30" i="1"/>
  <c r="AP33" i="1"/>
  <c r="AP45" i="1"/>
  <c r="AP48" i="1"/>
  <c r="AP60" i="1"/>
  <c r="AP63" i="1"/>
  <c r="AR38" i="1"/>
  <c r="AJ39" i="1"/>
  <c r="AR39" i="1" s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O22" i="1"/>
  <c r="N23" i="1"/>
  <c r="AJ59" i="1"/>
  <c r="AI60" i="1"/>
  <c r="AI61" i="1" s="1"/>
  <c r="AJ25" i="1"/>
  <c r="AI26" i="1"/>
  <c r="AI27" i="1" s="1"/>
  <c r="O52" i="1"/>
  <c r="N53" i="1"/>
  <c r="AH45" i="1"/>
  <c r="AH46" i="1" s="1"/>
  <c r="AH53" i="1"/>
  <c r="AH54" i="1" s="1"/>
  <c r="AH26" i="1"/>
  <c r="AH27" i="1" s="1"/>
  <c r="AP32" i="1"/>
  <c r="AP47" i="1"/>
  <c r="AP29" i="1"/>
  <c r="AP44" i="1"/>
  <c r="AP62" i="1"/>
  <c r="AP59" i="1"/>
  <c r="U44" i="1"/>
  <c r="U45" i="1" s="1"/>
  <c r="U46" i="1" s="1"/>
  <c r="U47" i="1" s="1"/>
  <c r="U48" i="1" s="1"/>
  <c r="U49" i="1" s="1"/>
  <c r="U59" i="1"/>
  <c r="U60" i="1" s="1"/>
  <c r="U61" i="1" s="1"/>
  <c r="U62" i="1" s="1"/>
  <c r="U63" i="1" s="1"/>
  <c r="U64" i="1" s="1"/>
  <c r="U29" i="1"/>
  <c r="U30" i="1" s="1"/>
  <c r="U31" i="1" s="1"/>
  <c r="U32" i="1" s="1"/>
  <c r="U33" i="1" s="1"/>
  <c r="U34" i="1" s="1"/>
  <c r="AR25" i="1" l="1"/>
  <c r="AJ26" i="1"/>
  <c r="C25" i="1"/>
  <c r="N54" i="1"/>
  <c r="O53" i="1"/>
  <c r="W22" i="1"/>
  <c r="P22" i="1"/>
  <c r="R22" i="1" s="1"/>
  <c r="Q22" i="1" s="1"/>
  <c r="N24" i="1"/>
  <c r="O23" i="1"/>
  <c r="AR44" i="1"/>
  <c r="AJ45" i="1"/>
  <c r="W52" i="1"/>
  <c r="AJ33" i="1"/>
  <c r="AR32" i="1"/>
  <c r="AR52" i="1"/>
  <c r="AJ53" i="1"/>
  <c r="U23" i="1"/>
  <c r="X22" i="1"/>
  <c r="AS22" i="1" s="1"/>
  <c r="N39" i="1"/>
  <c r="O38" i="1"/>
  <c r="AR59" i="1"/>
  <c r="AJ60" i="1"/>
  <c r="W37" i="1"/>
  <c r="Y22" i="1" l="1"/>
  <c r="AB22" i="1" s="1"/>
  <c r="AA22" i="1" s="1"/>
  <c r="AI22" i="1"/>
  <c r="U24" i="1"/>
  <c r="X23" i="1"/>
  <c r="AS23" i="1" s="1"/>
  <c r="P53" i="1"/>
  <c r="W53" i="1"/>
  <c r="P38" i="1"/>
  <c r="W38" i="1"/>
  <c r="N25" i="1"/>
  <c r="O24" i="1"/>
  <c r="N55" i="1"/>
  <c r="O54" i="1"/>
  <c r="AR26" i="1"/>
  <c r="AJ27" i="1"/>
  <c r="AR27" i="1" s="1"/>
  <c r="C26" i="1"/>
  <c r="P23" i="1"/>
  <c r="W23" i="1"/>
  <c r="AR60" i="1"/>
  <c r="AJ61" i="1"/>
  <c r="AR61" i="1" s="1"/>
  <c r="AR53" i="1"/>
  <c r="AJ54" i="1"/>
  <c r="AR54" i="1" s="1"/>
  <c r="N40" i="1"/>
  <c r="O39" i="1"/>
  <c r="AR33" i="1"/>
  <c r="AJ34" i="1"/>
  <c r="AR34" i="1" s="1"/>
  <c r="AR45" i="1"/>
  <c r="AJ46" i="1"/>
  <c r="AR46" i="1" s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N41" i="1" l="1"/>
  <c r="O40" i="1"/>
  <c r="P24" i="1"/>
  <c r="W24" i="1"/>
  <c r="AJ22" i="1"/>
  <c r="AI23" i="1"/>
  <c r="AI24" i="1" s="1"/>
  <c r="C27" i="1"/>
  <c r="N26" i="1"/>
  <c r="O25" i="1"/>
  <c r="P54" i="1"/>
  <c r="W54" i="1"/>
  <c r="AA23" i="1"/>
  <c r="AA24" i="1" s="1"/>
  <c r="AA25" i="1" s="1"/>
  <c r="AA26" i="1" s="1"/>
  <c r="AA27" i="1" s="1"/>
  <c r="P39" i="1"/>
  <c r="W39" i="1"/>
  <c r="O55" i="1"/>
  <c r="N56" i="1"/>
  <c r="U25" i="1"/>
  <c r="X24" i="1"/>
  <c r="AS24" i="1" s="1"/>
  <c r="U26" i="1" l="1"/>
  <c r="X25" i="1"/>
  <c r="N27" i="1"/>
  <c r="O26" i="1"/>
  <c r="N57" i="1"/>
  <c r="O56" i="1"/>
  <c r="W55" i="1"/>
  <c r="AI55" i="1" s="1"/>
  <c r="P55" i="1"/>
  <c r="C28" i="1"/>
  <c r="C29" i="1" s="1"/>
  <c r="W40" i="1"/>
  <c r="AI40" i="1" s="1"/>
  <c r="P40" i="1"/>
  <c r="P25" i="1"/>
  <c r="W25" i="1"/>
  <c r="AR22" i="1"/>
  <c r="AT22" i="1" s="1"/>
  <c r="AW22" i="1" s="1"/>
  <c r="AV22" i="1" s="1"/>
  <c r="AU22" i="1" s="1"/>
  <c r="AQ22" i="1" s="1"/>
  <c r="AK22" i="1"/>
  <c r="AJ23" i="1"/>
  <c r="N42" i="1"/>
  <c r="O41" i="1"/>
  <c r="AJ40" i="1" l="1"/>
  <c r="AI41" i="1"/>
  <c r="AI42" i="1" s="1"/>
  <c r="AM22" i="1"/>
  <c r="AK23" i="1"/>
  <c r="AK24" i="1" s="1"/>
  <c r="P26" i="1"/>
  <c r="W26" i="1"/>
  <c r="P41" i="1"/>
  <c r="W41" i="1"/>
  <c r="AJ55" i="1"/>
  <c r="AI56" i="1"/>
  <c r="AI57" i="1" s="1"/>
  <c r="N28" i="1"/>
  <c r="O27" i="1"/>
  <c r="N43" i="1"/>
  <c r="O42" i="1"/>
  <c r="P56" i="1"/>
  <c r="W56" i="1"/>
  <c r="AS25" i="1"/>
  <c r="AT25" i="1" s="1"/>
  <c r="AW25" i="1" s="1"/>
  <c r="AV25" i="1" s="1"/>
  <c r="AU25" i="1" s="1"/>
  <c r="AQ25" i="1" s="1"/>
  <c r="AK25" i="1"/>
  <c r="AR23" i="1"/>
  <c r="AT23" i="1" s="1"/>
  <c r="AW23" i="1" s="1"/>
  <c r="AV23" i="1" s="1"/>
  <c r="AU23" i="1" s="1"/>
  <c r="AQ23" i="1" s="1"/>
  <c r="AN22" i="1" s="1"/>
  <c r="AJ24" i="1"/>
  <c r="AR24" i="1" s="1"/>
  <c r="X29" i="1"/>
  <c r="AS29" i="1" s="1"/>
  <c r="C30" i="1"/>
  <c r="N58" i="1"/>
  <c r="O57" i="1"/>
  <c r="U27" i="1"/>
  <c r="X27" i="1" s="1"/>
  <c r="AS27" i="1" s="1"/>
  <c r="X26" i="1"/>
  <c r="AS26" i="1" s="1"/>
  <c r="AT26" i="1" s="1"/>
  <c r="AW26" i="1" s="1"/>
  <c r="AV26" i="1" s="1"/>
  <c r="AU26" i="1" s="1"/>
  <c r="AQ26" i="1" s="1"/>
  <c r="N59" i="1" l="1"/>
  <c r="O58" i="1"/>
  <c r="P58" i="1" s="1"/>
  <c r="N29" i="1"/>
  <c r="O28" i="1"/>
  <c r="P28" i="1" s="1"/>
  <c r="AM25" i="1"/>
  <c r="AK26" i="1"/>
  <c r="AK27" i="1" s="1"/>
  <c r="AL22" i="1"/>
  <c r="AM23" i="1"/>
  <c r="AM24" i="1" s="1"/>
  <c r="AN25" i="1"/>
  <c r="N44" i="1"/>
  <c r="O43" i="1"/>
  <c r="P43" i="1" s="1"/>
  <c r="AR55" i="1"/>
  <c r="AJ56" i="1"/>
  <c r="AR40" i="1"/>
  <c r="AJ41" i="1"/>
  <c r="X30" i="1"/>
  <c r="AS30" i="1" s="1"/>
  <c r="C31" i="1"/>
  <c r="W42" i="1"/>
  <c r="P42" i="1"/>
  <c r="P57" i="1"/>
  <c r="W57" i="1"/>
  <c r="P27" i="1"/>
  <c r="W27" i="1"/>
  <c r="AR41" i="1" l="1"/>
  <c r="AJ42" i="1"/>
  <c r="AR42" i="1" s="1"/>
  <c r="AL23" i="1"/>
  <c r="AL24" i="1" s="1"/>
  <c r="AF22" i="1"/>
  <c r="O29" i="1"/>
  <c r="N30" i="1"/>
  <c r="C32" i="1"/>
  <c r="X31" i="1"/>
  <c r="AS31" i="1" s="1"/>
  <c r="AR56" i="1"/>
  <c r="AJ57" i="1"/>
  <c r="AR57" i="1" s="1"/>
  <c r="O44" i="1"/>
  <c r="N45" i="1"/>
  <c r="AL25" i="1"/>
  <c r="AM26" i="1"/>
  <c r="AM27" i="1" s="1"/>
  <c r="O59" i="1"/>
  <c r="N60" i="1"/>
  <c r="W44" i="1" l="1"/>
  <c r="P44" i="1"/>
  <c r="N61" i="1"/>
  <c r="O60" i="1"/>
  <c r="W29" i="1"/>
  <c r="P29" i="1"/>
  <c r="X32" i="1"/>
  <c r="C33" i="1"/>
  <c r="AL26" i="1"/>
  <c r="AL27" i="1" s="1"/>
  <c r="AF25" i="1"/>
  <c r="AD22" i="1" s="1"/>
  <c r="O30" i="1"/>
  <c r="N31" i="1"/>
  <c r="W59" i="1"/>
  <c r="P59" i="1"/>
  <c r="N46" i="1"/>
  <c r="O45" i="1"/>
  <c r="AE22" i="1" l="1"/>
  <c r="AE25" i="1"/>
  <c r="AC22" i="1"/>
  <c r="Z22" i="1"/>
  <c r="V22" i="1" s="1"/>
  <c r="P60" i="1"/>
  <c r="W60" i="1"/>
  <c r="N47" i="1"/>
  <c r="O46" i="1"/>
  <c r="P30" i="1"/>
  <c r="W30" i="1"/>
  <c r="AS32" i="1"/>
  <c r="AT32" i="1" s="1"/>
  <c r="AW32" i="1" s="1"/>
  <c r="AV32" i="1" s="1"/>
  <c r="AU32" i="1" s="1"/>
  <c r="AQ32" i="1" s="1"/>
  <c r="AK32" i="1"/>
  <c r="AM32" i="1" s="1"/>
  <c r="AL32" i="1" s="1"/>
  <c r="N62" i="1"/>
  <c r="O61" i="1"/>
  <c r="Y29" i="1"/>
  <c r="AB29" i="1" s="1"/>
  <c r="AA29" i="1" s="1"/>
  <c r="AI29" i="1"/>
  <c r="P45" i="1"/>
  <c r="W45" i="1"/>
  <c r="O31" i="1"/>
  <c r="N32" i="1"/>
  <c r="C34" i="1"/>
  <c r="X33" i="1"/>
  <c r="AS33" i="1" s="1"/>
  <c r="AT33" i="1" s="1"/>
  <c r="AW33" i="1" s="1"/>
  <c r="AV33" i="1" s="1"/>
  <c r="AU33" i="1" s="1"/>
  <c r="AQ33" i="1" s="1"/>
  <c r="P31" i="1" l="1"/>
  <c r="W31" i="1"/>
  <c r="AA30" i="1"/>
  <c r="AA31" i="1" s="1"/>
  <c r="AA32" i="1" s="1"/>
  <c r="AA33" i="1" s="1"/>
  <c r="AA34" i="1" s="1"/>
  <c r="P46" i="1"/>
  <c r="W46" i="1"/>
  <c r="AF32" i="1"/>
  <c r="AN32" i="1"/>
  <c r="O47" i="1"/>
  <c r="N48" i="1"/>
  <c r="C35" i="1"/>
  <c r="C36" i="1" s="1"/>
  <c r="C37" i="1" s="1"/>
  <c r="X34" i="1"/>
  <c r="AS34" i="1" s="1"/>
  <c r="P61" i="1"/>
  <c r="W61" i="1"/>
  <c r="BA25" i="1"/>
  <c r="AE26" i="1"/>
  <c r="AZ25" i="1"/>
  <c r="AY25" i="1"/>
  <c r="N33" i="1"/>
  <c r="O32" i="1"/>
  <c r="AJ29" i="1"/>
  <c r="AI30" i="1"/>
  <c r="AI31" i="1" s="1"/>
  <c r="O62" i="1"/>
  <c r="N63" i="1"/>
  <c r="BA22" i="1"/>
  <c r="AE23" i="1"/>
  <c r="AZ22" i="1"/>
  <c r="AY22" i="1"/>
  <c r="N34" i="1" l="1"/>
  <c r="O33" i="1"/>
  <c r="BA23" i="1"/>
  <c r="AZ23" i="1"/>
  <c r="AY23" i="1"/>
  <c r="O48" i="1"/>
  <c r="N49" i="1"/>
  <c r="W62" i="1"/>
  <c r="AI62" i="1" s="1"/>
  <c r="P62" i="1"/>
  <c r="X37" i="1"/>
  <c r="C38" i="1"/>
  <c r="P37" i="1"/>
  <c r="R37" i="1" s="1"/>
  <c r="Q37" i="1" s="1"/>
  <c r="AK29" i="1"/>
  <c r="AR29" i="1"/>
  <c r="AT29" i="1" s="1"/>
  <c r="AW29" i="1" s="1"/>
  <c r="AV29" i="1" s="1"/>
  <c r="AU29" i="1" s="1"/>
  <c r="AQ29" i="1" s="1"/>
  <c r="AJ30" i="1"/>
  <c r="W47" i="1"/>
  <c r="AI47" i="1" s="1"/>
  <c r="P47" i="1"/>
  <c r="O63" i="1"/>
  <c r="N64" i="1"/>
  <c r="P32" i="1"/>
  <c r="W32" i="1"/>
  <c r="BA26" i="1"/>
  <c r="AZ26" i="1"/>
  <c r="AY26" i="1"/>
  <c r="P63" i="1" l="1"/>
  <c r="W63" i="1"/>
  <c r="AJ62" i="1"/>
  <c r="AI63" i="1"/>
  <c r="AI64" i="1" s="1"/>
  <c r="Q38" i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AM29" i="1"/>
  <c r="AK30" i="1"/>
  <c r="AK31" i="1" s="1"/>
  <c r="X38" i="1"/>
  <c r="AS38" i="1" s="1"/>
  <c r="AT38" i="1" s="1"/>
  <c r="AW38" i="1" s="1"/>
  <c r="AV38" i="1" s="1"/>
  <c r="AU38" i="1" s="1"/>
  <c r="AQ38" i="1" s="1"/>
  <c r="C39" i="1"/>
  <c r="O49" i="1"/>
  <c r="N50" i="1"/>
  <c r="AS37" i="1"/>
  <c r="AT37" i="1" s="1"/>
  <c r="AW37" i="1" s="1"/>
  <c r="AV37" i="1" s="1"/>
  <c r="AU37" i="1" s="1"/>
  <c r="AQ37" i="1" s="1"/>
  <c r="AN37" i="1" s="1"/>
  <c r="AK37" i="1"/>
  <c r="Y37" i="1"/>
  <c r="AB37" i="1" s="1"/>
  <c r="AA37" i="1" s="1"/>
  <c r="P48" i="1"/>
  <c r="W48" i="1"/>
  <c r="W33" i="1"/>
  <c r="P33" i="1"/>
  <c r="AJ47" i="1"/>
  <c r="AI48" i="1"/>
  <c r="AI49" i="1" s="1"/>
  <c r="O64" i="1"/>
  <c r="N65" i="1"/>
  <c r="AR30" i="1"/>
  <c r="AT30" i="1" s="1"/>
  <c r="AW30" i="1" s="1"/>
  <c r="AV30" i="1" s="1"/>
  <c r="AU30" i="1" s="1"/>
  <c r="AQ30" i="1" s="1"/>
  <c r="AN29" i="1" s="1"/>
  <c r="AJ31" i="1"/>
  <c r="AR31" i="1" s="1"/>
  <c r="N35" i="1"/>
  <c r="O34" i="1"/>
  <c r="C40" i="1" l="1"/>
  <c r="X39" i="1"/>
  <c r="AS39" i="1" s="1"/>
  <c r="AM37" i="1"/>
  <c r="AK38" i="1"/>
  <c r="AK39" i="1" s="1"/>
  <c r="P49" i="1"/>
  <c r="P50" i="1" s="1"/>
  <c r="O50" i="1"/>
  <c r="W49" i="1"/>
  <c r="AL29" i="1"/>
  <c r="AM30" i="1"/>
  <c r="AM31" i="1" s="1"/>
  <c r="AR62" i="1"/>
  <c r="AJ63" i="1"/>
  <c r="AR47" i="1"/>
  <c r="AJ48" i="1"/>
  <c r="O35" i="1"/>
  <c r="P34" i="1"/>
  <c r="P35" i="1" s="1"/>
  <c r="W34" i="1"/>
  <c r="P64" i="1"/>
  <c r="P65" i="1" s="1"/>
  <c r="O65" i="1"/>
  <c r="W64" i="1"/>
  <c r="AA38" i="1"/>
  <c r="AA39" i="1" s="1"/>
  <c r="AA40" i="1" s="1"/>
  <c r="AA41" i="1" s="1"/>
  <c r="AA42" i="1" s="1"/>
  <c r="AR63" i="1" l="1"/>
  <c r="AJ64" i="1"/>
  <c r="AR64" i="1" s="1"/>
  <c r="AL30" i="1"/>
  <c r="AL31" i="1" s="1"/>
  <c r="AF29" i="1"/>
  <c r="AD29" i="1" s="1"/>
  <c r="AR48" i="1"/>
  <c r="AJ49" i="1"/>
  <c r="AR49" i="1" s="1"/>
  <c r="AL37" i="1"/>
  <c r="AM38" i="1"/>
  <c r="AM39" i="1" s="1"/>
  <c r="X40" i="1"/>
  <c r="C41" i="1"/>
  <c r="AL38" i="1" l="1"/>
  <c r="AL39" i="1" s="1"/>
  <c r="AF37" i="1"/>
  <c r="X41" i="1"/>
  <c r="AS41" i="1" s="1"/>
  <c r="AT41" i="1" s="1"/>
  <c r="AW41" i="1" s="1"/>
  <c r="AV41" i="1" s="1"/>
  <c r="AU41" i="1" s="1"/>
  <c r="AQ41" i="1" s="1"/>
  <c r="C42" i="1"/>
  <c r="AS40" i="1"/>
  <c r="AT40" i="1" s="1"/>
  <c r="AW40" i="1" s="1"/>
  <c r="AV40" i="1" s="1"/>
  <c r="AU40" i="1" s="1"/>
  <c r="AQ40" i="1" s="1"/>
  <c r="AK40" i="1"/>
  <c r="AE29" i="1"/>
  <c r="AE32" i="1"/>
  <c r="AC29" i="1"/>
  <c r="Z29" i="1"/>
  <c r="V29" i="1" s="1"/>
  <c r="S22" i="1" s="1"/>
  <c r="K22" i="1" s="1"/>
  <c r="BA32" i="1" l="1"/>
  <c r="AE33" i="1"/>
  <c r="AZ32" i="1"/>
  <c r="AY32" i="1"/>
  <c r="D9" i="9"/>
  <c r="C43" i="1"/>
  <c r="C44" i="1" s="1"/>
  <c r="X42" i="1"/>
  <c r="AS42" i="1" s="1"/>
  <c r="AM40" i="1"/>
  <c r="AK41" i="1"/>
  <c r="AK42" i="1" s="1"/>
  <c r="BA29" i="1"/>
  <c r="AE30" i="1"/>
  <c r="AZ29" i="1"/>
  <c r="AY29" i="1"/>
  <c r="AN40" i="1"/>
  <c r="AL40" i="1" l="1"/>
  <c r="AM41" i="1"/>
  <c r="AM42" i="1" s="1"/>
  <c r="BA33" i="1"/>
  <c r="F9" i="9" s="1"/>
  <c r="AZ33" i="1"/>
  <c r="AY33" i="1"/>
  <c r="C45" i="1"/>
  <c r="X44" i="1"/>
  <c r="BA30" i="1"/>
  <c r="E9" i="9" s="1"/>
  <c r="AY30" i="1"/>
  <c r="AZ30" i="1"/>
  <c r="X45" i="1" l="1"/>
  <c r="AS45" i="1" s="1"/>
  <c r="AT45" i="1" s="1"/>
  <c r="AW45" i="1" s="1"/>
  <c r="AV45" i="1" s="1"/>
  <c r="AU45" i="1" s="1"/>
  <c r="AQ45" i="1" s="1"/>
  <c r="C46" i="1"/>
  <c r="AL41" i="1"/>
  <c r="AL42" i="1" s="1"/>
  <c r="AF40" i="1"/>
  <c r="AD37" i="1" s="1"/>
  <c r="AS44" i="1"/>
  <c r="AT44" i="1" s="1"/>
  <c r="AW44" i="1" s="1"/>
  <c r="AV44" i="1" s="1"/>
  <c r="AU44" i="1" s="1"/>
  <c r="AQ44" i="1" s="1"/>
  <c r="AK44" i="1"/>
  <c r="Y44" i="1"/>
  <c r="AB44" i="1" s="1"/>
  <c r="AA44" i="1" s="1"/>
  <c r="AM44" i="1" l="1"/>
  <c r="AK45" i="1"/>
  <c r="AK46" i="1" s="1"/>
  <c r="C47" i="1"/>
  <c r="X46" i="1"/>
  <c r="AS46" i="1" s="1"/>
  <c r="AE37" i="1"/>
  <c r="AE40" i="1"/>
  <c r="AC37" i="1"/>
  <c r="Z37" i="1"/>
  <c r="V37" i="1" s="1"/>
  <c r="AN44" i="1"/>
  <c r="AA45" i="1"/>
  <c r="AA46" i="1" s="1"/>
  <c r="AA47" i="1" s="1"/>
  <c r="AA48" i="1" s="1"/>
  <c r="AA49" i="1" s="1"/>
  <c r="X47" i="1" l="1"/>
  <c r="C48" i="1"/>
  <c r="BA40" i="1"/>
  <c r="AE41" i="1"/>
  <c r="AZ40" i="1"/>
  <c r="AY40" i="1"/>
  <c r="BA37" i="1"/>
  <c r="AE38" i="1"/>
  <c r="AZ37" i="1"/>
  <c r="AY37" i="1"/>
  <c r="AL44" i="1"/>
  <c r="AM45" i="1"/>
  <c r="AM46" i="1" s="1"/>
  <c r="AL45" i="1" l="1"/>
  <c r="AL46" i="1" s="1"/>
  <c r="AF44" i="1"/>
  <c r="X48" i="1"/>
  <c r="AS48" i="1" s="1"/>
  <c r="AT48" i="1" s="1"/>
  <c r="AW48" i="1" s="1"/>
  <c r="AV48" i="1" s="1"/>
  <c r="AU48" i="1" s="1"/>
  <c r="AQ48" i="1" s="1"/>
  <c r="C49" i="1"/>
  <c r="AS47" i="1"/>
  <c r="AT47" i="1" s="1"/>
  <c r="AW47" i="1" s="1"/>
  <c r="AV47" i="1" s="1"/>
  <c r="AU47" i="1" s="1"/>
  <c r="AQ47" i="1" s="1"/>
  <c r="AN47" i="1" s="1"/>
  <c r="AK47" i="1"/>
  <c r="AM47" i="1" s="1"/>
  <c r="AL47" i="1" s="1"/>
  <c r="BA38" i="1"/>
  <c r="AZ38" i="1"/>
  <c r="AY38" i="1"/>
  <c r="BA41" i="1"/>
  <c r="AZ41" i="1"/>
  <c r="AY41" i="1"/>
  <c r="C50" i="1" l="1"/>
  <c r="C51" i="1" s="1"/>
  <c r="C52" i="1" s="1"/>
  <c r="X49" i="1"/>
  <c r="AS49" i="1" s="1"/>
  <c r="AF47" i="1"/>
  <c r="AD44" i="1" s="1"/>
  <c r="AE44" i="1" l="1"/>
  <c r="AE47" i="1"/>
  <c r="AC44" i="1"/>
  <c r="Z44" i="1"/>
  <c r="V44" i="1" s="1"/>
  <c r="S37" i="1" s="1"/>
  <c r="K37" i="1" s="1"/>
  <c r="X52" i="1"/>
  <c r="C53" i="1"/>
  <c r="P52" i="1"/>
  <c r="R52" i="1" s="1"/>
  <c r="Q52" i="1" s="1"/>
  <c r="Q53" i="1" l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D10" i="9"/>
  <c r="C9" i="7"/>
  <c r="B6" i="4"/>
  <c r="C5" i="3"/>
  <c r="C18" i="1"/>
  <c r="C54" i="1"/>
  <c r="X53" i="1"/>
  <c r="AS53" i="1" s="1"/>
  <c r="AT53" i="1" s="1"/>
  <c r="AW53" i="1" s="1"/>
  <c r="AV53" i="1" s="1"/>
  <c r="AU53" i="1" s="1"/>
  <c r="AQ53" i="1" s="1"/>
  <c r="AE48" i="1"/>
  <c r="BA47" i="1"/>
  <c r="AZ47" i="1"/>
  <c r="AY47" i="1"/>
  <c r="AS52" i="1"/>
  <c r="AT52" i="1" s="1"/>
  <c r="AW52" i="1" s="1"/>
  <c r="AV52" i="1" s="1"/>
  <c r="AU52" i="1" s="1"/>
  <c r="AQ52" i="1" s="1"/>
  <c r="AN52" i="1" s="1"/>
  <c r="AK52" i="1"/>
  <c r="Y52" i="1"/>
  <c r="AB52" i="1" s="1"/>
  <c r="AA52" i="1" s="1"/>
  <c r="BA44" i="1"/>
  <c r="AE45" i="1"/>
  <c r="AZ44" i="1"/>
  <c r="AY44" i="1"/>
  <c r="AM52" i="1" l="1"/>
  <c r="AK53" i="1"/>
  <c r="AK54" i="1" s="1"/>
  <c r="BA45" i="1"/>
  <c r="AZ45" i="1"/>
  <c r="AY45" i="1"/>
  <c r="BA48" i="1"/>
  <c r="AZ48" i="1"/>
  <c r="AY48" i="1"/>
  <c r="H10" i="9"/>
  <c r="H9" i="9"/>
  <c r="F10" i="9"/>
  <c r="E10" i="9"/>
  <c r="AA53" i="1"/>
  <c r="AA54" i="1" s="1"/>
  <c r="AA55" i="1" s="1"/>
  <c r="AA56" i="1" s="1"/>
  <c r="AA57" i="1" s="1"/>
  <c r="C55" i="1"/>
  <c r="X54" i="1"/>
  <c r="AS54" i="1" s="1"/>
  <c r="I10" i="9" l="1"/>
  <c r="I9" i="9"/>
  <c r="X55" i="1"/>
  <c r="C56" i="1"/>
  <c r="J10" i="9"/>
  <c r="J9" i="9"/>
  <c r="AL52" i="1"/>
  <c r="AM53" i="1"/>
  <c r="AM54" i="1" s="1"/>
  <c r="X56" i="1" l="1"/>
  <c r="AS56" i="1" s="1"/>
  <c r="AT56" i="1" s="1"/>
  <c r="AW56" i="1" s="1"/>
  <c r="AV56" i="1" s="1"/>
  <c r="AU56" i="1" s="1"/>
  <c r="AQ56" i="1" s="1"/>
  <c r="C57" i="1"/>
  <c r="AL53" i="1"/>
  <c r="AL54" i="1" s="1"/>
  <c r="AF52" i="1"/>
  <c r="AS55" i="1"/>
  <c r="AT55" i="1" s="1"/>
  <c r="AW55" i="1" s="1"/>
  <c r="AV55" i="1" s="1"/>
  <c r="AU55" i="1" s="1"/>
  <c r="AQ55" i="1" s="1"/>
  <c r="AN55" i="1" s="1"/>
  <c r="AK55" i="1"/>
  <c r="AM55" i="1" l="1"/>
  <c r="AK56" i="1"/>
  <c r="AK57" i="1" s="1"/>
  <c r="C58" i="1"/>
  <c r="C59" i="1" s="1"/>
  <c r="X57" i="1"/>
  <c r="AS57" i="1" s="1"/>
  <c r="C60" i="1" l="1"/>
  <c r="X59" i="1"/>
  <c r="AL55" i="1"/>
  <c r="AM56" i="1"/>
  <c r="AM57" i="1" s="1"/>
  <c r="AL56" i="1" l="1"/>
  <c r="AL57" i="1" s="1"/>
  <c r="AF55" i="1"/>
  <c r="AD52" i="1" s="1"/>
  <c r="AS59" i="1"/>
  <c r="AT59" i="1" s="1"/>
  <c r="AW59" i="1" s="1"/>
  <c r="AV59" i="1" s="1"/>
  <c r="AU59" i="1" s="1"/>
  <c r="AQ59" i="1" s="1"/>
  <c r="AN59" i="1" s="1"/>
  <c r="AK59" i="1"/>
  <c r="Y59" i="1"/>
  <c r="AB59" i="1" s="1"/>
  <c r="AA59" i="1" s="1"/>
  <c r="X60" i="1"/>
  <c r="AS60" i="1" s="1"/>
  <c r="AT60" i="1" s="1"/>
  <c r="AW60" i="1" s="1"/>
  <c r="AV60" i="1" s="1"/>
  <c r="AU60" i="1" s="1"/>
  <c r="AQ60" i="1" s="1"/>
  <c r="C61" i="1"/>
  <c r="AE55" i="1" l="1"/>
  <c r="AE52" i="1"/>
  <c r="AC52" i="1"/>
  <c r="Z52" i="1"/>
  <c r="V52" i="1" s="1"/>
  <c r="AM59" i="1"/>
  <c r="AK60" i="1"/>
  <c r="AK61" i="1" s="1"/>
  <c r="C62" i="1"/>
  <c r="X61" i="1"/>
  <c r="AS61" i="1" s="1"/>
  <c r="AA60" i="1"/>
  <c r="AA61" i="1" s="1"/>
  <c r="AA62" i="1" s="1"/>
  <c r="AA63" i="1" s="1"/>
  <c r="AA64" i="1" s="1"/>
  <c r="C63" i="1" l="1"/>
  <c r="X62" i="1"/>
  <c r="BA52" i="1"/>
  <c r="AE53" i="1"/>
  <c r="AY52" i="1"/>
  <c r="AZ52" i="1"/>
  <c r="AL59" i="1"/>
  <c r="AM60" i="1"/>
  <c r="AM61" i="1" s="1"/>
  <c r="AE56" i="1"/>
  <c r="BA55" i="1"/>
  <c r="AY55" i="1"/>
  <c r="AZ55" i="1"/>
  <c r="AL60" i="1" l="1"/>
  <c r="AL61" i="1" s="1"/>
  <c r="AF59" i="1"/>
  <c r="BA56" i="1"/>
  <c r="AZ56" i="1"/>
  <c r="AY56" i="1"/>
  <c r="AS62" i="1"/>
  <c r="AT62" i="1" s="1"/>
  <c r="AW62" i="1" s="1"/>
  <c r="AV62" i="1" s="1"/>
  <c r="AU62" i="1" s="1"/>
  <c r="AQ62" i="1" s="1"/>
  <c r="AN62" i="1" s="1"/>
  <c r="AK62" i="1"/>
  <c r="AM62" i="1" s="1"/>
  <c r="AL62" i="1" s="1"/>
  <c r="BA53" i="1"/>
  <c r="AZ53" i="1"/>
  <c r="AY53" i="1"/>
  <c r="X63" i="1"/>
  <c r="AS63" i="1" s="1"/>
  <c r="AT63" i="1" s="1"/>
  <c r="AW63" i="1" s="1"/>
  <c r="AV63" i="1" s="1"/>
  <c r="AU63" i="1" s="1"/>
  <c r="AQ63" i="1" s="1"/>
  <c r="C64" i="1"/>
  <c r="C65" i="1" l="1"/>
  <c r="C66" i="1" s="1"/>
  <c r="X64" i="1"/>
  <c r="AS64" i="1" s="1"/>
  <c r="AF62" i="1"/>
  <c r="AD59" i="1" s="1"/>
  <c r="AE62" i="1" l="1"/>
  <c r="AE59" i="1"/>
  <c r="AC59" i="1"/>
  <c r="Z59" i="1"/>
  <c r="V59" i="1" s="1"/>
  <c r="S52" i="1" s="1"/>
  <c r="K52" i="1" s="1"/>
  <c r="D11" i="9" l="1"/>
  <c r="H11" i="9" s="1"/>
  <c r="D9" i="7"/>
  <c r="D5" i="3"/>
  <c r="C19" i="1"/>
  <c r="C6" i="4"/>
  <c r="I22" i="1"/>
  <c r="BA59" i="1"/>
  <c r="AE60" i="1"/>
  <c r="AY59" i="1"/>
  <c r="AZ59" i="1"/>
  <c r="BA62" i="1"/>
  <c r="AE63" i="1"/>
  <c r="AZ62" i="1"/>
  <c r="AY62" i="1"/>
  <c r="J52" i="1" l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H22" i="1"/>
  <c r="E22" i="1"/>
  <c r="BA63" i="1"/>
  <c r="AZ63" i="1"/>
  <c r="AY63" i="1"/>
  <c r="BA60" i="1"/>
  <c r="F11" i="9" s="1"/>
  <c r="J11" i="9" s="1"/>
  <c r="AZ60" i="1"/>
  <c r="AY60" i="1"/>
  <c r="B5" i="3" l="1"/>
  <c r="B9" i="7"/>
  <c r="B18" i="1"/>
  <c r="E11" i="9"/>
  <c r="I1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Bryan Palmintier</author>
  </authors>
  <commentList>
    <comment ref="AW2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Look up in Op_Cost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Bryan Palmintier</author>
  </authors>
  <commentList>
    <comment ref="C7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Ratio of sum(nameplate)/native_peak_load</t>
        </r>
      </text>
    </comment>
  </commentList>
</comments>
</file>

<file path=xl/sharedStrings.xml><?xml version="1.0" encoding="utf-8"?>
<sst xmlns="http://schemas.openxmlformats.org/spreadsheetml/2006/main" count="500" uniqueCount="246">
  <si>
    <t>Cost to Go</t>
  </si>
  <si>
    <t>Name</t>
  </si>
  <si>
    <t>Probability</t>
  </si>
  <si>
    <t>Expected Value</t>
  </si>
  <si>
    <t>Best Decision</t>
  </si>
  <si>
    <t>Best Value</t>
  </si>
  <si>
    <t>Pre State</t>
  </si>
  <si>
    <t>Post State</t>
  </si>
  <si>
    <t>Chance State</t>
  </si>
  <si>
    <t>Decision State</t>
  </si>
  <si>
    <t>abbrev.</t>
  </si>
  <si>
    <t>pv</t>
  </si>
  <si>
    <t>st</t>
  </si>
  <si>
    <t>PV_%</t>
  </si>
  <si>
    <t>Post Op Scaled</t>
  </si>
  <si>
    <t>Dec+Future</t>
  </si>
  <si>
    <t>Decision Cost</t>
  </si>
  <si>
    <t>Picked?</t>
  </si>
  <si>
    <t>Post Op Raw</t>
  </si>
  <si>
    <t>Pre Op Raw</t>
  </si>
  <si>
    <t>Pre Op Scaled</t>
  </si>
  <si>
    <t>Pre Decision State (P3)</t>
  </si>
  <si>
    <t>Uncertainty (P2)</t>
  </si>
  <si>
    <t>Decision (P2)</t>
  </si>
  <si>
    <t>Pre Decision State (P2)</t>
  </si>
  <si>
    <t>This builds up the names and values using RAW_ops</t>
  </si>
  <si>
    <t>Cut and past from OpenDSS</t>
  </si>
  <si>
    <t>PV</t>
  </si>
  <si>
    <t>Cost of Backfeed</t>
  </si>
  <si>
    <t>$/MWh</t>
  </si>
  <si>
    <t>State</t>
  </si>
  <si>
    <t>Backfeed Cost</t>
  </si>
  <si>
    <t>Insert Spacer</t>
  </si>
  <si>
    <t>Choice Name</t>
  </si>
  <si>
    <t>Scale to Annual</t>
  </si>
  <si>
    <t>x</t>
  </si>
  <si>
    <t>Scaled Ops Cost</t>
  </si>
  <si>
    <t>Post Decision State (P2)</t>
  </si>
  <si>
    <t>Pre Decision State (P1)</t>
  </si>
  <si>
    <t>Decision (P1)</t>
  </si>
  <si>
    <t>Post Decision State (P1)</t>
  </si>
  <si>
    <t>Uncertainty (P1)</t>
  </si>
  <si>
    <t>Version</t>
  </si>
  <si>
    <t>Date</t>
  </si>
  <si>
    <t>Who</t>
  </si>
  <si>
    <t>What</t>
  </si>
  <si>
    <t>bpalmintier</t>
  </si>
  <si>
    <t>Rapid Prototype showing proof of concept</t>
  </si>
  <si>
    <t>Time</t>
  </si>
  <si>
    <t>hwu</t>
  </si>
  <si>
    <t>Expanded for third P1 decision (flexibile option), expanded cost table</t>
  </si>
  <si>
    <t>P2 Decision Insert Spacer</t>
  </si>
  <si>
    <t>P1 Decision Insert Spacer</t>
  </si>
  <si>
    <t>P1 Uncertainty Spacer</t>
  </si>
  <si>
    <t>P2 uncertainty Spacer</t>
  </si>
  <si>
    <t>Probability-Up if down</t>
  </si>
  <si>
    <t>Probability-Down if down</t>
  </si>
  <si>
    <t>Decision Tree Parameters</t>
  </si>
  <si>
    <t>P1</t>
  </si>
  <si>
    <t>P2</t>
  </si>
  <si>
    <t>E(NPV)</t>
  </si>
  <si>
    <t>Optimal P1 Decision</t>
  </si>
  <si>
    <t>P1 Small</t>
  </si>
  <si>
    <t>P1 Flex</t>
  </si>
  <si>
    <t>P1 Large</t>
  </si>
  <si>
    <t>Stay Small</t>
  </si>
  <si>
    <t>Expand</t>
  </si>
  <si>
    <t>by: Bryan Palmintier, Hongyu Wu, Dheepak K</t>
  </si>
  <si>
    <t>Added Ver History. Clean-up unused cells, formatting, and draft P1 uncertainty</t>
  </si>
  <si>
    <t>Energy Cost</t>
  </si>
  <si>
    <t>Net Energy MWh</t>
  </si>
  <si>
    <t>Cost of Energy</t>
  </si>
  <si>
    <t>BUGFIX: Fix P1 Uncertainty for all decisions. Also: Setup Op_Cost to use RAW_ops</t>
  </si>
  <si>
    <t>Column number</t>
  </si>
  <si>
    <t>Last Updated</t>
  </si>
  <si>
    <t>(See Ver History)</t>
  </si>
  <si>
    <t>COMPLETE: lookup for ops cost, reasonable dummy values that show flex.</t>
  </si>
  <si>
    <t>minor bug fix for P2 uncertainty PV changes when P1=low</t>
  </si>
  <si>
    <t>NREL Flexibility in Design Example</t>
  </si>
  <si>
    <t>Minor parameter updates from conversations</t>
  </si>
  <si>
    <t>Scrap and build big</t>
  </si>
  <si>
    <t>X</t>
  </si>
  <si>
    <t>Small</t>
  </si>
  <si>
    <t>1000+4000</t>
  </si>
  <si>
    <t>Flex</t>
  </si>
  <si>
    <t>Salvage 4MWh</t>
  </si>
  <si>
    <t>Large</t>
  </si>
  <si>
    <t>PV + Storage Runs</t>
  </si>
  <si>
    <t>kWh</t>
  </si>
  <si>
    <t>kW</t>
  </si>
  <si>
    <t>Total</t>
  </si>
  <si>
    <t>Scale</t>
  </si>
  <si>
    <t>Big-Big</t>
  </si>
  <si>
    <t>Big-Small</t>
  </si>
  <si>
    <t>Small-Big</t>
  </si>
  <si>
    <t>Small-Small</t>
  </si>
  <si>
    <t>Big</t>
  </si>
  <si>
    <t>Initial</t>
  </si>
  <si>
    <t>PV Capacity</t>
  </si>
  <si>
    <t>ISGT Scenarios</t>
  </si>
  <si>
    <t>Bat_kW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</si>
  <si>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</si>
  <si>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</si>
  <si>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</si>
  <si>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</si>
  <si>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</si>
  <si>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</si>
  <si>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</si>
  <si>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</si>
  <si>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</si>
  <si>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</si>
  <si>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</si>
  <si>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</si>
  <si>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</si>
  <si>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</si>
  <si>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</si>
  <si>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</si>
  <si>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</si>
  <si>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</si>
  <si>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</si>
  <si>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</si>
  <si>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</si>
  <si>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</si>
  <si>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</si>
  <si>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</si>
  <si>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Backfeed kWh</t>
  </si>
  <si>
    <t>Note: Might need to pad header to make formulas in Op_Cost easier</t>
  </si>
  <si>
    <t>dkrishnamurthy</t>
  </si>
  <si>
    <t>Added table of input values for ISGT Scenarios</t>
  </si>
  <si>
    <t>RAW OpenDSS results</t>
  </si>
  <si>
    <t>$/kWh</t>
  </si>
  <si>
    <t>Net Energy (MWh)</t>
  </si>
  <si>
    <t>Backfeed_kWh</t>
  </si>
  <si>
    <t>Peak Demand</t>
  </si>
  <si>
    <t>Capacity Penetration</t>
  </si>
  <si>
    <t>Probability-Up (if up)</t>
  </si>
  <si>
    <t>Probability-Down (if up)</t>
  </si>
  <si>
    <t>Bat</t>
  </si>
  <si>
    <t>0x0h</t>
  </si>
  <si>
    <t>1000x5h</t>
  </si>
  <si>
    <t>1000x1h</t>
  </si>
  <si>
    <t>1000 &amp; 5000</t>
  </si>
  <si>
    <t>P2 Choices</t>
  </si>
  <si>
    <t>Keep</t>
  </si>
  <si>
    <t>Stay small</t>
  </si>
  <si>
    <t>Inverter</t>
  </si>
  <si>
    <t>Transformer</t>
  </si>
  <si>
    <t>other BOS</t>
  </si>
  <si>
    <t>Battery</t>
  </si>
  <si>
    <t>Storage Options and runs</t>
  </si>
  <si>
    <t>Storage Costs</t>
  </si>
  <si>
    <t>Components</t>
  </si>
  <si>
    <t>Downsize Large</t>
  </si>
  <si>
    <t>Sub-total</t>
  </si>
  <si>
    <t>Multiplier</t>
  </si>
  <si>
    <t>Comment</t>
  </si>
  <si>
    <t>Scrap value</t>
  </si>
  <si>
    <t>Node (13-node feeder)</t>
  </si>
  <si>
    <t>Unit Costs</t>
  </si>
  <si>
    <t>Inverter $/KW</t>
  </si>
  <si>
    <t>Transformer $/kW</t>
  </si>
  <si>
    <t>other BOS $/kW</t>
  </si>
  <si>
    <t>Battery $/kWh</t>
  </si>
  <si>
    <t>Source</t>
  </si>
  <si>
    <t>Replace with Large</t>
  </si>
  <si>
    <t>Same as P1</t>
  </si>
  <si>
    <t>Period</t>
  </si>
  <si>
    <t>Cossi et al., “Primary Power Distribution Systems Planning Taking into Account Reliability, Operation and Expansion Costs.”</t>
  </si>
  <si>
    <t>Power Law Curve Fit</t>
  </si>
  <si>
    <t>Decision</t>
  </si>
  <si>
    <t>Column</t>
  </si>
  <si>
    <t>Decision Cost Lookup Table</t>
  </si>
  <si>
    <t>Year</t>
  </si>
  <si>
    <t>2015: Arena, 2020: Tesla Powerpack</t>
  </si>
  <si>
    <t>Stay The Same</t>
  </si>
  <si>
    <t>Expand Flex</t>
  </si>
  <si>
    <t>Flex to Big</t>
  </si>
  <si>
    <t>Small to Big</t>
  </si>
  <si>
    <t>less than non-flex</t>
  </si>
  <si>
    <t>Value at Risk and Gain (VARG) Calculations</t>
  </si>
  <si>
    <t>P1 Decision</t>
  </si>
  <si>
    <t>Path Probability</t>
  </si>
  <si>
    <t>Cost</t>
  </si>
  <si>
    <t>P1 Choice</t>
  </si>
  <si>
    <t>Mean</t>
  </si>
  <si>
    <t>Value at Risk and Gain</t>
  </si>
  <si>
    <t>IMPORTANT: Not Dynamically updated. Must copy data (path probability and path cost) here (as values), and then sort each table from lowest to highest costs.</t>
  </si>
  <si>
    <t>Cum. Prob.</t>
  </si>
  <si>
    <t>Path Cost</t>
  </si>
  <si>
    <t>Prob weighted cost</t>
  </si>
  <si>
    <t>IT WORKS! Decision Cost calculation and lookup with Realistic cost build up. Also added VARG results</t>
  </si>
  <si>
    <t>flex less than best non-flex by:</t>
  </si>
  <si>
    <r>
      <rPr>
        <b/>
        <sz val="12"/>
        <color rgb="FFFF0000"/>
        <rFont val="Calibri"/>
        <family val="2"/>
        <scheme val="minor"/>
      </rPr>
      <t xml:space="preserve">TODO: </t>
    </r>
    <r>
      <rPr>
        <sz val="12"/>
        <color rgb="FFFF0000"/>
        <rFont val="Calibri"/>
        <family val="2"/>
        <scheme val="minor"/>
      </rPr>
      <t>Make dynamic using the LARGE(,#) function</t>
    </r>
  </si>
  <si>
    <t>Discount Rate</t>
  </si>
  <si>
    <t>/yr</t>
  </si>
  <si>
    <t>Operations Scale (yr)</t>
  </si>
  <si>
    <t>Disc_Cost_to_go</t>
  </si>
  <si>
    <t>Worst Case</t>
  </si>
  <si>
    <t>Best Case</t>
  </si>
  <si>
    <t>Offset</t>
  </si>
  <si>
    <t>Rows/decision</t>
  </si>
  <si>
    <t>Col Offset:</t>
  </si>
  <si>
    <t>Check:</t>
  </si>
  <si>
    <t>p1_decision_tree variables</t>
  </si>
  <si>
    <t>varg_table variables</t>
  </si>
  <si>
    <t>Comparision of first period decisions</t>
  </si>
  <si>
    <t>Diff from flex</t>
  </si>
  <si>
    <t>Constant Storage Cost (helps flexibility, assumint ops cost low enough)</t>
  </si>
  <si>
    <t>Defaults</t>
  </si>
  <si>
    <t>NOT DYNAMIC Below this point</t>
  </si>
  <si>
    <t>Storage Cost</t>
  </si>
  <si>
    <t>P(Up-if-Up)</t>
  </si>
  <si>
    <t>P(Down-if-Down)</t>
  </si>
  <si>
    <t>P2 Storage Cost</t>
  </si>
  <si>
    <t>P2 Inverter Cost</t>
  </si>
  <si>
    <t>Disc. Rate</t>
  </si>
  <si>
    <t>P2 Replace kW</t>
  </si>
  <si>
    <t>P2 Replace kWh</t>
  </si>
  <si>
    <t>9% Discount Rate</t>
  </si>
  <si>
    <t>late</t>
  </si>
  <si>
    <t>later</t>
  </si>
  <si>
    <t>Added 4 day results</t>
  </si>
  <si>
    <t>Adjusted baseline and saved (static) sensitivity analysis</t>
  </si>
  <si>
    <t>P(big-if big)</t>
  </si>
  <si>
    <t>P(sm-if-sm)</t>
  </si>
  <si>
    <t>Disc Rate</t>
  </si>
  <si>
    <t>Storage</t>
  </si>
  <si>
    <t>Baseline</t>
  </si>
  <si>
    <t>Constant</t>
  </si>
  <si>
    <t>Non-modular</t>
  </si>
  <si>
    <t>E(NPV) Sm-Flex</t>
  </si>
  <si>
    <t>Anti-causal DGPV</t>
  </si>
  <si>
    <t>Higher Discount</t>
  </si>
  <si>
    <t>Modular Storage</t>
  </si>
  <si>
    <t>Modular</t>
  </si>
  <si>
    <t>Modular Storage for Small</t>
  </si>
  <si>
    <t>Case</t>
  </si>
  <si>
    <t>Const. Storage Cost</t>
  </si>
  <si>
    <t>P1-P2 ops yrs</t>
  </si>
  <si>
    <t>Backfeed Penalty</t>
  </si>
  <si>
    <t>Lower Backfeed Penalty</t>
  </si>
  <si>
    <t>Lower Penalty</t>
  </si>
  <si>
    <t>BackFeed</t>
  </si>
  <si>
    <t>40/60 P2 uncertainty (anti-causal)</t>
  </si>
  <si>
    <t>47/53 P2 uncertainty (anti-causal)</t>
  </si>
  <si>
    <t>Sensitivity: Add lower penalty cost. Tweaked anti-causal to be just over the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</si>
</sst>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yyyy\-mm\-dd"/>
    <numFmt numFmtId="166" formatCode="hh:mm;@"/>
    <numFmt numFmtId="167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0" tint="-4.9989318521683403E-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mbria"/>
      <family val="1"/>
    </font>
    <font>
      <b/>
      <sz val="12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/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rgb="FF7F7F7F"/>
      </top>
      <bottom/>
      <diagonal/>
    </border>
  </borders>
  <cellStyleXfs count="6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7" fillId="2" borderId="1" applyNumberFormat="0" applyAlignment="0" applyProtection="0"/>
    <xf numFmtId="0" fontId="8" fillId="3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3" borderId="10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164" fontId="0" fillId="0" borderId="0" xfId="17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64" fontId="0" fillId="0" borderId="0" xfId="17" applyNumberFormat="1" applyFont="1" applyBorder="1"/>
    <xf numFmtId="9" fontId="7" fillId="2" borderId="1" xfId="18" applyNumberFormat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17" applyNumberFormat="1" applyFont="1" applyBorder="1"/>
    <xf numFmtId="0" fontId="11" fillId="4" borderId="4" xfId="0" applyFont="1" applyFill="1" applyBorder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 applyAlignment="1">
      <alignment horizontal="center"/>
    </xf>
    <xf numFmtId="0" fontId="11" fillId="4" borderId="7" xfId="0" applyFont="1" applyFill="1" applyBorder="1"/>
    <xf numFmtId="0" fontId="11" fillId="4" borderId="8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5" xfId="0" applyFont="1" applyBorder="1"/>
    <xf numFmtId="0" fontId="14" fillId="0" borderId="0" xfId="0" applyFont="1" applyBorder="1"/>
    <xf numFmtId="0" fontId="14" fillId="0" borderId="4" xfId="0" applyFont="1" applyBorder="1"/>
    <xf numFmtId="0" fontId="14" fillId="4" borderId="4" xfId="0" applyFont="1" applyFill="1" applyBorder="1"/>
    <xf numFmtId="0" fontId="14" fillId="4" borderId="0" xfId="0" applyFont="1" applyFill="1" applyBorder="1"/>
    <xf numFmtId="0" fontId="14" fillId="5" borderId="4" xfId="0" applyFont="1" applyFill="1" applyBorder="1"/>
    <xf numFmtId="0" fontId="14" fillId="5" borderId="0" xfId="0" applyFont="1" applyFill="1" applyBorder="1"/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3" fillId="0" borderId="11" xfId="0" applyFont="1" applyBorder="1" applyAlignment="1">
      <alignment vertical="top"/>
    </xf>
    <xf numFmtId="0" fontId="13" fillId="0" borderId="11" xfId="0" applyFont="1" applyBorder="1" applyAlignment="1">
      <alignment vertical="top" wrapText="1"/>
    </xf>
    <xf numFmtId="165" fontId="13" fillId="0" borderId="11" xfId="0" applyNumberFormat="1" applyFont="1" applyBorder="1" applyAlignment="1">
      <alignment vertical="top"/>
    </xf>
    <xf numFmtId="166" fontId="13" fillId="0" borderId="11" xfId="0" applyNumberFormat="1" applyFont="1" applyBorder="1" applyAlignment="1">
      <alignment vertical="top"/>
    </xf>
    <xf numFmtId="166" fontId="0" fillId="0" borderId="0" xfId="0" applyNumberFormat="1" applyAlignment="1">
      <alignment vertical="top"/>
    </xf>
    <xf numFmtId="0" fontId="0" fillId="11" borderId="0" xfId="0" applyFill="1"/>
    <xf numFmtId="0" fontId="0" fillId="11" borderId="0" xfId="0" applyFill="1" applyBorder="1"/>
    <xf numFmtId="0" fontId="0" fillId="5" borderId="0" xfId="0" applyFill="1" applyBorder="1" applyAlignment="1">
      <alignment horizontal="center"/>
    </xf>
    <xf numFmtId="0" fontId="14" fillId="12" borderId="4" xfId="0" applyFont="1" applyFill="1" applyBorder="1"/>
    <xf numFmtId="0" fontId="14" fillId="12" borderId="0" xfId="0" applyFont="1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0" xfId="0" applyFill="1" applyBorder="1" applyAlignment="1">
      <alignment horizontal="center"/>
    </xf>
    <xf numFmtId="0" fontId="15" fillId="4" borderId="0" xfId="0" applyFont="1" applyFill="1" applyBorder="1"/>
    <xf numFmtId="0" fontId="16" fillId="5" borderId="0" xfId="0" applyFont="1" applyFill="1" applyBorder="1"/>
    <xf numFmtId="0" fontId="16" fillId="12" borderId="0" xfId="0" applyFont="1" applyFill="1" applyBorder="1"/>
    <xf numFmtId="0" fontId="16" fillId="10" borderId="0" xfId="80" applyFont="1" applyBorder="1"/>
    <xf numFmtId="0" fontId="3" fillId="10" borderId="0" xfId="80" applyBorder="1"/>
    <xf numFmtId="0" fontId="16" fillId="11" borderId="0" xfId="0" applyFont="1" applyFill="1" applyBorder="1"/>
    <xf numFmtId="0" fontId="0" fillId="11" borderId="0" xfId="0" applyFill="1" applyBorder="1" applyAlignment="1">
      <alignment horizontal="center"/>
    </xf>
    <xf numFmtId="0" fontId="8" fillId="3" borderId="3" xfId="19" applyBorder="1"/>
    <xf numFmtId="164" fontId="0" fillId="0" borderId="12" xfId="17" applyNumberFormat="1" applyFont="1" applyBorder="1"/>
    <xf numFmtId="164" fontId="0" fillId="0" borderId="5" xfId="17" applyNumberFormat="1" applyFont="1" applyBorder="1"/>
    <xf numFmtId="0" fontId="3" fillId="10" borderId="5" xfId="80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7" fillId="2" borderId="3" xfId="18" applyBorder="1"/>
    <xf numFmtId="0" fontId="0" fillId="12" borderId="6" xfId="0" applyFill="1" applyBorder="1"/>
    <xf numFmtId="0" fontId="0" fillId="12" borderId="7" xfId="0" applyFill="1" applyBorder="1"/>
    <xf numFmtId="0" fontId="0" fillId="12" borderId="7" xfId="0" applyFill="1" applyBorder="1" applyAlignment="1">
      <alignment horizontal="center"/>
    </xf>
    <xf numFmtId="0" fontId="0" fillId="12" borderId="8" xfId="0" applyFill="1" applyBorder="1"/>
    <xf numFmtId="9" fontId="8" fillId="3" borderId="2" xfId="19" applyNumberFormat="1" applyBorder="1"/>
    <xf numFmtId="0" fontId="0" fillId="5" borderId="6" xfId="0" applyFill="1" applyBorder="1"/>
    <xf numFmtId="0" fontId="0" fillId="0" borderId="7" xfId="0" applyBorder="1"/>
    <xf numFmtId="0" fontId="0" fillId="4" borderId="2" xfId="0" applyFill="1" applyBorder="1"/>
    <xf numFmtId="0" fontId="0" fillId="4" borderId="3" xfId="0" applyFill="1" applyBorder="1"/>
    <xf numFmtId="0" fontId="0" fillId="4" borderId="12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7" fillId="2" borderId="1" xfId="18"/>
    <xf numFmtId="164" fontId="7" fillId="2" borderId="1" xfId="18" applyNumberFormat="1"/>
    <xf numFmtId="9" fontId="8" fillId="3" borderId="1" xfId="19" applyNumberFormat="1"/>
    <xf numFmtId="0" fontId="17" fillId="0" borderId="0" xfId="0" applyFont="1"/>
    <xf numFmtId="0" fontId="0" fillId="11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8" fillId="3" borderId="1" xfId="19"/>
    <xf numFmtId="9" fontId="8" fillId="3" borderId="9" xfId="19" applyNumberFormat="1" applyBorder="1"/>
    <xf numFmtId="0" fontId="16" fillId="4" borderId="2" xfId="0" applyFont="1" applyFill="1" applyBorder="1"/>
    <xf numFmtId="0" fontId="0" fillId="4" borderId="3" xfId="0" applyFill="1" applyBorder="1" applyAlignment="1">
      <alignment horizontal="center"/>
    </xf>
    <xf numFmtId="0" fontId="0" fillId="11" borderId="4" xfId="0" applyFill="1" applyBorder="1"/>
    <xf numFmtId="9" fontId="8" fillId="3" borderId="1" xfId="19" applyNumberFormat="1" applyBorder="1"/>
    <xf numFmtId="0" fontId="12" fillId="3" borderId="10" xfId="236"/>
    <xf numFmtId="0" fontId="0" fillId="13" borderId="4" xfId="0" applyFill="1" applyBorder="1"/>
    <xf numFmtId="0" fontId="0" fillId="13" borderId="0" xfId="0" applyFill="1" applyBorder="1"/>
    <xf numFmtId="0" fontId="0" fillId="13" borderId="0" xfId="0" applyFill="1"/>
    <xf numFmtId="0" fontId="0" fillId="13" borderId="0" xfId="0" applyFill="1" applyAlignment="1">
      <alignment horizontal="right"/>
    </xf>
    <xf numFmtId="9" fontId="8" fillId="3" borderId="13" xfId="235" applyFont="1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164" fontId="0" fillId="0" borderId="14" xfId="17" applyNumberFormat="1" applyFont="1" applyBorder="1"/>
    <xf numFmtId="9" fontId="8" fillId="3" borderId="13" xfId="19" applyNumberFormat="1" applyBorder="1"/>
    <xf numFmtId="0" fontId="14" fillId="4" borderId="7" xfId="0" applyFont="1" applyFill="1" applyBorder="1"/>
    <xf numFmtId="0" fontId="0" fillId="5" borderId="0" xfId="0" applyFill="1" applyAlignment="1">
      <alignment textRotation="90"/>
    </xf>
    <xf numFmtId="0" fontId="8" fillId="5" borderId="1" xfId="19" applyFill="1"/>
    <xf numFmtId="0" fontId="13" fillId="0" borderId="0" xfId="0" applyFont="1"/>
    <xf numFmtId="0" fontId="13" fillId="0" borderId="0" xfId="0" applyFont="1" applyAlignment="1">
      <alignment horizontal="center"/>
    </xf>
    <xf numFmtId="164" fontId="8" fillId="3" borderId="1" xfId="17" applyNumberFormat="1" applyFont="1" applyFill="1" applyBorder="1"/>
    <xf numFmtId="164" fontId="0" fillId="5" borderId="0" xfId="17" applyNumberFormat="1" applyFont="1" applyFill="1"/>
    <xf numFmtId="164" fontId="8" fillId="3" borderId="1" xfId="19" applyNumberFormat="1"/>
    <xf numFmtId="9" fontId="8" fillId="3" borderId="15" xfId="235" applyFont="1" applyFill="1" applyBorder="1"/>
    <xf numFmtId="0" fontId="0" fillId="0" borderId="7" xfId="0" applyBorder="1" applyAlignment="1">
      <alignment horizontal="center"/>
    </xf>
    <xf numFmtId="164" fontId="0" fillId="0" borderId="7" xfId="17" applyNumberFormat="1" applyFont="1" applyBorder="1"/>
    <xf numFmtId="164" fontId="8" fillId="3" borderId="16" xfId="19" applyNumberFormat="1" applyBorder="1"/>
    <xf numFmtId="165" fontId="8" fillId="3" borderId="1" xfId="19" applyNumberFormat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/>
    <xf numFmtId="0" fontId="16" fillId="0" borderId="0" xfId="0" applyFont="1"/>
    <xf numFmtId="1" fontId="0" fillId="0" borderId="0" xfId="0" applyNumberFormat="1"/>
    <xf numFmtId="9" fontId="0" fillId="0" borderId="0" xfId="235" applyFont="1"/>
    <xf numFmtId="2" fontId="8" fillId="3" borderId="1" xfId="19" applyNumberFormat="1"/>
    <xf numFmtId="167" fontId="8" fillId="3" borderId="1" xfId="19" applyNumberFormat="1"/>
    <xf numFmtId="1" fontId="8" fillId="3" borderId="1" xfId="19" applyNumberFormat="1"/>
    <xf numFmtId="44" fontId="7" fillId="2" borderId="1" xfId="18" applyNumberFormat="1"/>
    <xf numFmtId="0" fontId="13" fillId="0" borderId="0" xfId="0" applyFont="1" applyAlignment="1">
      <alignment horizontal="right"/>
    </xf>
    <xf numFmtId="167" fontId="7" fillId="2" borderId="1" xfId="18" applyNumberFormat="1"/>
    <xf numFmtId="9" fontId="0" fillId="0" borderId="3" xfId="0" applyNumberFormat="1" applyBorder="1"/>
    <xf numFmtId="0" fontId="0" fillId="0" borderId="0" xfId="0" applyFill="1"/>
    <xf numFmtId="9" fontId="14" fillId="0" borderId="0" xfId="235" applyFont="1" applyBorder="1"/>
    <xf numFmtId="9" fontId="14" fillId="4" borderId="0" xfId="235" applyFont="1" applyFill="1" applyBorder="1"/>
    <xf numFmtId="9" fontId="14" fillId="5" borderId="0" xfId="235" applyFont="1" applyFill="1" applyBorder="1"/>
    <xf numFmtId="9" fontId="14" fillId="12" borderId="0" xfId="235" applyFont="1" applyFill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9" fillId="0" borderId="0" xfId="0" applyFont="1"/>
    <xf numFmtId="0" fontId="16" fillId="15" borderId="0" xfId="0" applyFont="1" applyFill="1"/>
    <xf numFmtId="0" fontId="0" fillId="15" borderId="0" xfId="0" applyFill="1"/>
    <xf numFmtId="0" fontId="0" fillId="15" borderId="0" xfId="0" applyFill="1" applyBorder="1" applyAlignment="1">
      <alignment horizontal="center"/>
    </xf>
    <xf numFmtId="164" fontId="0" fillId="15" borderId="0" xfId="17" applyNumberFormat="1" applyFont="1" applyFill="1"/>
    <xf numFmtId="0" fontId="16" fillId="15" borderId="0" xfId="0" applyFont="1" applyFill="1" applyAlignment="1">
      <alignment textRotation="90"/>
    </xf>
    <xf numFmtId="164" fontId="7" fillId="2" borderId="1" xfId="17" applyNumberFormat="1" applyFont="1" applyFill="1" applyBorder="1"/>
    <xf numFmtId="164" fontId="0" fillId="0" borderId="0" xfId="0" applyNumberFormat="1"/>
    <xf numFmtId="9" fontId="0" fillId="0" borderId="0" xfId="235" applyFont="1" applyBorder="1"/>
    <xf numFmtId="164" fontId="0" fillId="0" borderId="0" xfId="0" applyNumberFormat="1" applyBorder="1"/>
    <xf numFmtId="164" fontId="14" fillId="0" borderId="0" xfId="17" applyNumberFormat="1" applyFont="1" applyBorder="1"/>
    <xf numFmtId="164" fontId="14" fillId="4" borderId="0" xfId="17" applyNumberFormat="1" applyFont="1" applyFill="1" applyBorder="1"/>
    <xf numFmtId="164" fontId="14" fillId="5" borderId="0" xfId="17" applyNumberFormat="1" applyFont="1" applyFill="1" applyBorder="1"/>
    <xf numFmtId="164" fontId="14" fillId="12" borderId="0" xfId="17" applyNumberFormat="1" applyFont="1" applyFill="1" applyBorder="1"/>
    <xf numFmtId="164" fontId="14" fillId="10" borderId="0" xfId="17" applyNumberFormat="1" applyFont="1" applyFill="1" applyBorder="1"/>
    <xf numFmtId="164" fontId="14" fillId="11" borderId="7" xfId="17" applyNumberFormat="1" applyFont="1" applyFill="1" applyBorder="1"/>
    <xf numFmtId="0" fontId="18" fillId="0" borderId="0" xfId="374"/>
    <xf numFmtId="0" fontId="0" fillId="0" borderId="0" xfId="0" applyAlignment="1">
      <alignment horizontal="right"/>
    </xf>
    <xf numFmtId="9" fontId="0" fillId="0" borderId="3" xfId="235" applyFont="1" applyBorder="1"/>
    <xf numFmtId="164" fontId="0" fillId="0" borderId="12" xfId="0" applyNumberFormat="1" applyBorder="1"/>
    <xf numFmtId="0" fontId="0" fillId="0" borderId="4" xfId="0" applyBorder="1"/>
    <xf numFmtId="164" fontId="0" fillId="0" borderId="5" xfId="0" applyNumberFormat="1" applyBorder="1"/>
    <xf numFmtId="164" fontId="0" fillId="0" borderId="14" xfId="0" applyNumberFormat="1" applyBorder="1"/>
    <xf numFmtId="0" fontId="0" fillId="4" borderId="0" xfId="0" applyFill="1"/>
    <xf numFmtId="0" fontId="0" fillId="4" borderId="0" xfId="0" applyFill="1" applyAlignment="1"/>
    <xf numFmtId="0" fontId="0" fillId="4" borderId="0" xfId="0" applyFill="1" applyAlignment="1">
      <alignment horizontal="right"/>
    </xf>
    <xf numFmtId="0" fontId="13" fillId="4" borderId="0" xfId="0" applyFont="1" applyFill="1"/>
    <xf numFmtId="0" fontId="13" fillId="16" borderId="11" xfId="0" applyFont="1" applyFill="1" applyBorder="1" applyAlignment="1">
      <alignment horizontal="center"/>
    </xf>
    <xf numFmtId="0" fontId="13" fillId="16" borderId="0" xfId="0" applyFont="1" applyFill="1" applyAlignment="1">
      <alignment horizontal="center"/>
    </xf>
    <xf numFmtId="164" fontId="0" fillId="16" borderId="0" xfId="17" applyNumberFormat="1" applyFont="1" applyFill="1"/>
    <xf numFmtId="11" fontId="0" fillId="0" borderId="0" xfId="0" applyNumberFormat="1"/>
    <xf numFmtId="164" fontId="0" fillId="4" borderId="0" xfId="0" applyNumberFormat="1" applyFill="1"/>
    <xf numFmtId="164" fontId="0" fillId="4" borderId="0" xfId="17" applyNumberFormat="1" applyFont="1" applyFill="1"/>
    <xf numFmtId="0" fontId="20" fillId="17" borderId="0" xfId="0" applyFont="1" applyFill="1"/>
    <xf numFmtId="0" fontId="0" fillId="17" borderId="0" xfId="0" applyFill="1"/>
    <xf numFmtId="9" fontId="0" fillId="4" borderId="0" xfId="0" applyNumberFormat="1" applyFill="1"/>
    <xf numFmtId="164" fontId="0" fillId="16" borderId="0" xfId="0" applyNumberFormat="1" applyFill="1"/>
    <xf numFmtId="0" fontId="13" fillId="16" borderId="11" xfId="0" applyFont="1" applyFill="1" applyBorder="1"/>
    <xf numFmtId="0" fontId="13" fillId="16" borderId="0" xfId="0" applyFont="1" applyFill="1" applyAlignment="1">
      <alignment horizontal="left"/>
    </xf>
    <xf numFmtId="0" fontId="0" fillId="16" borderId="0" xfId="0" applyFill="1" applyAlignment="1">
      <alignment horizontal="center"/>
    </xf>
    <xf numFmtId="9" fontId="0" fillId="16" borderId="0" xfId="0" applyNumberFormat="1" applyFill="1" applyAlignment="1">
      <alignment horizontal="center"/>
    </xf>
    <xf numFmtId="44" fontId="0" fillId="4" borderId="0" xfId="17" applyFont="1" applyFill="1"/>
    <xf numFmtId="44" fontId="0" fillId="4" borderId="0" xfId="0" applyNumberFormat="1" applyFill="1"/>
    <xf numFmtId="44" fontId="0" fillId="16" borderId="0" xfId="17" applyFont="1" applyFill="1" applyAlignment="1">
      <alignment horizontal="center"/>
    </xf>
    <xf numFmtId="9" fontId="0" fillId="4" borderId="0" xfId="235" applyFont="1" applyFill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13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685">
    <cellStyle name="20% - Accent5" xfId="80" builtinId="46"/>
    <cellStyle name="Calculation" xfId="19" builtinId="22"/>
    <cellStyle name="Currency" xfId="1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Input" xfId="18" builtinId="20"/>
    <cellStyle name="Normal" xfId="0" builtinId="0"/>
    <cellStyle name="Output" xfId="236" builtinId="21"/>
    <cellStyle name="Percent" xfId="235" builtinId="5"/>
    <cellStyle name="Percent 2" xfId="355" xr:uid="{00000000-0005-0000-0000-0000AB020000}"/>
    <cellStyle name="Warning Text" xfId="374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VARG!$A$6</c:f>
              <c:strCache>
                <c:ptCount val="1"/>
                <c:pt idx="0">
                  <c:v>P1 Large</c:v>
                </c:pt>
              </c:strCache>
            </c:strRef>
          </c:tx>
          <c:spPr>
            <a:ln w="19050" cmpd="sng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VARG!$H$9:$H$10</c:f>
              <c:numCache>
                <c:formatCode>_("$"* #,##0_);_("$"* \(#,##0\);_("$"* "-"??_);_(@_)</c:formatCode>
                <c:ptCount val="2"/>
                <c:pt idx="0">
                  <c:v>2063535.0214884321</c:v>
                </c:pt>
                <c:pt idx="1">
                  <c:v>2063535.0214884321</c:v>
                </c:pt>
              </c:numCache>
            </c:numRef>
          </c:xVal>
          <c:yVal>
            <c:numRef>
              <c:f>VARG!$G$9:$G$10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7-C443-9383-FF7CDAB31B48}"/>
            </c:ext>
          </c:extLst>
        </c:ser>
        <c:ser>
          <c:idx val="4"/>
          <c:order val="4"/>
          <c:tx>
            <c:strRef>
              <c:f>VARG!$A$12</c:f>
              <c:strCache>
                <c:ptCount val="1"/>
                <c:pt idx="0">
                  <c:v>P1 Flex</c:v>
                </c:pt>
              </c:strCache>
            </c:strRef>
          </c:tx>
          <c:spPr>
            <a:ln w="19050" cmpd="sng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VARG!$H$15:$H$16</c:f>
              <c:numCache>
                <c:formatCode>_("$"* #,##0_);_("$"* \(#,##0\);_("$"* "-"??_);_(@_)</c:formatCode>
                <c:ptCount val="2"/>
                <c:pt idx="0">
                  <c:v>1255535.0214884321</c:v>
                </c:pt>
                <c:pt idx="1">
                  <c:v>1255535.0214884321</c:v>
                </c:pt>
              </c:numCache>
            </c:numRef>
          </c:xVal>
          <c:yVal>
            <c:numRef>
              <c:f>VARG!$G$15:$G$16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E7-C443-9383-FF7CDAB31B48}"/>
            </c:ext>
          </c:extLst>
        </c:ser>
        <c:ser>
          <c:idx val="5"/>
          <c:order val="5"/>
          <c:tx>
            <c:strRef>
              <c:f>VARG!$A$18</c:f>
              <c:strCache>
                <c:ptCount val="1"/>
                <c:pt idx="0">
                  <c:v>P1 Small</c:v>
                </c:pt>
              </c:strCache>
            </c:strRef>
          </c:tx>
          <c:spPr>
            <a:ln w="19050" cmpd="sng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VARG!$H$21:$H$22</c:f>
              <c:numCache>
                <c:formatCode>_("$"* #,##0_);_("$"* \(#,##0\);_("$"* "-"??_);_(@_)</c:formatCode>
                <c:ptCount val="2"/>
                <c:pt idx="0">
                  <c:v>1318966.721917918</c:v>
                </c:pt>
                <c:pt idx="1">
                  <c:v>1318966.721917918</c:v>
                </c:pt>
              </c:numCache>
            </c:numRef>
          </c:xVal>
          <c:yVal>
            <c:numRef>
              <c:f>VARG!$G$21:$G$22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E7-C443-9383-FF7CDAB31B48}"/>
            </c:ext>
          </c:extLst>
        </c:ser>
        <c:ser>
          <c:idx val="2"/>
          <c:order val="0"/>
          <c:tx>
            <c:strRef>
              <c:f>VARG!$A$6</c:f>
              <c:strCache>
                <c:ptCount val="1"/>
                <c:pt idx="0">
                  <c:v>P1 Large</c:v>
                </c:pt>
              </c:strCache>
            </c:strRef>
          </c:tx>
          <c:xVal>
            <c:numRef>
              <c:f>VARG!$D$6:$D$9</c:f>
              <c:numCache>
                <c:formatCode>_("$"* #,##0_);_("$"* \(#,##0\);_("$"* "-"??_);_(@_)</c:formatCode>
                <c:ptCount val="4"/>
                <c:pt idx="0">
                  <c:v>1758960.8036775447</c:v>
                </c:pt>
                <c:pt idx="1">
                  <c:v>1958960.8036775447</c:v>
                </c:pt>
                <c:pt idx="2">
                  <c:v>2291018.3127126517</c:v>
                </c:pt>
                <c:pt idx="3">
                  <c:v>2347988.068001545</c:v>
                </c:pt>
              </c:numCache>
            </c:numRef>
          </c:xVal>
          <c:yVal>
            <c:numRef>
              <c:f>VARG!$C$6:$C$9</c:f>
              <c:numCache>
                <c:formatCode>0%</c:formatCode>
                <c:ptCount val="4"/>
                <c:pt idx="0">
                  <c:v>0.35</c:v>
                </c:pt>
                <c:pt idx="1">
                  <c:v>0.5</c:v>
                </c:pt>
                <c:pt idx="2">
                  <c:v>0.85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E7-C443-9383-FF7CDAB31B48}"/>
            </c:ext>
          </c:extLst>
        </c:ser>
        <c:ser>
          <c:idx val="0"/>
          <c:order val="1"/>
          <c:tx>
            <c:strRef>
              <c:f>VARG!$A$12</c:f>
              <c:strCache>
                <c:ptCount val="1"/>
                <c:pt idx="0">
                  <c:v>P1 Flex</c:v>
                </c:pt>
              </c:strCache>
            </c:strRef>
          </c:tx>
          <c:xVal>
            <c:numRef>
              <c:f>VARG!$D$12:$D$15</c:f>
              <c:numCache>
                <c:formatCode>_("$"* #,##0_);_("$"* \(#,##0\);_("$"* "-"??_);_(@_)</c:formatCode>
                <c:ptCount val="4"/>
                <c:pt idx="0">
                  <c:v>550960.8036775447</c:v>
                </c:pt>
                <c:pt idx="1">
                  <c:v>1139988.0680015448</c:v>
                </c:pt>
                <c:pt idx="2">
                  <c:v>1550960.8036775447</c:v>
                </c:pt>
                <c:pt idx="3">
                  <c:v>1883018.3127126517</c:v>
                </c:pt>
              </c:numCache>
            </c:numRef>
          </c:xVal>
          <c:yVal>
            <c:numRef>
              <c:f>VARG!$C$12:$C$15</c:f>
              <c:numCache>
                <c:formatCode>0%</c:formatCode>
                <c:ptCount val="4"/>
                <c:pt idx="0">
                  <c:v>0.35</c:v>
                </c:pt>
                <c:pt idx="1">
                  <c:v>0.5</c:v>
                </c:pt>
                <c:pt idx="2">
                  <c:v>0.65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E7-C443-9383-FF7CDAB31B48}"/>
            </c:ext>
          </c:extLst>
        </c:ser>
        <c:ser>
          <c:idx val="1"/>
          <c:order val="2"/>
          <c:tx>
            <c:strRef>
              <c:f>VARG!$A$18</c:f>
              <c:strCache>
                <c:ptCount val="1"/>
                <c:pt idx="0">
                  <c:v>P1 Small</c:v>
                </c:pt>
              </c:strCache>
            </c:strRef>
          </c:tx>
          <c:xVal>
            <c:numRef>
              <c:f>VARG!$D$18:$D$21</c:f>
              <c:numCache>
                <c:formatCode>_("$"* #,##0_);_("$"* \(#,##0\);_("$"* "-"??_);_(@_)</c:formatCode>
                <c:ptCount val="4"/>
                <c:pt idx="0">
                  <c:v>445928.8200658462</c:v>
                </c:pt>
                <c:pt idx="1">
                  <c:v>1013334.008365358</c:v>
                </c:pt>
                <c:pt idx="2">
                  <c:v>1789342.8109555615</c:v>
                </c:pt>
                <c:pt idx="3">
                  <c:v>2121400.3199906684</c:v>
                </c:pt>
              </c:numCache>
            </c:numRef>
          </c:xVal>
          <c:yVal>
            <c:numRef>
              <c:f>VARG!$C$18:$C$21</c:f>
              <c:numCache>
                <c:formatCode>0%</c:formatCode>
                <c:ptCount val="4"/>
                <c:pt idx="0">
                  <c:v>0.35</c:v>
                </c:pt>
                <c:pt idx="1">
                  <c:v>0.5</c:v>
                </c:pt>
                <c:pt idx="2">
                  <c:v>0.65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E7-C443-9383-FF7CDAB3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06712"/>
        <c:axId val="1834582952"/>
      </c:scatterChart>
      <c:valAx>
        <c:axId val="2048606712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834582952"/>
        <c:crosses val="autoZero"/>
        <c:crossBetween val="midCat"/>
        <c:dispUnits>
          <c:builtInUnit val="thousands"/>
        </c:dispUnits>
      </c:valAx>
      <c:valAx>
        <c:axId val="1834582952"/>
        <c:scaling>
          <c:orientation val="minMax"/>
          <c:max val="1"/>
          <c:min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606712"/>
        <c:crosses val="autoZero"/>
        <c:crossBetween val="midCat"/>
      </c:valAx>
    </c:plotArea>
    <c:legend>
      <c:legendPos val="l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59268929503916"/>
          <c:y val="0.115843062720608"/>
          <c:w val="0.174042268867828"/>
          <c:h val="0.259692845506381"/>
        </c:manualLayout>
      </c:layout>
      <c:overlay val="1"/>
      <c:spPr>
        <a:solidFill>
          <a:srgbClr val="FFFFFF"/>
        </a:solidFill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3</xdr:row>
      <xdr:rowOff>76200</xdr:rowOff>
    </xdr:from>
    <xdr:to>
      <xdr:col>14</xdr:col>
      <xdr:colOff>635000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"/>
  <sheetViews>
    <sheetView zoomScale="125" zoomScaleNormal="125" zoomScalePageLayoutView="125" workbookViewId="0">
      <selection activeCell="A16" sqref="A16"/>
    </sheetView>
  </sheetViews>
  <sheetFormatPr baseColWidth="10" defaultRowHeight="16" x14ac:dyDescent="0.2"/>
  <cols>
    <col min="1" max="1" width="10.83203125" style="35"/>
    <col min="2" max="2" width="10.5" style="36" bestFit="1" customWidth="1"/>
    <col min="3" max="3" width="5.83203125" style="42" bestFit="1" customWidth="1"/>
    <col min="4" max="4" width="13.5" style="35" customWidth="1"/>
    <col min="5" max="5" width="84" style="37" customWidth="1"/>
    <col min="6" max="16384" width="10.83203125" style="35"/>
  </cols>
  <sheetData>
    <row r="2" spans="1:5" x14ac:dyDescent="0.2">
      <c r="A2" s="38" t="s">
        <v>42</v>
      </c>
      <c r="B2" s="40" t="s">
        <v>43</v>
      </c>
      <c r="C2" s="41" t="s">
        <v>48</v>
      </c>
      <c r="D2" s="38" t="s">
        <v>44</v>
      </c>
      <c r="E2" s="39" t="s">
        <v>45</v>
      </c>
    </row>
    <row r="3" spans="1:5" x14ac:dyDescent="0.2">
      <c r="A3" s="35">
        <v>1</v>
      </c>
      <c r="B3" s="36">
        <v>42418</v>
      </c>
      <c r="D3" s="35" t="s">
        <v>46</v>
      </c>
      <c r="E3" s="37" t="s">
        <v>47</v>
      </c>
    </row>
    <row r="4" spans="1:5" x14ac:dyDescent="0.2">
      <c r="A4" s="35">
        <v>2</v>
      </c>
      <c r="B4" s="36">
        <v>42422</v>
      </c>
      <c r="D4" s="35" t="s">
        <v>49</v>
      </c>
      <c r="E4" s="37" t="s">
        <v>50</v>
      </c>
    </row>
    <row r="5" spans="1:5" x14ac:dyDescent="0.2">
      <c r="A5" s="35">
        <v>3</v>
      </c>
      <c r="B5" s="36">
        <v>42424</v>
      </c>
      <c r="C5" s="42">
        <v>0.22916666666666666</v>
      </c>
      <c r="D5" s="35" t="s">
        <v>46</v>
      </c>
      <c r="E5" s="37" t="s">
        <v>68</v>
      </c>
    </row>
    <row r="6" spans="1:5" x14ac:dyDescent="0.2">
      <c r="A6" s="35">
        <v>4</v>
      </c>
      <c r="B6" s="36">
        <v>42424</v>
      </c>
      <c r="C6" s="42">
        <v>0.375</v>
      </c>
      <c r="D6" s="35" t="s">
        <v>46</v>
      </c>
      <c r="E6" s="37" t="s">
        <v>72</v>
      </c>
    </row>
    <row r="7" spans="1:5" x14ac:dyDescent="0.2">
      <c r="A7" s="35">
        <v>5</v>
      </c>
      <c r="B7" s="36">
        <v>42424</v>
      </c>
      <c r="C7" s="42">
        <v>0.98611111111111116</v>
      </c>
      <c r="D7" s="35" t="s">
        <v>46</v>
      </c>
      <c r="E7" s="37" t="s">
        <v>76</v>
      </c>
    </row>
    <row r="8" spans="1:5" x14ac:dyDescent="0.2">
      <c r="A8" s="35">
        <v>6</v>
      </c>
      <c r="B8" s="36">
        <v>42424</v>
      </c>
      <c r="C8" s="42">
        <v>0.99652777777777779</v>
      </c>
      <c r="D8" s="35" t="s">
        <v>46</v>
      </c>
      <c r="E8" s="37" t="s">
        <v>77</v>
      </c>
    </row>
    <row r="9" spans="1:5" x14ac:dyDescent="0.2">
      <c r="A9" s="35">
        <v>7</v>
      </c>
      <c r="B9" s="36">
        <v>42425</v>
      </c>
      <c r="C9" s="42">
        <v>0.61597222222222225</v>
      </c>
      <c r="D9" s="35" t="s">
        <v>46</v>
      </c>
      <c r="E9" s="37" t="s">
        <v>79</v>
      </c>
    </row>
    <row r="10" spans="1:5" x14ac:dyDescent="0.2">
      <c r="A10" s="35">
        <v>8</v>
      </c>
      <c r="B10" s="36">
        <v>42433</v>
      </c>
      <c r="C10" s="42">
        <v>0.76250000000000007</v>
      </c>
      <c r="D10" s="35" t="s">
        <v>46</v>
      </c>
      <c r="E10" s="37" t="s">
        <v>128</v>
      </c>
    </row>
    <row r="11" spans="1:5" x14ac:dyDescent="0.2">
      <c r="A11" s="35">
        <v>9</v>
      </c>
      <c r="B11" s="36">
        <v>42433</v>
      </c>
      <c r="C11" s="42">
        <v>0.85416666666666663</v>
      </c>
      <c r="D11" s="35" t="s">
        <v>127</v>
      </c>
      <c r="E11" s="37" t="s">
        <v>129</v>
      </c>
    </row>
    <row r="12" spans="1:5" ht="32" x14ac:dyDescent="0.2">
      <c r="A12" s="35">
        <v>10</v>
      </c>
      <c r="B12" s="36">
        <v>42434</v>
      </c>
      <c r="C12" s="42">
        <v>9.2361111111111116E-2</v>
      </c>
      <c r="D12" s="35" t="s">
        <v>46</v>
      </c>
      <c r="E12" s="37" t="s">
        <v>190</v>
      </c>
    </row>
    <row r="13" spans="1:5" x14ac:dyDescent="0.2">
      <c r="A13" s="35">
        <v>11</v>
      </c>
      <c r="B13" s="36">
        <v>42436</v>
      </c>
      <c r="C13" s="42" t="s">
        <v>219</v>
      </c>
      <c r="D13" s="35" t="s">
        <v>127</v>
      </c>
      <c r="E13" s="37" t="s">
        <v>221</v>
      </c>
    </row>
    <row r="14" spans="1:5" x14ac:dyDescent="0.2">
      <c r="A14" s="35">
        <v>12</v>
      </c>
      <c r="B14" s="36">
        <v>42436</v>
      </c>
      <c r="C14" s="42" t="s">
        <v>220</v>
      </c>
      <c r="D14" s="35" t="s">
        <v>46</v>
      </c>
      <c r="E14" s="37" t="s">
        <v>222</v>
      </c>
    </row>
    <row r="15" spans="1:5" x14ac:dyDescent="0.2">
      <c r="A15" s="35">
        <v>13</v>
      </c>
      <c r="B15" s="36">
        <v>42437</v>
      </c>
      <c r="C15" s="42">
        <v>0.45833333333333331</v>
      </c>
      <c r="D15" s="35" t="s">
        <v>46</v>
      </c>
      <c r="E15" s="37" t="s">
        <v>245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6"/>
  <sheetViews>
    <sheetView workbookViewId="0">
      <selection activeCell="C27" sqref="C27"/>
    </sheetView>
  </sheetViews>
  <sheetFormatPr baseColWidth="10" defaultRowHeight="16" x14ac:dyDescent="0.2"/>
  <sheetData>
    <row r="1" spans="1:28" x14ac:dyDescent="0.2">
      <c r="A1">
        <v>0</v>
      </c>
      <c r="B1">
        <v>0</v>
      </c>
      <c r="C1">
        <v>0.76452271485288203</v>
      </c>
      <c r="D1">
        <v>0</v>
      </c>
      <c r="E1">
        <v>982.66298713646404</v>
      </c>
      <c r="F1">
        <v>948.83988246536501</v>
      </c>
      <c r="G1">
        <v>933.05659879254995</v>
      </c>
      <c r="H1">
        <v>953.58556509864695</v>
      </c>
      <c r="I1">
        <v>1007.2347168804801</v>
      </c>
      <c r="J1">
        <v>1148.7406813977</v>
      </c>
      <c r="K1">
        <v>1339.6201895165</v>
      </c>
      <c r="L1">
        <v>1370.60304351578</v>
      </c>
      <c r="M1">
        <v>1036.9880432524701</v>
      </c>
      <c r="N1">
        <v>754.28766332158204</v>
      </c>
      <c r="O1">
        <v>585.44788250879901</v>
      </c>
      <c r="P1">
        <v>503.79838984577799</v>
      </c>
      <c r="Q1">
        <v>480.38128302290801</v>
      </c>
      <c r="R1">
        <v>586.70995641219099</v>
      </c>
      <c r="S1">
        <v>727.94317702635499</v>
      </c>
      <c r="T1">
        <v>879.22645714384498</v>
      </c>
      <c r="U1">
        <v>1155.5413292439</v>
      </c>
      <c r="V1">
        <v>1392.28366610536</v>
      </c>
      <c r="W1">
        <v>1495.51805790346</v>
      </c>
      <c r="X1">
        <v>1462.8670293657001</v>
      </c>
      <c r="Y1">
        <v>1396.3752796962799</v>
      </c>
      <c r="Z1">
        <v>1262.6401944342499</v>
      </c>
      <c r="AA1">
        <v>1127.8888463990199</v>
      </c>
      <c r="AB1">
        <v>1035.0604227655699</v>
      </c>
    </row>
    <row r="2" spans="1:28" x14ac:dyDescent="0.2">
      <c r="A2">
        <v>200</v>
      </c>
      <c r="B2">
        <v>1000</v>
      </c>
      <c r="C2">
        <v>0.76452271485288203</v>
      </c>
      <c r="D2">
        <v>0</v>
      </c>
      <c r="E2">
        <v>982.66298713646404</v>
      </c>
      <c r="F2">
        <v>948.83988246536501</v>
      </c>
      <c r="G2">
        <v>933.05659879254995</v>
      </c>
      <c r="H2">
        <v>953.58556509864695</v>
      </c>
      <c r="I2">
        <v>1007.2347168804801</v>
      </c>
      <c r="J2">
        <v>1148.7406813977</v>
      </c>
      <c r="K2">
        <v>1227.2887608046999</v>
      </c>
      <c r="L2">
        <v>1217.7729287637501</v>
      </c>
      <c r="M2">
        <v>1036.98088442685</v>
      </c>
      <c r="N2">
        <v>838.30987808553505</v>
      </c>
      <c r="O2">
        <v>776.09236088462001</v>
      </c>
      <c r="P2">
        <v>695.31831428765099</v>
      </c>
      <c r="Q2">
        <v>672.33936562867302</v>
      </c>
      <c r="R2">
        <v>778.754284592251</v>
      </c>
      <c r="S2">
        <v>852.21246010049504</v>
      </c>
      <c r="T2">
        <v>912.76659780920204</v>
      </c>
      <c r="U2">
        <v>1155.5441519573001</v>
      </c>
      <c r="V2">
        <v>1240.81781503196</v>
      </c>
      <c r="W2">
        <v>1308.4670345439499</v>
      </c>
      <c r="X2">
        <v>1275.26629908164</v>
      </c>
      <c r="Y2">
        <v>1208.55011083196</v>
      </c>
      <c r="Z2">
        <v>1218.6619615494899</v>
      </c>
      <c r="AA2">
        <v>1127.88756697399</v>
      </c>
      <c r="AB2">
        <v>1035.0604226650901</v>
      </c>
    </row>
    <row r="3" spans="1:28" x14ac:dyDescent="0.2">
      <c r="A3">
        <v>1000</v>
      </c>
      <c r="B3">
        <v>1000</v>
      </c>
      <c r="C3">
        <v>0.76452271485288203</v>
      </c>
      <c r="D3">
        <v>0</v>
      </c>
      <c r="E3">
        <v>982.66298713646404</v>
      </c>
      <c r="F3">
        <v>948.83988246536501</v>
      </c>
      <c r="G3">
        <v>933.05659879254995</v>
      </c>
      <c r="H3">
        <v>953.58556509864695</v>
      </c>
      <c r="I3">
        <v>1007.2347168804801</v>
      </c>
      <c r="J3">
        <v>1148.7406813977</v>
      </c>
      <c r="K3">
        <v>1227.2966971129699</v>
      </c>
      <c r="L3">
        <v>1217.7749389498599</v>
      </c>
      <c r="M3">
        <v>1036.9808826629601</v>
      </c>
      <c r="N3">
        <v>804.72352313537397</v>
      </c>
      <c r="O3">
        <v>776.08738304979295</v>
      </c>
      <c r="P3">
        <v>745.68157692012699</v>
      </c>
      <c r="Q3">
        <v>722.66693735747594</v>
      </c>
      <c r="R3">
        <v>778.75553947924504</v>
      </c>
      <c r="S3">
        <v>818.76931938901498</v>
      </c>
      <c r="T3">
        <v>879.23205756783102</v>
      </c>
      <c r="U3">
        <v>1155.54133460245</v>
      </c>
      <c r="V3">
        <v>1240.8235171301901</v>
      </c>
      <c r="W3">
        <v>1308.4624930329301</v>
      </c>
      <c r="X3">
        <v>1275.26384316031</v>
      </c>
      <c r="Y3">
        <v>1208.54901615518</v>
      </c>
      <c r="Z3">
        <v>1218.6508655047601</v>
      </c>
      <c r="AA3">
        <v>1127.88756873898</v>
      </c>
      <c r="AB3">
        <v>1035.0604226652399</v>
      </c>
    </row>
    <row r="4" spans="1:28" x14ac:dyDescent="0.2">
      <c r="A4">
        <v>1000</v>
      </c>
      <c r="B4">
        <v>5000</v>
      </c>
      <c r="C4">
        <v>0.76452271485288203</v>
      </c>
      <c r="D4">
        <v>0</v>
      </c>
      <c r="E4">
        <v>1026.30188694199</v>
      </c>
      <c r="F4">
        <v>1023.5643274719</v>
      </c>
      <c r="G4">
        <v>1026.28391626955</v>
      </c>
      <c r="H4">
        <v>1028.10387313558</v>
      </c>
      <c r="I4">
        <v>1022.95577921791</v>
      </c>
      <c r="J4">
        <v>1023.10106164512</v>
      </c>
      <c r="K4">
        <v>1023.69842693139</v>
      </c>
      <c r="L4">
        <v>1014.15717202827</v>
      </c>
      <c r="M4">
        <v>1027.0493600843599</v>
      </c>
      <c r="N4">
        <v>1020.30151800284</v>
      </c>
      <c r="O4">
        <v>1008.09197703907</v>
      </c>
      <c r="P4">
        <v>997.90244576018904</v>
      </c>
      <c r="Q4">
        <v>983.71209373645297</v>
      </c>
      <c r="R4">
        <v>1012.1944266402199</v>
      </c>
      <c r="S4">
        <v>1031.8253166393399</v>
      </c>
      <c r="T4">
        <v>1025.0130423188</v>
      </c>
      <c r="U4">
        <v>1017.92381314253</v>
      </c>
      <c r="V4">
        <v>1022.80297510477</v>
      </c>
      <c r="W4">
        <v>1057.4713561701201</v>
      </c>
      <c r="X4">
        <v>1042.55753786539</v>
      </c>
      <c r="Y4">
        <v>1009.93525482371</v>
      </c>
      <c r="Z4">
        <v>1020.89886559593</v>
      </c>
      <c r="AA4">
        <v>1025.13120669403</v>
      </c>
      <c r="AB4">
        <v>1025.0077895926299</v>
      </c>
    </row>
    <row r="5" spans="1:28" x14ac:dyDescent="0.2">
      <c r="A5">
        <v>200</v>
      </c>
      <c r="B5">
        <v>1000</v>
      </c>
      <c r="C5">
        <v>0.86346094853972499</v>
      </c>
      <c r="D5">
        <v>0</v>
      </c>
      <c r="E5">
        <v>982.66298713646404</v>
      </c>
      <c r="F5">
        <v>948.83988246536501</v>
      </c>
      <c r="G5">
        <v>933.05659879254995</v>
      </c>
      <c r="H5">
        <v>953.58556509864695</v>
      </c>
      <c r="I5">
        <v>1007.2347168804801</v>
      </c>
      <c r="J5">
        <v>1148.7406813977</v>
      </c>
      <c r="K5">
        <v>1207.3151211638899</v>
      </c>
      <c r="L5">
        <v>1216.3251977121299</v>
      </c>
      <c r="M5">
        <v>937.407788985563</v>
      </c>
      <c r="N5">
        <v>702.79258843391403</v>
      </c>
      <c r="O5">
        <v>591.59753636124401</v>
      </c>
      <c r="P5">
        <v>487.63196173841902</v>
      </c>
      <c r="Q5">
        <v>456.34897988919403</v>
      </c>
      <c r="R5">
        <v>568.497955374399</v>
      </c>
      <c r="S5">
        <v>653.192717117092</v>
      </c>
      <c r="T5">
        <v>716.92826520948302</v>
      </c>
      <c r="U5">
        <v>1042.4761371849399</v>
      </c>
      <c r="V5">
        <v>1212.49644392205</v>
      </c>
      <c r="W5">
        <v>1291.01936451494</v>
      </c>
      <c r="X5">
        <v>1267.41202530243</v>
      </c>
      <c r="Y5">
        <v>1200.68683886033</v>
      </c>
      <c r="Z5">
        <v>1203.9838088788599</v>
      </c>
      <c r="AA5">
        <v>1127.8871426972901</v>
      </c>
      <c r="AB5">
        <v>1035.0604226318401</v>
      </c>
    </row>
    <row r="6" spans="1:28" x14ac:dyDescent="0.2">
      <c r="A6">
        <v>1000</v>
      </c>
      <c r="B6">
        <v>1000</v>
      </c>
      <c r="C6">
        <v>0.86346094853972499</v>
      </c>
      <c r="D6">
        <v>0</v>
      </c>
      <c r="E6">
        <v>982.66298713646404</v>
      </c>
      <c r="F6">
        <v>948.83988246536501</v>
      </c>
      <c r="G6">
        <v>933.05659879254995</v>
      </c>
      <c r="H6">
        <v>953.58556509864695</v>
      </c>
      <c r="I6">
        <v>1007.2347168804801</v>
      </c>
      <c r="J6">
        <v>1148.7406813977</v>
      </c>
      <c r="K6">
        <v>1207.32360381436</v>
      </c>
      <c r="L6">
        <v>1216.3263010908699</v>
      </c>
      <c r="M6">
        <v>937.40778882095003</v>
      </c>
      <c r="N6">
        <v>602.08262214275805</v>
      </c>
      <c r="O6">
        <v>601.69184072822702</v>
      </c>
      <c r="P6">
        <v>548.188380304117</v>
      </c>
      <c r="Q6">
        <v>516.87676715664998</v>
      </c>
      <c r="R6">
        <v>578.58979096121402</v>
      </c>
      <c r="S6">
        <v>612.95633308899505</v>
      </c>
      <c r="T6">
        <v>716.925493192148</v>
      </c>
      <c r="U6">
        <v>1042.4761342633601</v>
      </c>
      <c r="V6">
        <v>1212.5036051055899</v>
      </c>
      <c r="W6">
        <v>1291.0148117210299</v>
      </c>
      <c r="X6">
        <v>1267.4094406582699</v>
      </c>
      <c r="Y6">
        <v>1200.68573225047</v>
      </c>
      <c r="Z6">
        <v>1203.97377880768</v>
      </c>
      <c r="AA6">
        <v>1127.88714426295</v>
      </c>
      <c r="AB6">
        <v>1035.0604226319799</v>
      </c>
    </row>
    <row r="7" spans="1:28" x14ac:dyDescent="0.2">
      <c r="A7">
        <v>1000</v>
      </c>
      <c r="B7">
        <v>5000</v>
      </c>
      <c r="C7">
        <v>0.86346094853972499</v>
      </c>
      <c r="D7">
        <v>0</v>
      </c>
      <c r="E7">
        <v>951.92367191385904</v>
      </c>
      <c r="F7">
        <v>956.73354791288102</v>
      </c>
      <c r="G7">
        <v>952.46338412063903</v>
      </c>
      <c r="H7">
        <v>954.53929757504295</v>
      </c>
      <c r="I7">
        <v>951.51534604915605</v>
      </c>
      <c r="J7">
        <v>949.809211883692</v>
      </c>
      <c r="K7">
        <v>948.39152591872096</v>
      </c>
      <c r="L7">
        <v>953.008312557252</v>
      </c>
      <c r="M7">
        <v>956.40740080735497</v>
      </c>
      <c r="N7">
        <v>954.95618728268403</v>
      </c>
      <c r="O7">
        <v>958.24453339961701</v>
      </c>
      <c r="P7">
        <v>933.75868033522204</v>
      </c>
      <c r="Q7">
        <v>915.81648126924301</v>
      </c>
      <c r="R7">
        <v>945.10282115289101</v>
      </c>
      <c r="S7">
        <v>961.48101409357901</v>
      </c>
      <c r="T7">
        <v>954.31524071336798</v>
      </c>
      <c r="U7">
        <v>950.14224443519799</v>
      </c>
      <c r="V7">
        <v>949.60938913262396</v>
      </c>
      <c r="W7">
        <v>989.589467556611</v>
      </c>
      <c r="X7">
        <v>974.808055155739</v>
      </c>
      <c r="Y7">
        <v>941.21287990181395</v>
      </c>
      <c r="Z7">
        <v>945.51144184715804</v>
      </c>
      <c r="AA7">
        <v>949.79277553343195</v>
      </c>
      <c r="AB7">
        <v>951.11781288693601</v>
      </c>
    </row>
    <row r="8" spans="1:28" x14ac:dyDescent="0.2">
      <c r="A8">
        <v>200</v>
      </c>
      <c r="B8">
        <v>1000</v>
      </c>
      <c r="C8">
        <v>1.0883205705552701</v>
      </c>
      <c r="D8">
        <v>-31.204312936773999</v>
      </c>
      <c r="E8">
        <v>982.66298713646404</v>
      </c>
      <c r="F8">
        <v>948.83988246536501</v>
      </c>
      <c r="G8">
        <v>933.05659879254995</v>
      </c>
      <c r="H8">
        <v>953.58556509864695</v>
      </c>
      <c r="I8">
        <v>1007.2347168804801</v>
      </c>
      <c r="J8">
        <v>1131.61830363221</v>
      </c>
      <c r="K8">
        <v>1178.4254259152599</v>
      </c>
      <c r="L8">
        <v>1162.1510368736101</v>
      </c>
      <c r="M8">
        <v>715.19070240150495</v>
      </c>
      <c r="N8">
        <v>365.55133906398498</v>
      </c>
      <c r="O8">
        <v>136.98910959260101</v>
      </c>
      <c r="P8">
        <v>17.5605907374607</v>
      </c>
      <c r="Q8">
        <v>-31.204312936773999</v>
      </c>
      <c r="R8">
        <v>77.605152388875595</v>
      </c>
      <c r="S8">
        <v>284.85930820618</v>
      </c>
      <c r="T8">
        <v>359.20097909588901</v>
      </c>
      <c r="U8">
        <v>788.52381705438995</v>
      </c>
      <c r="V8">
        <v>1168.1756694026301</v>
      </c>
      <c r="W8">
        <v>1269.42850116711</v>
      </c>
      <c r="X8">
        <v>1267.6567732877199</v>
      </c>
      <c r="Y8">
        <v>1200.9326096607001</v>
      </c>
      <c r="Z8">
        <v>1164.7909610374099</v>
      </c>
      <c r="AA8">
        <v>1110.7560523059601</v>
      </c>
      <c r="AB8">
        <v>1035.0600420441399</v>
      </c>
    </row>
    <row r="9" spans="1:28" x14ac:dyDescent="0.2">
      <c r="A9">
        <v>1000</v>
      </c>
      <c r="B9">
        <v>1000</v>
      </c>
      <c r="C9">
        <v>1.0883205705552701</v>
      </c>
      <c r="D9">
        <v>0</v>
      </c>
      <c r="E9">
        <v>982.66298713646404</v>
      </c>
      <c r="F9">
        <v>948.83988246536501</v>
      </c>
      <c r="G9">
        <v>933.05659879254995</v>
      </c>
      <c r="H9">
        <v>953.58556509864695</v>
      </c>
      <c r="I9">
        <v>1007.2347168804801</v>
      </c>
      <c r="J9">
        <v>1148.7406813977</v>
      </c>
      <c r="K9">
        <v>1180.8887404975901</v>
      </c>
      <c r="L9">
        <v>1164.5890892254099</v>
      </c>
      <c r="M9">
        <v>715.19081038908996</v>
      </c>
      <c r="N9">
        <v>262.67702543333297</v>
      </c>
      <c r="O9">
        <v>143.913257026157</v>
      </c>
      <c r="P9">
        <v>108.771949958912</v>
      </c>
      <c r="Q9">
        <v>59.895696035404796</v>
      </c>
      <c r="R9">
        <v>133.16966698885801</v>
      </c>
      <c r="S9">
        <v>143.54755638635899</v>
      </c>
      <c r="T9">
        <v>359.19494024758302</v>
      </c>
      <c r="U9">
        <v>788.52381815244996</v>
      </c>
      <c r="V9">
        <v>1170.5734778747401</v>
      </c>
      <c r="W9">
        <v>1254.72426552602</v>
      </c>
      <c r="X9">
        <v>1252.92117045804</v>
      </c>
      <c r="Y9">
        <v>1186.18025283358</v>
      </c>
      <c r="Z9">
        <v>1167.23450863331</v>
      </c>
      <c r="AA9">
        <v>1127.8860871559</v>
      </c>
      <c r="AB9">
        <v>1035.06042254929</v>
      </c>
    </row>
    <row r="10" spans="1:28" x14ac:dyDescent="0.2">
      <c r="A10">
        <v>1000</v>
      </c>
      <c r="B10">
        <v>5000</v>
      </c>
      <c r="C10">
        <v>1.0883205705552701</v>
      </c>
      <c r="D10">
        <v>0</v>
      </c>
      <c r="E10">
        <v>817.39526835610502</v>
      </c>
      <c r="F10">
        <v>809.53213621210705</v>
      </c>
      <c r="G10">
        <v>815.94713954298004</v>
      </c>
      <c r="H10">
        <v>814.18512005180605</v>
      </c>
      <c r="I10">
        <v>813.84642863303998</v>
      </c>
      <c r="J10">
        <v>806.12524224019899</v>
      </c>
      <c r="K10">
        <v>822.169158881729</v>
      </c>
      <c r="L10">
        <v>806.39387264000504</v>
      </c>
      <c r="M10">
        <v>765.68567053512504</v>
      </c>
      <c r="N10">
        <v>759.33867252453297</v>
      </c>
      <c r="O10">
        <v>746.80055794167197</v>
      </c>
      <c r="P10">
        <v>711.39612083434997</v>
      </c>
      <c r="Q10">
        <v>661.10691589392002</v>
      </c>
      <c r="R10">
        <v>732.22168266405902</v>
      </c>
      <c r="S10">
        <v>748.46354725778997</v>
      </c>
      <c r="T10">
        <v>748.331071760589</v>
      </c>
      <c r="U10">
        <v>783.14648813658505</v>
      </c>
      <c r="V10">
        <v>809.84776410873303</v>
      </c>
      <c r="W10">
        <v>895.74404343229503</v>
      </c>
      <c r="X10">
        <v>893.97875918892396</v>
      </c>
      <c r="Y10">
        <v>826.83507424883396</v>
      </c>
      <c r="Z10">
        <v>808.85862129375801</v>
      </c>
      <c r="AA10">
        <v>811.20878706562303</v>
      </c>
      <c r="AB10">
        <v>810.50425621018303</v>
      </c>
    </row>
    <row r="11" spans="1:28" x14ac:dyDescent="0.2">
      <c r="A11">
        <v>200</v>
      </c>
      <c r="B11">
        <v>1000</v>
      </c>
      <c r="C11">
        <v>1.1063093403165201</v>
      </c>
      <c r="D11">
        <v>-94.214056869336304</v>
      </c>
      <c r="E11">
        <v>982.66298713646404</v>
      </c>
      <c r="F11">
        <v>948.83988246536501</v>
      </c>
      <c r="G11">
        <v>933.05659879254995</v>
      </c>
      <c r="H11">
        <v>953.58556509864695</v>
      </c>
      <c r="I11">
        <v>1007.2347168804801</v>
      </c>
      <c r="J11">
        <v>1131.61830363221</v>
      </c>
      <c r="K11">
        <v>1177.4716022617199</v>
      </c>
      <c r="L11">
        <v>1157.1503241396899</v>
      </c>
      <c r="M11">
        <v>696.95373340943399</v>
      </c>
      <c r="N11">
        <v>337.95604196220899</v>
      </c>
      <c r="O11">
        <v>102.300939347466</v>
      </c>
      <c r="P11">
        <v>-21.867864875876599</v>
      </c>
      <c r="Q11">
        <v>-72.346191993459598</v>
      </c>
      <c r="R11">
        <v>35.997476782074997</v>
      </c>
      <c r="S11">
        <v>249.76116150348199</v>
      </c>
      <c r="T11">
        <v>328.52650483930199</v>
      </c>
      <c r="U11">
        <v>769.62271913076495</v>
      </c>
      <c r="V11">
        <v>1158.89273748492</v>
      </c>
      <c r="W11">
        <v>1267.6936183524399</v>
      </c>
      <c r="X11">
        <v>1267.6562727129999</v>
      </c>
      <c r="Y11">
        <v>1200.9326095840199</v>
      </c>
      <c r="Z11">
        <v>1164.7909610374099</v>
      </c>
      <c r="AA11">
        <v>1110.7560523059601</v>
      </c>
      <c r="AB11">
        <v>1035.0600420441399</v>
      </c>
    </row>
    <row r="12" spans="1:28" x14ac:dyDescent="0.2">
      <c r="A12">
        <v>1000</v>
      </c>
      <c r="B12">
        <v>1000</v>
      </c>
      <c r="C12">
        <v>1.1063093403165201</v>
      </c>
      <c r="D12">
        <v>0</v>
      </c>
      <c r="E12">
        <v>982.66298713646404</v>
      </c>
      <c r="F12">
        <v>948.83988246536501</v>
      </c>
      <c r="G12">
        <v>933.05659879254995</v>
      </c>
      <c r="H12">
        <v>953.58556509864695</v>
      </c>
      <c r="I12">
        <v>1007.2347168804801</v>
      </c>
      <c r="J12">
        <v>1148.7406813977</v>
      </c>
      <c r="K12">
        <v>1179.9354080410301</v>
      </c>
      <c r="L12">
        <v>1159.58854068951</v>
      </c>
      <c r="M12">
        <v>696.95382652246701</v>
      </c>
      <c r="N12">
        <v>235.02300885797499</v>
      </c>
      <c r="O12">
        <v>109.100494444407</v>
      </c>
      <c r="P12">
        <v>67.849486505215793</v>
      </c>
      <c r="Q12">
        <v>17.308936091277399</v>
      </c>
      <c r="R12">
        <v>92.358764229307994</v>
      </c>
      <c r="S12">
        <v>106.632546682308</v>
      </c>
      <c r="T12">
        <v>328.51711412477698</v>
      </c>
      <c r="U12">
        <v>769.62270961222498</v>
      </c>
      <c r="V12">
        <v>1161.2891507677</v>
      </c>
      <c r="W12">
        <v>1252.9845953279901</v>
      </c>
      <c r="X12">
        <v>1252.9202829700901</v>
      </c>
      <c r="Y12">
        <v>1186.1802526844699</v>
      </c>
      <c r="Z12">
        <v>1167.2345086333</v>
      </c>
      <c r="AA12">
        <v>1127.8860871559</v>
      </c>
      <c r="AB12">
        <v>1035.06042254929</v>
      </c>
    </row>
    <row r="13" spans="1:28" x14ac:dyDescent="0.2">
      <c r="A13">
        <v>1000</v>
      </c>
      <c r="B13">
        <v>5000</v>
      </c>
      <c r="C13">
        <v>1.1063093403165201</v>
      </c>
      <c r="D13">
        <v>0</v>
      </c>
      <c r="E13">
        <v>808.65603154455505</v>
      </c>
      <c r="F13">
        <v>809.43664390217896</v>
      </c>
      <c r="G13">
        <v>815.94729600076903</v>
      </c>
      <c r="H13">
        <v>814.18511956427801</v>
      </c>
      <c r="I13">
        <v>814.63351769942005</v>
      </c>
      <c r="J13">
        <v>806.91563618608404</v>
      </c>
      <c r="K13">
        <v>821.98544356927903</v>
      </c>
      <c r="L13">
        <v>802.03331878840902</v>
      </c>
      <c r="M13">
        <v>722.21530719713599</v>
      </c>
      <c r="N13">
        <v>717.68767825171994</v>
      </c>
      <c r="O13">
        <v>729.54013365567596</v>
      </c>
      <c r="P13">
        <v>685.96140899872603</v>
      </c>
      <c r="Q13">
        <v>634.85888106154903</v>
      </c>
      <c r="R13">
        <v>706.730229029616</v>
      </c>
      <c r="S13">
        <v>721.50476809004601</v>
      </c>
      <c r="T13">
        <v>727.78791850413199</v>
      </c>
      <c r="U13">
        <v>768.63936757763804</v>
      </c>
      <c r="V13">
        <v>800.24127459983004</v>
      </c>
      <c r="W13">
        <v>894.76651070813602</v>
      </c>
      <c r="X13">
        <v>894.77130388036403</v>
      </c>
      <c r="Y13">
        <v>827.62933567878997</v>
      </c>
      <c r="Z13">
        <v>809.651084520111</v>
      </c>
      <c r="AA13">
        <v>811.99856611565895</v>
      </c>
      <c r="AB13">
        <v>811.29211526429503</v>
      </c>
    </row>
    <row r="14" spans="1:28" x14ac:dyDescent="0.2">
      <c r="A14">
        <v>200</v>
      </c>
      <c r="B14">
        <v>1000</v>
      </c>
      <c r="C14">
        <v>1.2569652870669401</v>
      </c>
      <c r="D14">
        <v>-1229.02443346836</v>
      </c>
      <c r="E14">
        <v>982.66298713646404</v>
      </c>
      <c r="F14">
        <v>948.83988246536501</v>
      </c>
      <c r="G14">
        <v>933.05659879254995</v>
      </c>
      <c r="H14">
        <v>953.58556509864695</v>
      </c>
      <c r="I14">
        <v>1007.2347168804801</v>
      </c>
      <c r="J14">
        <v>1114.4809592926799</v>
      </c>
      <c r="K14">
        <v>1155.89647061299</v>
      </c>
      <c r="L14">
        <v>1147.3075610518799</v>
      </c>
      <c r="M14">
        <v>544.602750309469</v>
      </c>
      <c r="N14">
        <v>53.055290158376202</v>
      </c>
      <c r="O14">
        <v>-145.25995642600699</v>
      </c>
      <c r="P14">
        <v>-355.89973412408102</v>
      </c>
      <c r="Q14">
        <v>-418.82740940729201</v>
      </c>
      <c r="R14">
        <v>-282.065905680794</v>
      </c>
      <c r="S14">
        <v>-26.971427830187299</v>
      </c>
      <c r="T14">
        <v>81.252236027041704</v>
      </c>
      <c r="U14">
        <v>598.90938608738895</v>
      </c>
      <c r="V14">
        <v>1087.4943621788</v>
      </c>
      <c r="W14">
        <v>1256.64411599861</v>
      </c>
      <c r="X14">
        <v>1271.3372811076099</v>
      </c>
      <c r="Y14">
        <v>1204.61883573156</v>
      </c>
      <c r="Z14">
        <v>1156.4529673745401</v>
      </c>
      <c r="AA14">
        <v>1093.6120392125999</v>
      </c>
      <c r="AB14">
        <v>1035.0596625871201</v>
      </c>
    </row>
    <row r="15" spans="1:28" x14ac:dyDescent="0.2">
      <c r="A15">
        <v>1000</v>
      </c>
      <c r="B15">
        <v>1000</v>
      </c>
      <c r="C15">
        <v>1.2569652870669401</v>
      </c>
      <c r="D15">
        <v>-1178.0545286480001</v>
      </c>
      <c r="E15">
        <v>982.66298713646404</v>
      </c>
      <c r="F15">
        <v>948.83988246536501</v>
      </c>
      <c r="G15">
        <v>933.05659879254995</v>
      </c>
      <c r="H15">
        <v>953.58556509864695</v>
      </c>
      <c r="I15">
        <v>1007.2347168804801</v>
      </c>
      <c r="J15">
        <v>1148.7406813977</v>
      </c>
      <c r="K15">
        <v>1155.9074739903999</v>
      </c>
      <c r="L15">
        <v>1147.3068333721901</v>
      </c>
      <c r="M15">
        <v>544.60275298421095</v>
      </c>
      <c r="N15">
        <v>1.3676405958342801</v>
      </c>
      <c r="O15">
        <v>-227.672940226609</v>
      </c>
      <c r="P15">
        <v>-232.42393339828101</v>
      </c>
      <c r="Q15">
        <v>-295.42390425733998</v>
      </c>
      <c r="R15">
        <v>-210.08359598051601</v>
      </c>
      <c r="S15">
        <v>-212.45015478526</v>
      </c>
      <c r="T15">
        <v>81.213026043493699</v>
      </c>
      <c r="U15">
        <v>598.90936509673895</v>
      </c>
      <c r="V15">
        <v>1120.97788030529</v>
      </c>
      <c r="W15">
        <v>1222.30192327227</v>
      </c>
      <c r="X15">
        <v>1236.94656896894</v>
      </c>
      <c r="Y15">
        <v>1170.18837540033</v>
      </c>
      <c r="Z15">
        <v>1156.4436981164399</v>
      </c>
      <c r="AA15">
        <v>1127.88577826966</v>
      </c>
      <c r="AB15">
        <v>1035.06042252516</v>
      </c>
    </row>
    <row r="16" spans="1:28" x14ac:dyDescent="0.2">
      <c r="A16">
        <v>1000</v>
      </c>
      <c r="B16">
        <v>5000</v>
      </c>
      <c r="C16">
        <v>1.2569652870669401</v>
      </c>
      <c r="D16">
        <v>0</v>
      </c>
      <c r="E16">
        <v>802.89418824167205</v>
      </c>
      <c r="F16">
        <v>803.01298927791595</v>
      </c>
      <c r="G16">
        <v>802.09264077890396</v>
      </c>
      <c r="H16">
        <v>799.77786839076498</v>
      </c>
      <c r="I16">
        <v>799.41657152172502</v>
      </c>
      <c r="J16">
        <v>798.34636539241399</v>
      </c>
      <c r="K16">
        <v>804.06447369708405</v>
      </c>
      <c r="L16">
        <v>796.64922681051996</v>
      </c>
      <c r="M16">
        <v>544.56001427710203</v>
      </c>
      <c r="N16">
        <v>432.71316018944901</v>
      </c>
      <c r="O16">
        <v>421.26378406053198</v>
      </c>
      <c r="P16">
        <v>405.52026410320002</v>
      </c>
      <c r="Q16">
        <v>341.94634370256102</v>
      </c>
      <c r="R16">
        <v>421.84413358275998</v>
      </c>
      <c r="S16">
        <v>428.88533713408299</v>
      </c>
      <c r="T16">
        <v>441.56293771702502</v>
      </c>
      <c r="U16">
        <v>594.62839883162906</v>
      </c>
      <c r="V16">
        <v>798.27538309260297</v>
      </c>
      <c r="W16">
        <v>870.15906921077897</v>
      </c>
      <c r="X16">
        <v>884.92209552490203</v>
      </c>
      <c r="Y16">
        <v>817.77012668900704</v>
      </c>
      <c r="Z16">
        <v>805.045468654665</v>
      </c>
      <c r="AA16">
        <v>807.16055301890106</v>
      </c>
      <c r="AB16">
        <v>806.46583074183695</v>
      </c>
    </row>
    <row r="17" spans="1:28" x14ac:dyDescent="0.2">
      <c r="A17">
        <v>200</v>
      </c>
      <c r="B17">
        <v>1000</v>
      </c>
      <c r="C17">
        <v>1.2569652870669401</v>
      </c>
      <c r="D17">
        <v>-1235.0431993724501</v>
      </c>
      <c r="E17">
        <v>982.66298713646404</v>
      </c>
      <c r="F17">
        <v>948.83988246536501</v>
      </c>
      <c r="G17">
        <v>933.05659879254995</v>
      </c>
      <c r="H17">
        <v>953.58556509864695</v>
      </c>
      <c r="I17">
        <v>1007.2347168804801</v>
      </c>
      <c r="J17">
        <v>1114.4809592926799</v>
      </c>
      <c r="K17">
        <v>1155.89902633115</v>
      </c>
      <c r="L17">
        <v>1147.2601324273701</v>
      </c>
      <c r="M17">
        <v>544.53088171852005</v>
      </c>
      <c r="N17">
        <v>53.153865087429701</v>
      </c>
      <c r="O17">
        <v>-145.45940999787999</v>
      </c>
      <c r="P17">
        <v>-356.06826654334202</v>
      </c>
      <c r="Q17">
        <v>-419.04078314160802</v>
      </c>
      <c r="R17">
        <v>-282.77155873423601</v>
      </c>
      <c r="S17">
        <v>-31.70318095539</v>
      </c>
      <c r="T17">
        <v>81.109616017019306</v>
      </c>
      <c r="U17">
        <v>596.74994928893705</v>
      </c>
      <c r="V17">
        <v>1086.8665581611999</v>
      </c>
      <c r="W17">
        <v>1256.63397701995</v>
      </c>
      <c r="X17">
        <v>1271.3377000739199</v>
      </c>
      <c r="Y17">
        <v>1204.61883579652</v>
      </c>
      <c r="Z17">
        <v>1156.4529673745301</v>
      </c>
      <c r="AA17">
        <v>1093.6120392125999</v>
      </c>
      <c r="AB17">
        <v>1035.0596625871201</v>
      </c>
    </row>
    <row r="18" spans="1:28" x14ac:dyDescent="0.2">
      <c r="A18">
        <v>1000</v>
      </c>
      <c r="B18">
        <v>5000</v>
      </c>
      <c r="C18">
        <v>1.2569652870669401</v>
      </c>
      <c r="D18">
        <v>0</v>
      </c>
      <c r="E18">
        <v>802.89418824167205</v>
      </c>
      <c r="F18">
        <v>803.01298927791595</v>
      </c>
      <c r="G18">
        <v>802.09264077890396</v>
      </c>
      <c r="H18">
        <v>799.77786839076498</v>
      </c>
      <c r="I18">
        <v>799.41657152172502</v>
      </c>
      <c r="J18">
        <v>798.34636539241399</v>
      </c>
      <c r="K18">
        <v>804.07866162687401</v>
      </c>
      <c r="L18">
        <v>796.74506944731797</v>
      </c>
      <c r="M18">
        <v>544.48808186659596</v>
      </c>
      <c r="N18">
        <v>429.31051976774</v>
      </c>
      <c r="O18">
        <v>411.24752830637499</v>
      </c>
      <c r="P18">
        <v>396.90589362451999</v>
      </c>
      <c r="Q18">
        <v>331.88494544969399</v>
      </c>
      <c r="R18">
        <v>413.87677899670399</v>
      </c>
      <c r="S18">
        <v>419.981907755816</v>
      </c>
      <c r="T18">
        <v>431.08289827730698</v>
      </c>
      <c r="U18">
        <v>592.545809772089</v>
      </c>
      <c r="V18">
        <v>798.69535956445395</v>
      </c>
      <c r="W18">
        <v>870.16919554038702</v>
      </c>
      <c r="X18">
        <v>884.92283300357201</v>
      </c>
      <c r="Y18">
        <v>817.77012686582498</v>
      </c>
      <c r="Z18">
        <v>805.04546865468797</v>
      </c>
      <c r="AA18">
        <v>807.16055301890106</v>
      </c>
      <c r="AB18">
        <v>806.46583074183695</v>
      </c>
    </row>
    <row r="19" spans="1:28" x14ac:dyDescent="0.2">
      <c r="A19">
        <v>1000</v>
      </c>
      <c r="B19">
        <v>5000</v>
      </c>
      <c r="C19">
        <v>1.2569652870669401</v>
      </c>
      <c r="D19">
        <v>0</v>
      </c>
      <c r="E19">
        <v>802.89418824167205</v>
      </c>
      <c r="F19">
        <v>803.01298927791595</v>
      </c>
      <c r="G19">
        <v>802.09264077890396</v>
      </c>
      <c r="H19">
        <v>799.77786839076498</v>
      </c>
      <c r="I19">
        <v>799.41657152172502</v>
      </c>
      <c r="J19">
        <v>798.34636539241399</v>
      </c>
      <c r="K19">
        <v>804.07866162687401</v>
      </c>
      <c r="L19">
        <v>796.74506944731797</v>
      </c>
      <c r="M19">
        <v>544.48808186659596</v>
      </c>
      <c r="N19">
        <v>429.31051976774</v>
      </c>
      <c r="O19">
        <v>411.24752830637499</v>
      </c>
      <c r="P19">
        <v>396.90589362451999</v>
      </c>
      <c r="Q19">
        <v>331.88494544969399</v>
      </c>
      <c r="R19">
        <v>413.87677899670399</v>
      </c>
      <c r="S19">
        <v>419.981907755816</v>
      </c>
      <c r="T19">
        <v>431.08289827730698</v>
      </c>
      <c r="U19">
        <v>592.545809772089</v>
      </c>
      <c r="V19">
        <v>798.69535956445395</v>
      </c>
      <c r="W19">
        <v>870.16919554038702</v>
      </c>
      <c r="X19">
        <v>884.92283300357201</v>
      </c>
      <c r="Y19">
        <v>817.77012686582498</v>
      </c>
      <c r="Z19">
        <v>805.04546865468797</v>
      </c>
      <c r="AA19">
        <v>807.16055301890106</v>
      </c>
      <c r="AB19">
        <v>806.46583074183695</v>
      </c>
    </row>
    <row r="20" spans="1:28" x14ac:dyDescent="0.2">
      <c r="A20">
        <v>200</v>
      </c>
      <c r="B20">
        <v>1000</v>
      </c>
      <c r="C20">
        <v>1.51330525616467</v>
      </c>
      <c r="D20">
        <v>-4620.79414456827</v>
      </c>
      <c r="E20">
        <v>982.66298713646404</v>
      </c>
      <c r="F20">
        <v>948.83988246536501</v>
      </c>
      <c r="G20">
        <v>933.05659879254995</v>
      </c>
      <c r="H20">
        <v>953.58556509864695</v>
      </c>
      <c r="I20">
        <v>1007.2347168804801</v>
      </c>
      <c r="J20">
        <v>1107.6219159643299</v>
      </c>
      <c r="K20">
        <v>1125.0047686109999</v>
      </c>
      <c r="L20">
        <v>1119.34985204285</v>
      </c>
      <c r="M20">
        <v>284.85490702972203</v>
      </c>
      <c r="N20">
        <v>-396.06235028572303</v>
      </c>
      <c r="O20">
        <v>-640.68062912405401</v>
      </c>
      <c r="P20">
        <v>-894.98965998710901</v>
      </c>
      <c r="Q20">
        <v>-979.62495023296299</v>
      </c>
      <c r="R20">
        <v>-828.04902099117396</v>
      </c>
      <c r="S20">
        <v>-538.55404847625095</v>
      </c>
      <c r="T20">
        <v>-342.83348547099502</v>
      </c>
      <c r="U20">
        <v>304.525228758504</v>
      </c>
      <c r="V20">
        <v>979.163029105232</v>
      </c>
      <c r="W20">
        <v>1221.3474163073799</v>
      </c>
      <c r="X20">
        <v>1261.0251386023101</v>
      </c>
      <c r="Y20">
        <v>1194.2958048349799</v>
      </c>
      <c r="Z20">
        <v>1139.2750210239101</v>
      </c>
      <c r="AA20">
        <v>1086.74982530543</v>
      </c>
      <c r="AB20">
        <v>1035.0595110285899</v>
      </c>
    </row>
    <row r="21" spans="1:28" x14ac:dyDescent="0.2">
      <c r="A21">
        <v>1000</v>
      </c>
      <c r="B21">
        <v>5000</v>
      </c>
      <c r="C21">
        <v>1.51330525616467</v>
      </c>
      <c r="D21">
        <v>-664.11501807021398</v>
      </c>
      <c r="E21">
        <v>789.044197881782</v>
      </c>
      <c r="F21">
        <v>789.17082617331505</v>
      </c>
      <c r="G21">
        <v>788.25481006975599</v>
      </c>
      <c r="H21">
        <v>785.93356142529797</v>
      </c>
      <c r="I21">
        <v>793.11358643221399</v>
      </c>
      <c r="J21">
        <v>779.54836256758404</v>
      </c>
      <c r="K21">
        <v>774.968519915927</v>
      </c>
      <c r="L21">
        <v>792.45669907229296</v>
      </c>
      <c r="M21">
        <v>284.815647316183</v>
      </c>
      <c r="N21">
        <v>-53.601025053567199</v>
      </c>
      <c r="O21">
        <v>-70.339471453136994</v>
      </c>
      <c r="P21">
        <v>-105.311416812715</v>
      </c>
      <c r="Q21">
        <v>-191.25970491833999</v>
      </c>
      <c r="R21">
        <v>-104.517763373463</v>
      </c>
      <c r="S21">
        <v>-78.207832145587503</v>
      </c>
      <c r="T21">
        <v>-60.8778043134024</v>
      </c>
      <c r="U21">
        <v>298.451346704917</v>
      </c>
      <c r="V21">
        <v>784.925397697839</v>
      </c>
      <c r="W21">
        <v>829.66002316910999</v>
      </c>
      <c r="X21">
        <v>869.54598416208205</v>
      </c>
      <c r="Y21">
        <v>802.37829847795399</v>
      </c>
      <c r="Z21">
        <v>789.69097583924395</v>
      </c>
      <c r="AA21">
        <v>788.37939737368697</v>
      </c>
      <c r="AB21">
        <v>786.28382755552002</v>
      </c>
    </row>
    <row r="22" spans="1:28" x14ac:dyDescent="0.2">
      <c r="A22">
        <v>1000</v>
      </c>
      <c r="B22">
        <v>5000</v>
      </c>
      <c r="C22">
        <v>1.51330525616467</v>
      </c>
      <c r="D22">
        <v>-664.11501807021398</v>
      </c>
      <c r="E22">
        <v>789.044197881782</v>
      </c>
      <c r="F22">
        <v>789.17082617331505</v>
      </c>
      <c r="G22">
        <v>788.25481006975599</v>
      </c>
      <c r="H22">
        <v>785.93356142529797</v>
      </c>
      <c r="I22">
        <v>793.11358643221399</v>
      </c>
      <c r="J22">
        <v>779.54836256758404</v>
      </c>
      <c r="K22">
        <v>774.968519915927</v>
      </c>
      <c r="L22">
        <v>792.45669907229296</v>
      </c>
      <c r="M22">
        <v>284.815647316183</v>
      </c>
      <c r="N22">
        <v>-53.601025053567199</v>
      </c>
      <c r="O22">
        <v>-70.339471453136994</v>
      </c>
      <c r="P22">
        <v>-105.311416812715</v>
      </c>
      <c r="Q22">
        <v>-191.25970491833999</v>
      </c>
      <c r="R22">
        <v>-104.517763373463</v>
      </c>
      <c r="S22">
        <v>-78.207832145587503</v>
      </c>
      <c r="T22">
        <v>-60.8778043134024</v>
      </c>
      <c r="U22">
        <v>298.451346704917</v>
      </c>
      <c r="V22">
        <v>784.925397697839</v>
      </c>
      <c r="W22">
        <v>829.66002316910999</v>
      </c>
      <c r="X22">
        <v>869.54598416208205</v>
      </c>
      <c r="Y22">
        <v>802.37829847795399</v>
      </c>
      <c r="Z22">
        <v>789.69097583924395</v>
      </c>
      <c r="AA22">
        <v>788.37939737368697</v>
      </c>
      <c r="AB22">
        <v>786.28382755552002</v>
      </c>
    </row>
    <row r="23" spans="1:28" x14ac:dyDescent="0.2">
      <c r="A23">
        <v>200</v>
      </c>
      <c r="B23">
        <v>1000</v>
      </c>
      <c r="C23">
        <v>1.51330525616467</v>
      </c>
      <c r="D23">
        <v>-4620.79414456827</v>
      </c>
      <c r="E23">
        <v>982.66298713646404</v>
      </c>
      <c r="F23">
        <v>948.83988246536501</v>
      </c>
      <c r="G23">
        <v>933.05659879254995</v>
      </c>
      <c r="H23">
        <v>953.58556509864695</v>
      </c>
      <c r="I23">
        <v>1007.2347168804801</v>
      </c>
      <c r="J23">
        <v>1107.6219159643299</v>
      </c>
      <c r="K23">
        <v>1125.0047686109999</v>
      </c>
      <c r="L23">
        <v>1119.34985204285</v>
      </c>
      <c r="M23">
        <v>284.85490702972203</v>
      </c>
      <c r="N23">
        <v>-396.06235028572303</v>
      </c>
      <c r="O23">
        <v>-640.68062912405401</v>
      </c>
      <c r="P23">
        <v>-894.98965998710901</v>
      </c>
      <c r="Q23">
        <v>-979.62495023296299</v>
      </c>
      <c r="R23">
        <v>-828.04902099117396</v>
      </c>
      <c r="S23">
        <v>-538.55404847625095</v>
      </c>
      <c r="T23">
        <v>-342.83348547099502</v>
      </c>
      <c r="U23">
        <v>304.525228758504</v>
      </c>
      <c r="V23">
        <v>979.163029105232</v>
      </c>
      <c r="W23">
        <v>1221.3474163073799</v>
      </c>
      <c r="X23">
        <v>1261.0251386023101</v>
      </c>
      <c r="Y23">
        <v>1194.2958048349799</v>
      </c>
      <c r="Z23">
        <v>1139.2750210239101</v>
      </c>
      <c r="AA23">
        <v>1086.74982530543</v>
      </c>
      <c r="AB23">
        <v>1035.0595110285899</v>
      </c>
    </row>
    <row r="24" spans="1:28" x14ac:dyDescent="0.2">
      <c r="A24">
        <v>1000</v>
      </c>
      <c r="B24">
        <v>1000</v>
      </c>
      <c r="C24">
        <v>1.51330525616467</v>
      </c>
      <c r="D24">
        <v>-4621.7458267173397</v>
      </c>
      <c r="E24">
        <v>982.66298713646404</v>
      </c>
      <c r="F24">
        <v>948.83988246536501</v>
      </c>
      <c r="G24">
        <v>933.05659879254995</v>
      </c>
      <c r="H24">
        <v>953.58556509864695</v>
      </c>
      <c r="I24">
        <v>1007.2347168804801</v>
      </c>
      <c r="J24">
        <v>1134.06423115078</v>
      </c>
      <c r="K24">
        <v>1130.9127041143799</v>
      </c>
      <c r="L24">
        <v>1145.5258649636201</v>
      </c>
      <c r="M24">
        <v>284.85639670145002</v>
      </c>
      <c r="N24">
        <v>-396.062349294694</v>
      </c>
      <c r="O24">
        <v>-769.76812868122101</v>
      </c>
      <c r="P24">
        <v>-749.11996799844303</v>
      </c>
      <c r="Q24">
        <v>-833.80154548770099</v>
      </c>
      <c r="R24">
        <v>-785.16044675318597</v>
      </c>
      <c r="S24">
        <v>-744.95681551288806</v>
      </c>
      <c r="T24">
        <v>-342.87657298920402</v>
      </c>
      <c r="U24">
        <v>304.52521356636697</v>
      </c>
      <c r="V24">
        <v>979.16302910308195</v>
      </c>
      <c r="W24">
        <v>1185.9963523883</v>
      </c>
      <c r="X24">
        <v>1225.6346552924799</v>
      </c>
      <c r="Y24">
        <v>1158.8639594138399</v>
      </c>
      <c r="Z24">
        <v>1145.1569670982999</v>
      </c>
      <c r="AA24">
        <v>1127.8854558432599</v>
      </c>
      <c r="AB24">
        <v>1035.06042250001</v>
      </c>
    </row>
    <row r="25" spans="1:28" x14ac:dyDescent="0.2">
      <c r="A25">
        <v>1000</v>
      </c>
      <c r="B25">
        <v>5000</v>
      </c>
      <c r="C25">
        <v>1.51330525616467</v>
      </c>
      <c r="D25">
        <v>-664.11501807021398</v>
      </c>
      <c r="E25">
        <v>789.044197881782</v>
      </c>
      <c r="F25">
        <v>789.17082617331505</v>
      </c>
      <c r="G25">
        <v>788.25481006975599</v>
      </c>
      <c r="H25">
        <v>785.93356142529797</v>
      </c>
      <c r="I25">
        <v>793.11358643221399</v>
      </c>
      <c r="J25">
        <v>779.54836256758404</v>
      </c>
      <c r="K25">
        <v>774.968519915927</v>
      </c>
      <c r="L25">
        <v>792.45669907229296</v>
      </c>
      <c r="M25">
        <v>284.815647316183</v>
      </c>
      <c r="N25">
        <v>-53.601025053567199</v>
      </c>
      <c r="O25">
        <v>-70.339471453136994</v>
      </c>
      <c r="P25">
        <v>-105.311416812715</v>
      </c>
      <c r="Q25">
        <v>-191.25970491833999</v>
      </c>
      <c r="R25">
        <v>-104.517763373463</v>
      </c>
      <c r="S25">
        <v>-78.207832145587503</v>
      </c>
      <c r="T25">
        <v>-60.8778043134024</v>
      </c>
      <c r="U25">
        <v>298.451346704917</v>
      </c>
      <c r="V25">
        <v>784.925397697839</v>
      </c>
      <c r="W25">
        <v>829.66002316910999</v>
      </c>
      <c r="X25">
        <v>869.54598416208205</v>
      </c>
      <c r="Y25">
        <v>802.37829847795399</v>
      </c>
      <c r="Z25">
        <v>789.69097583924395</v>
      </c>
      <c r="AA25">
        <v>788.37939737368697</v>
      </c>
      <c r="AB25">
        <v>786.28382755552002</v>
      </c>
    </row>
    <row r="26" spans="1:28" x14ac:dyDescent="0.2">
      <c r="A26">
        <v>0</v>
      </c>
      <c r="B26">
        <v>0</v>
      </c>
      <c r="C26" s="164">
        <v>0</v>
      </c>
      <c r="D26">
        <v>0</v>
      </c>
      <c r="E26">
        <v>983.08175320167595</v>
      </c>
      <c r="F26">
        <v>949.242647777206</v>
      </c>
      <c r="G26">
        <v>933.03562321244999</v>
      </c>
      <c r="H26">
        <v>953.58553758936102</v>
      </c>
      <c r="I26">
        <v>1007.23471683975</v>
      </c>
      <c r="J26">
        <v>1148.74068139768</v>
      </c>
      <c r="K26">
        <v>1380.3162945627901</v>
      </c>
      <c r="L26">
        <v>1585.39904727256</v>
      </c>
      <c r="M26">
        <v>1801.59548104756</v>
      </c>
      <c r="N26">
        <v>1919.2718310267901</v>
      </c>
      <c r="O26">
        <v>2033.05208953486</v>
      </c>
      <c r="P26">
        <v>2127.67932996629</v>
      </c>
      <c r="Q26">
        <v>2168.7918966126199</v>
      </c>
      <c r="R26">
        <v>2233.2851063711501</v>
      </c>
      <c r="S26">
        <v>2226.1993988013901</v>
      </c>
      <c r="T26">
        <v>2124.2322436353702</v>
      </c>
      <c r="U26">
        <v>2028.2351064014099</v>
      </c>
      <c r="V26">
        <v>1818.57528205327</v>
      </c>
      <c r="W26">
        <v>1573.9891263294301</v>
      </c>
      <c r="X26">
        <v>1465.56585189112</v>
      </c>
      <c r="Y26">
        <v>1398.99346112286</v>
      </c>
      <c r="Z26">
        <v>1263.90094556898</v>
      </c>
      <c r="AA26">
        <v>1129.0497072099799</v>
      </c>
      <c r="AB26">
        <v>1035.4854140398199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26"/>
  <sheetViews>
    <sheetView workbookViewId="0">
      <selection activeCell="C27" sqref="C27"/>
    </sheetView>
  </sheetViews>
  <sheetFormatPr baseColWidth="10" defaultRowHeight="16" x14ac:dyDescent="0.2"/>
  <sheetData>
    <row r="1" spans="1:28" x14ac:dyDescent="0.2">
      <c r="A1">
        <v>0</v>
      </c>
      <c r="B1">
        <v>0</v>
      </c>
      <c r="C1">
        <v>0.76452271485288203</v>
      </c>
      <c r="D1">
        <v>0</v>
      </c>
      <c r="E1">
        <v>1136.1068071945199</v>
      </c>
      <c r="F1">
        <v>1093.9773687875299</v>
      </c>
      <c r="G1">
        <v>1068.7109786746601</v>
      </c>
      <c r="H1">
        <v>1085.6972289289099</v>
      </c>
      <c r="I1">
        <v>1155.2345587049699</v>
      </c>
      <c r="J1">
        <v>1348.92095541149</v>
      </c>
      <c r="K1">
        <v>1478.0216502425501</v>
      </c>
      <c r="L1">
        <v>1816.5621250648501</v>
      </c>
      <c r="M1">
        <v>1845.7093407396401</v>
      </c>
      <c r="N1">
        <v>1738.27474862649</v>
      </c>
      <c r="O1">
        <v>1195.56589491503</v>
      </c>
      <c r="P1">
        <v>1145.0504993002801</v>
      </c>
      <c r="Q1">
        <v>1159.1004785713301</v>
      </c>
      <c r="R1">
        <v>1276.47030737707</v>
      </c>
      <c r="S1">
        <v>1389.42543490458</v>
      </c>
      <c r="T1">
        <v>1495.1516154757201</v>
      </c>
      <c r="U1">
        <v>1687.11941531608</v>
      </c>
      <c r="V1">
        <v>2020.0680220168899</v>
      </c>
      <c r="W1">
        <v>1838.66418393256</v>
      </c>
      <c r="X1">
        <v>1739.82354629018</v>
      </c>
      <c r="Y1">
        <v>1644.5133344721201</v>
      </c>
      <c r="Z1">
        <v>1502.4112957590601</v>
      </c>
      <c r="AA1">
        <v>1337.5658092912099</v>
      </c>
      <c r="AB1">
        <v>1231.4217820787301</v>
      </c>
    </row>
    <row r="2" spans="1:28" x14ac:dyDescent="0.2">
      <c r="A2">
        <v>200</v>
      </c>
      <c r="B2">
        <v>1000</v>
      </c>
      <c r="C2">
        <v>0.76452271485288203</v>
      </c>
      <c r="D2">
        <v>0</v>
      </c>
      <c r="E2">
        <v>1312.5843858892599</v>
      </c>
      <c r="F2">
        <v>1271.39539733333</v>
      </c>
      <c r="G2">
        <v>1246.1196400269</v>
      </c>
      <c r="H2">
        <v>1263.06009656381</v>
      </c>
      <c r="I2">
        <v>1332.41423910967</v>
      </c>
      <c r="J2">
        <v>1349.73594525978</v>
      </c>
      <c r="K2">
        <v>1478.9089343846999</v>
      </c>
      <c r="L2">
        <v>1615.5995079274801</v>
      </c>
      <c r="M2">
        <v>1653.2386009117099</v>
      </c>
      <c r="N2">
        <v>1557.5196307946801</v>
      </c>
      <c r="O2">
        <v>1339.0148811629899</v>
      </c>
      <c r="P2">
        <v>1316.96235686966</v>
      </c>
      <c r="Q2">
        <v>1330.62730882349</v>
      </c>
      <c r="R2">
        <v>1335.86386554365</v>
      </c>
      <c r="S2">
        <v>1389.4217530276601</v>
      </c>
      <c r="T2">
        <v>1461.97807304002</v>
      </c>
      <c r="U2">
        <v>1524.80244938738</v>
      </c>
      <c r="V2">
        <v>1816.2435703159599</v>
      </c>
      <c r="W2">
        <v>1645.4777817250899</v>
      </c>
      <c r="X2">
        <v>1555.9771513457099</v>
      </c>
      <c r="Y2">
        <v>1494.7711374857499</v>
      </c>
      <c r="Z2">
        <v>1467.9334599409201</v>
      </c>
      <c r="AA2">
        <v>1337.5641529469599</v>
      </c>
      <c r="AB2">
        <v>1339.5657787043599</v>
      </c>
    </row>
    <row r="3" spans="1:28" x14ac:dyDescent="0.2">
      <c r="A3">
        <v>1000</v>
      </c>
      <c r="B3">
        <v>1000</v>
      </c>
      <c r="C3">
        <v>0.76452271485288203</v>
      </c>
      <c r="D3">
        <v>0</v>
      </c>
      <c r="E3">
        <v>1312.5290431835999</v>
      </c>
      <c r="F3">
        <v>1271.40281781915</v>
      </c>
      <c r="G3">
        <v>1246.1226686984301</v>
      </c>
      <c r="H3">
        <v>1263.0567802211799</v>
      </c>
      <c r="I3">
        <v>1332.4258327349401</v>
      </c>
      <c r="J3">
        <v>1349.73594715425</v>
      </c>
      <c r="K3">
        <v>1478.9089343852299</v>
      </c>
      <c r="L3">
        <v>1604.6316801431001</v>
      </c>
      <c r="M3">
        <v>1601.16039602971</v>
      </c>
      <c r="N3">
        <v>1580.6810455786299</v>
      </c>
      <c r="O3">
        <v>1339.0230358167701</v>
      </c>
      <c r="P3">
        <v>1316.9579806364</v>
      </c>
      <c r="Q3">
        <v>1330.62029708465</v>
      </c>
      <c r="R3">
        <v>1335.81397056848</v>
      </c>
      <c r="S3">
        <v>1389.4217478682899</v>
      </c>
      <c r="T3">
        <v>1495.1516139192099</v>
      </c>
      <c r="U3">
        <v>1581.3368821346</v>
      </c>
      <c r="V3">
        <v>1673.72789887454</v>
      </c>
      <c r="W3">
        <v>1593.17481063737</v>
      </c>
      <c r="X3">
        <v>1579.5260948017799</v>
      </c>
      <c r="Y3">
        <v>1579.98627500263</v>
      </c>
      <c r="Z3">
        <v>1502.40686708674</v>
      </c>
      <c r="AA3">
        <v>1337.5658085156099</v>
      </c>
      <c r="AB3">
        <v>1339.57781488405</v>
      </c>
    </row>
    <row r="4" spans="1:28" x14ac:dyDescent="0.2">
      <c r="A4">
        <v>1000</v>
      </c>
      <c r="B4">
        <v>5000</v>
      </c>
      <c r="C4">
        <v>0.76452271485288203</v>
      </c>
      <c r="D4">
        <v>0</v>
      </c>
      <c r="E4">
        <v>1434.05740806573</v>
      </c>
      <c r="F4">
        <v>1412.5506005371201</v>
      </c>
      <c r="G4">
        <v>1400.8721866220801</v>
      </c>
      <c r="H4">
        <v>1408.81403203372</v>
      </c>
      <c r="I4">
        <v>1443.3684983726</v>
      </c>
      <c r="J4">
        <v>1442.6347056786601</v>
      </c>
      <c r="K4">
        <v>1437.6750012477401</v>
      </c>
      <c r="L4">
        <v>1435.7231496547499</v>
      </c>
      <c r="M4">
        <v>1438.0544216041301</v>
      </c>
      <c r="N4">
        <v>1430.0541385783199</v>
      </c>
      <c r="O4">
        <v>1440.75563395933</v>
      </c>
      <c r="P4">
        <v>1430.37522000749</v>
      </c>
      <c r="Q4">
        <v>1438.03888901251</v>
      </c>
      <c r="R4">
        <v>1436.0934329449301</v>
      </c>
      <c r="S4">
        <v>1439.0301318965501</v>
      </c>
      <c r="T4">
        <v>1435.5060975778999</v>
      </c>
      <c r="U4">
        <v>1432.4171384419001</v>
      </c>
      <c r="V4">
        <v>1474.25171543125</v>
      </c>
      <c r="W4">
        <v>1429.36861538673</v>
      </c>
      <c r="X4">
        <v>1426.17887100914</v>
      </c>
      <c r="Y4">
        <v>1426.99834452967</v>
      </c>
      <c r="Z4">
        <v>1434.9292552501799</v>
      </c>
      <c r="AA4">
        <v>1442.8780759460501</v>
      </c>
      <c r="AB4">
        <v>1444.38764644549</v>
      </c>
    </row>
    <row r="5" spans="1:28" x14ac:dyDescent="0.2">
      <c r="A5">
        <v>200</v>
      </c>
      <c r="B5">
        <v>1000</v>
      </c>
      <c r="C5">
        <v>0.86346094853972499</v>
      </c>
      <c r="D5">
        <v>0</v>
      </c>
      <c r="E5">
        <v>1272.06375898482</v>
      </c>
      <c r="F5">
        <v>1275.0656672468001</v>
      </c>
      <c r="G5">
        <v>1249.81151196775</v>
      </c>
      <c r="H5">
        <v>1266.75088545924</v>
      </c>
      <c r="I5">
        <v>1265.98414858045</v>
      </c>
      <c r="J5">
        <v>1349.7326864428201</v>
      </c>
      <c r="K5">
        <v>1426.66990686855</v>
      </c>
      <c r="L5">
        <v>1608.29282870213</v>
      </c>
      <c r="M5">
        <v>1613.08871021557</v>
      </c>
      <c r="N5">
        <v>1481.00677362022</v>
      </c>
      <c r="O5">
        <v>1230.10771131875</v>
      </c>
      <c r="P5">
        <v>1159.50710259209</v>
      </c>
      <c r="Q5">
        <v>1164.7839848020601</v>
      </c>
      <c r="R5">
        <v>1262.46093046376</v>
      </c>
      <c r="S5">
        <v>1219.31384379</v>
      </c>
      <c r="T5">
        <v>1352.8421246257201</v>
      </c>
      <c r="U5">
        <v>1446.2274619725799</v>
      </c>
      <c r="V5">
        <v>1791.53179506331</v>
      </c>
      <c r="W5">
        <v>1618.56200426039</v>
      </c>
      <c r="X5">
        <v>1542.2159170986799</v>
      </c>
      <c r="Y5">
        <v>1450.7265367495399</v>
      </c>
      <c r="Z5">
        <v>1419.5776877148901</v>
      </c>
      <c r="AA5">
        <v>1337.5618505433899</v>
      </c>
      <c r="AB5">
        <v>1263.25448782426</v>
      </c>
    </row>
    <row r="6" spans="1:28" x14ac:dyDescent="0.2">
      <c r="A6">
        <v>1000</v>
      </c>
      <c r="B6">
        <v>1000</v>
      </c>
      <c r="C6">
        <v>0.86346094853972499</v>
      </c>
      <c r="D6">
        <v>0</v>
      </c>
      <c r="E6">
        <v>1268.47979134087</v>
      </c>
      <c r="F6">
        <v>1271.5266199734999</v>
      </c>
      <c r="G6">
        <v>1246.2983117937499</v>
      </c>
      <c r="H6">
        <v>1263.2316575544</v>
      </c>
      <c r="I6">
        <v>1262.5145367652999</v>
      </c>
      <c r="J6">
        <v>1349.73252458209</v>
      </c>
      <c r="K6">
        <v>1467.9962180990401</v>
      </c>
      <c r="L6">
        <v>1549.5092972637001</v>
      </c>
      <c r="M6">
        <v>1554.7374958796299</v>
      </c>
      <c r="N6">
        <v>1545.4638071054301</v>
      </c>
      <c r="O6">
        <v>1239.3433285190699</v>
      </c>
      <c r="P6">
        <v>1168.70282313857</v>
      </c>
      <c r="Q6">
        <v>1173.9886571391501</v>
      </c>
      <c r="R6">
        <v>1259.07212910314</v>
      </c>
      <c r="S6">
        <v>1219.314033552</v>
      </c>
      <c r="T6">
        <v>1352.84212471767</v>
      </c>
      <c r="U6">
        <v>1533.7884481000699</v>
      </c>
      <c r="V6">
        <v>1623.3269600496101</v>
      </c>
      <c r="W6">
        <v>1559.9552801022101</v>
      </c>
      <c r="X6">
        <v>1524.9001341973201</v>
      </c>
      <c r="Y6">
        <v>1533.7780394343599</v>
      </c>
      <c r="Z6">
        <v>1502.4037290072099</v>
      </c>
      <c r="AA6">
        <v>1337.56580796769</v>
      </c>
      <c r="AB6">
        <v>1259.7331080756601</v>
      </c>
    </row>
    <row r="7" spans="1:28" x14ac:dyDescent="0.2">
      <c r="A7">
        <v>1000</v>
      </c>
      <c r="B7">
        <v>5000</v>
      </c>
      <c r="C7">
        <v>0.86346094853972499</v>
      </c>
      <c r="D7">
        <v>0</v>
      </c>
      <c r="E7">
        <v>1388.10027243628</v>
      </c>
      <c r="F7">
        <v>1390.92186931068</v>
      </c>
      <c r="G7">
        <v>1377.7362570827299</v>
      </c>
      <c r="H7">
        <v>1389.4683567439299</v>
      </c>
      <c r="I7">
        <v>1389.0997985635199</v>
      </c>
      <c r="J7">
        <v>1384.3568612751001</v>
      </c>
      <c r="K7">
        <v>1376.9014427880199</v>
      </c>
      <c r="L7">
        <v>1378.4538695239601</v>
      </c>
      <c r="M7">
        <v>1380.1429686905301</v>
      </c>
      <c r="N7">
        <v>1383.38054815848</v>
      </c>
      <c r="O7">
        <v>1372.53944942413</v>
      </c>
      <c r="P7">
        <v>1340.6700358653</v>
      </c>
      <c r="Q7">
        <v>1339.9648001315099</v>
      </c>
      <c r="R7">
        <v>1382.8025081581</v>
      </c>
      <c r="S7">
        <v>1383.5219854612899</v>
      </c>
      <c r="T7">
        <v>1381.1608036402899</v>
      </c>
      <c r="U7">
        <v>1378.91310286251</v>
      </c>
      <c r="V7">
        <v>1405.5883697741999</v>
      </c>
      <c r="W7">
        <v>1384.52785652835</v>
      </c>
      <c r="X7">
        <v>1365.6938406884999</v>
      </c>
      <c r="Y7">
        <v>1368.4829169412101</v>
      </c>
      <c r="Z7">
        <v>1376.5880990651401</v>
      </c>
      <c r="AA7">
        <v>1382.6485114622899</v>
      </c>
      <c r="AB7">
        <v>1386.6610105561599</v>
      </c>
    </row>
    <row r="8" spans="1:28" x14ac:dyDescent="0.2">
      <c r="A8">
        <v>200</v>
      </c>
      <c r="B8">
        <v>1000</v>
      </c>
      <c r="C8">
        <v>1.0883205705552701</v>
      </c>
      <c r="D8">
        <v>0</v>
      </c>
      <c r="E8">
        <v>1136.1068071945199</v>
      </c>
      <c r="F8">
        <v>1093.9773687875299</v>
      </c>
      <c r="G8">
        <v>1068.7109786746601</v>
      </c>
      <c r="H8">
        <v>1085.6972289289099</v>
      </c>
      <c r="I8">
        <v>1155.2345587049699</v>
      </c>
      <c r="J8">
        <v>1348.92095541149</v>
      </c>
      <c r="K8">
        <v>1442.14207726313</v>
      </c>
      <c r="L8">
        <v>1619.63760547892</v>
      </c>
      <c r="M8">
        <v>1563.58754816185</v>
      </c>
      <c r="N8">
        <v>1516.2191249928701</v>
      </c>
      <c r="O8">
        <v>851.080412626064</v>
      </c>
      <c r="P8">
        <v>751.94250075353204</v>
      </c>
      <c r="Q8">
        <v>735.56411683137605</v>
      </c>
      <c r="R8">
        <v>843.01594169391296</v>
      </c>
      <c r="S8">
        <v>1007.71859346001</v>
      </c>
      <c r="T8">
        <v>1075.4280712628099</v>
      </c>
      <c r="U8">
        <v>1346.55602738114</v>
      </c>
      <c r="V8">
        <v>1704.6567097341999</v>
      </c>
      <c r="W8">
        <v>1599.489697557</v>
      </c>
      <c r="X8">
        <v>1543.09857997787</v>
      </c>
      <c r="Y8">
        <v>1544.6387463339699</v>
      </c>
      <c r="Z8">
        <v>1502.40446275979</v>
      </c>
      <c r="AA8">
        <v>1337.5658080957</v>
      </c>
      <c r="AB8">
        <v>1231.4217820787301</v>
      </c>
    </row>
    <row r="9" spans="1:28" x14ac:dyDescent="0.2">
      <c r="A9">
        <v>1000</v>
      </c>
      <c r="B9">
        <v>1000</v>
      </c>
      <c r="C9">
        <v>1.0883205705552701</v>
      </c>
      <c r="D9">
        <v>0</v>
      </c>
      <c r="E9">
        <v>1136.1068071945199</v>
      </c>
      <c r="F9">
        <v>1093.9773687875299</v>
      </c>
      <c r="G9">
        <v>1068.7109786746601</v>
      </c>
      <c r="H9">
        <v>1085.6972289289099</v>
      </c>
      <c r="I9">
        <v>1155.2345587049699</v>
      </c>
      <c r="J9">
        <v>1348.92095541149</v>
      </c>
      <c r="K9">
        <v>1442.14207726313</v>
      </c>
      <c r="L9">
        <v>1633.2771221576099</v>
      </c>
      <c r="M9">
        <v>1577.2601683149901</v>
      </c>
      <c r="N9">
        <v>1516.2195291846001</v>
      </c>
      <c r="O9">
        <v>877.14943660210895</v>
      </c>
      <c r="P9">
        <v>810.07615479047001</v>
      </c>
      <c r="Q9">
        <v>793.49682093175795</v>
      </c>
      <c r="R9">
        <v>868.72975409362698</v>
      </c>
      <c r="S9">
        <v>887.73076666419195</v>
      </c>
      <c r="T9">
        <v>1026.20080444869</v>
      </c>
      <c r="U9">
        <v>1346.5571454952701</v>
      </c>
      <c r="V9">
        <v>1636.4329307614801</v>
      </c>
      <c r="W9">
        <v>1613.2075279562901</v>
      </c>
      <c r="X9">
        <v>1556.91448624186</v>
      </c>
      <c r="Y9">
        <v>1558.4378032316599</v>
      </c>
      <c r="Z9">
        <v>1502.4054002366699</v>
      </c>
      <c r="AA9">
        <v>1337.5658082593</v>
      </c>
      <c r="AB9">
        <v>1231.4217820787301</v>
      </c>
    </row>
    <row r="10" spans="1:28" x14ac:dyDescent="0.2">
      <c r="A10">
        <v>1000</v>
      </c>
      <c r="B10">
        <v>5000</v>
      </c>
      <c r="C10">
        <v>1.0883205705552701</v>
      </c>
      <c r="D10">
        <v>0</v>
      </c>
      <c r="E10">
        <v>1259.0326318672501</v>
      </c>
      <c r="F10">
        <v>1263.7356821492499</v>
      </c>
      <c r="G10">
        <v>1266.21195546693</v>
      </c>
      <c r="H10">
        <v>1260.8974139034999</v>
      </c>
      <c r="I10">
        <v>1261.18671721601</v>
      </c>
      <c r="J10">
        <v>1248.93693087631</v>
      </c>
      <c r="K10">
        <v>1250.0517095002599</v>
      </c>
      <c r="L10">
        <v>1277.897460225</v>
      </c>
      <c r="M10">
        <v>1254.4329778250601</v>
      </c>
      <c r="N10">
        <v>1249.9554963903399</v>
      </c>
      <c r="O10">
        <v>1240.9233142800299</v>
      </c>
      <c r="P10">
        <v>1197.8769691280099</v>
      </c>
      <c r="Q10">
        <v>1188.4076171568399</v>
      </c>
      <c r="R10">
        <v>1229.02942363225</v>
      </c>
      <c r="S10">
        <v>1245.40583175303</v>
      </c>
      <c r="T10">
        <v>1249.0112830866201</v>
      </c>
      <c r="U10">
        <v>1257.569634983</v>
      </c>
      <c r="V10">
        <v>1276.0838386156699</v>
      </c>
      <c r="W10">
        <v>1274.1347468167501</v>
      </c>
      <c r="X10">
        <v>1241.8178996532799</v>
      </c>
      <c r="Y10">
        <v>1243.9380139909799</v>
      </c>
      <c r="Z10">
        <v>1244.0770479659</v>
      </c>
      <c r="AA10">
        <v>1246.18398544359</v>
      </c>
      <c r="AB10">
        <v>1259.3136411503999</v>
      </c>
    </row>
    <row r="11" spans="1:28" x14ac:dyDescent="0.2">
      <c r="A11">
        <v>200</v>
      </c>
      <c r="B11">
        <v>1000</v>
      </c>
      <c r="C11">
        <v>1.1063093403165201</v>
      </c>
      <c r="D11">
        <v>0</v>
      </c>
      <c r="E11">
        <v>1136.1068071945199</v>
      </c>
      <c r="F11">
        <v>1093.9773687875299</v>
      </c>
      <c r="G11">
        <v>1068.7109786746601</v>
      </c>
      <c r="H11">
        <v>1085.6972289289099</v>
      </c>
      <c r="I11">
        <v>1155.2345587049699</v>
      </c>
      <c r="J11">
        <v>1348.92095541149</v>
      </c>
      <c r="K11">
        <v>1440.26043920508</v>
      </c>
      <c r="L11">
        <v>1598.3085553042699</v>
      </c>
      <c r="M11">
        <v>1571.82590099153</v>
      </c>
      <c r="N11">
        <v>1505.05499246979</v>
      </c>
      <c r="O11">
        <v>828.41747620201795</v>
      </c>
      <c r="P11">
        <v>727.28249553565502</v>
      </c>
      <c r="Q11">
        <v>710.20484160779404</v>
      </c>
      <c r="R11">
        <v>817.74199222386403</v>
      </c>
      <c r="S11">
        <v>983.83356657214199</v>
      </c>
      <c r="T11">
        <v>1054.4938277029401</v>
      </c>
      <c r="U11">
        <v>1330.26820584147</v>
      </c>
      <c r="V11">
        <v>1698.4402962255799</v>
      </c>
      <c r="W11">
        <v>1575.74648232707</v>
      </c>
      <c r="X11">
        <v>1556.14822330368</v>
      </c>
      <c r="Y11">
        <v>1558.4428367528301</v>
      </c>
      <c r="Z11">
        <v>1502.4053990487</v>
      </c>
      <c r="AA11">
        <v>1337.5658082591401</v>
      </c>
      <c r="AB11">
        <v>1231.4217820787301</v>
      </c>
    </row>
    <row r="12" spans="1:28" x14ac:dyDescent="0.2">
      <c r="A12">
        <v>1000</v>
      </c>
      <c r="B12">
        <v>1000</v>
      </c>
      <c r="C12">
        <v>1.1063093403165201</v>
      </c>
      <c r="D12">
        <v>0</v>
      </c>
      <c r="E12">
        <v>1136.1068071945199</v>
      </c>
      <c r="F12">
        <v>1093.9773687875299</v>
      </c>
      <c r="G12">
        <v>1068.7109786746601</v>
      </c>
      <c r="H12">
        <v>1085.6972289289099</v>
      </c>
      <c r="I12">
        <v>1155.2345587049699</v>
      </c>
      <c r="J12">
        <v>1348.92095541149</v>
      </c>
      <c r="K12">
        <v>1440.26043920508</v>
      </c>
      <c r="L12">
        <v>1564.1919990804899</v>
      </c>
      <c r="M12">
        <v>1588.9030586517299</v>
      </c>
      <c r="N12">
        <v>1505.0552918884</v>
      </c>
      <c r="O12">
        <v>854.56303304971095</v>
      </c>
      <c r="P12">
        <v>785.69986294947603</v>
      </c>
      <c r="Q12">
        <v>768.17989529125896</v>
      </c>
      <c r="R12">
        <v>843.45908718838803</v>
      </c>
      <c r="S12">
        <v>863.88708606486603</v>
      </c>
      <c r="T12">
        <v>1005.25557052268</v>
      </c>
      <c r="U12">
        <v>1330.2699234082399</v>
      </c>
      <c r="V12">
        <v>1664.3563589103001</v>
      </c>
      <c r="W12">
        <v>1592.9152321066099</v>
      </c>
      <c r="X12">
        <v>1573.4015261986499</v>
      </c>
      <c r="Y12">
        <v>1575.67929642897</v>
      </c>
      <c r="Z12">
        <v>1502.4065733435</v>
      </c>
      <c r="AA12">
        <v>1337.56580846427</v>
      </c>
      <c r="AB12">
        <v>1231.4217820787301</v>
      </c>
    </row>
    <row r="13" spans="1:28" x14ac:dyDescent="0.2">
      <c r="A13">
        <v>1000</v>
      </c>
      <c r="B13">
        <v>5000</v>
      </c>
      <c r="C13">
        <v>1.1063093403165201</v>
      </c>
      <c r="D13">
        <v>0</v>
      </c>
      <c r="E13">
        <v>1256.0928986008701</v>
      </c>
      <c r="F13">
        <v>1254.7625370056601</v>
      </c>
      <c r="G13">
        <v>1251.80979681388</v>
      </c>
      <c r="H13">
        <v>1253.89102665732</v>
      </c>
      <c r="I13">
        <v>1255.29099340057</v>
      </c>
      <c r="J13">
        <v>1250.8518730974299</v>
      </c>
      <c r="K13">
        <v>1238.4126217747</v>
      </c>
      <c r="L13">
        <v>1222.7687702702899</v>
      </c>
      <c r="M13">
        <v>1243.16804852258</v>
      </c>
      <c r="N13">
        <v>1243.7650035238601</v>
      </c>
      <c r="O13">
        <v>1237.53286874683</v>
      </c>
      <c r="P13">
        <v>1201.27244916889</v>
      </c>
      <c r="Q13">
        <v>1187.37064790815</v>
      </c>
      <c r="R13">
        <v>1227.3047994532601</v>
      </c>
      <c r="S13">
        <v>1240.31553840621</v>
      </c>
      <c r="T13">
        <v>1247.21389739489</v>
      </c>
      <c r="U13">
        <v>1245.47752298048</v>
      </c>
      <c r="V13">
        <v>1274.2536262194801</v>
      </c>
      <c r="W13">
        <v>1244.9734680304</v>
      </c>
      <c r="X13">
        <v>1234.6014103206901</v>
      </c>
      <c r="Y13">
        <v>1237.5348748906199</v>
      </c>
      <c r="Z13">
        <v>1234.3768139782101</v>
      </c>
      <c r="AA13">
        <v>1249.043717471</v>
      </c>
      <c r="AB13">
        <v>1255.42225021744</v>
      </c>
    </row>
    <row r="14" spans="1:28" x14ac:dyDescent="0.2">
      <c r="A14">
        <v>200</v>
      </c>
      <c r="B14">
        <v>1000</v>
      </c>
      <c r="C14">
        <v>1.2569652870669401</v>
      </c>
      <c r="D14">
        <v>0</v>
      </c>
      <c r="E14">
        <v>1136.1068071945199</v>
      </c>
      <c r="F14">
        <v>1093.9773687875299</v>
      </c>
      <c r="G14">
        <v>1068.7109786746601</v>
      </c>
      <c r="H14">
        <v>1085.6972289289099</v>
      </c>
      <c r="I14">
        <v>1155.2345587049699</v>
      </c>
      <c r="J14">
        <v>1348.92095541149</v>
      </c>
      <c r="K14">
        <v>1423.4927692838501</v>
      </c>
      <c r="L14">
        <v>1602.7678524067601</v>
      </c>
      <c r="M14">
        <v>1536.2479724254699</v>
      </c>
      <c r="N14">
        <v>1401.3155151068099</v>
      </c>
      <c r="O14">
        <v>567.41815867554396</v>
      </c>
      <c r="P14">
        <v>436.749278914608</v>
      </c>
      <c r="Q14">
        <v>406.341953104499</v>
      </c>
      <c r="R14">
        <v>550.351189806977</v>
      </c>
      <c r="S14">
        <v>707.72388635998902</v>
      </c>
      <c r="T14">
        <v>885.61615423183298</v>
      </c>
      <c r="U14">
        <v>1171.5661481821501</v>
      </c>
      <c r="V14">
        <v>1656.34147994044</v>
      </c>
      <c r="W14">
        <v>1560.72214814361</v>
      </c>
      <c r="X14">
        <v>1535.61812313674</v>
      </c>
      <c r="Y14">
        <v>1549.81506121237</v>
      </c>
      <c r="Z14">
        <v>1476.5599965901099</v>
      </c>
      <c r="AA14">
        <v>1337.56456663279</v>
      </c>
      <c r="AB14">
        <v>1231.4217820787201</v>
      </c>
    </row>
    <row r="15" spans="1:28" x14ac:dyDescent="0.2">
      <c r="A15">
        <v>1000</v>
      </c>
      <c r="B15">
        <v>1000</v>
      </c>
      <c r="C15">
        <v>1.2569652870669401</v>
      </c>
      <c r="D15">
        <v>0</v>
      </c>
      <c r="E15">
        <v>1136.1068071945199</v>
      </c>
      <c r="F15">
        <v>1093.9773687875299</v>
      </c>
      <c r="G15">
        <v>1068.7109786746601</v>
      </c>
      <c r="H15">
        <v>1085.6972289289099</v>
      </c>
      <c r="I15">
        <v>1155.2345587049699</v>
      </c>
      <c r="J15">
        <v>1348.92095541149</v>
      </c>
      <c r="K15">
        <v>1423.4927692838501</v>
      </c>
      <c r="L15">
        <v>1585.7374464791601</v>
      </c>
      <c r="M15">
        <v>1544.77105730171</v>
      </c>
      <c r="N15">
        <v>1401.3155423196799</v>
      </c>
      <c r="O15">
        <v>590.19819707453496</v>
      </c>
      <c r="P15">
        <v>523.62497675209704</v>
      </c>
      <c r="Q15">
        <v>492.76674659583398</v>
      </c>
      <c r="R15">
        <v>572.74744410952496</v>
      </c>
      <c r="S15">
        <v>584.94954197590505</v>
      </c>
      <c r="T15">
        <v>787.71633675756402</v>
      </c>
      <c r="U15">
        <v>1171.5706370994301</v>
      </c>
      <c r="V15">
        <v>1639.3440195889</v>
      </c>
      <c r="W15">
        <v>1543.5291013804499</v>
      </c>
      <c r="X15">
        <v>1544.2496539362801</v>
      </c>
      <c r="Y15">
        <v>1558.4362357610401</v>
      </c>
      <c r="Z15">
        <v>1502.40540001607</v>
      </c>
      <c r="AA15">
        <v>1337.5658082592699</v>
      </c>
      <c r="AB15">
        <v>1231.4217820787301</v>
      </c>
    </row>
    <row r="16" spans="1:28" x14ac:dyDescent="0.2">
      <c r="A16">
        <v>1000</v>
      </c>
      <c r="B16">
        <v>5000</v>
      </c>
      <c r="C16">
        <v>1.2569652870669401</v>
      </c>
      <c r="D16">
        <v>0</v>
      </c>
      <c r="E16">
        <v>1167.5068165569201</v>
      </c>
      <c r="F16">
        <v>1172.38569652877</v>
      </c>
      <c r="G16">
        <v>1168.4702081234</v>
      </c>
      <c r="H16">
        <v>1170.4937217117099</v>
      </c>
      <c r="I16">
        <v>1166.64547521541</v>
      </c>
      <c r="J16">
        <v>1159.1510239629199</v>
      </c>
      <c r="K16">
        <v>1158.1105546568399</v>
      </c>
      <c r="L16">
        <v>1161.76070849452</v>
      </c>
      <c r="M16">
        <v>1145.3775584442401</v>
      </c>
      <c r="N16">
        <v>1160.0679639545399</v>
      </c>
      <c r="O16">
        <v>1155.2127106503499</v>
      </c>
      <c r="P16">
        <v>1113.98476188519</v>
      </c>
      <c r="Q16">
        <v>1105.9477902936001</v>
      </c>
      <c r="R16">
        <v>1142.52980229479</v>
      </c>
      <c r="S16">
        <v>1157.0322748608301</v>
      </c>
      <c r="T16">
        <v>1167.7333388415</v>
      </c>
      <c r="U16">
        <v>1162.6787358346301</v>
      </c>
      <c r="V16">
        <v>1194.74905370897</v>
      </c>
      <c r="W16">
        <v>1141.2000977448399</v>
      </c>
      <c r="X16">
        <v>1141.05168946254</v>
      </c>
      <c r="Y16">
        <v>1151.12590548495</v>
      </c>
      <c r="Z16">
        <v>1153.2705958515201</v>
      </c>
      <c r="AA16">
        <v>1157.3855263294499</v>
      </c>
      <c r="AB16">
        <v>1163.3963735043901</v>
      </c>
    </row>
    <row r="17" spans="1:28" x14ac:dyDescent="0.2">
      <c r="A17">
        <v>200</v>
      </c>
      <c r="B17">
        <v>1000</v>
      </c>
      <c r="C17">
        <v>1.2569652870669401</v>
      </c>
      <c r="D17">
        <v>0</v>
      </c>
      <c r="E17">
        <v>1136.1068071945199</v>
      </c>
      <c r="F17">
        <v>1093.9773687875299</v>
      </c>
      <c r="G17">
        <v>1068.7109786746601</v>
      </c>
      <c r="H17">
        <v>1085.6972289289099</v>
      </c>
      <c r="I17">
        <v>1155.2345587049699</v>
      </c>
      <c r="J17">
        <v>1348.92095541149</v>
      </c>
      <c r="K17">
        <v>1423.41107071026</v>
      </c>
      <c r="L17">
        <v>1602.7719690874001</v>
      </c>
      <c r="M17">
        <v>1536.07708745387</v>
      </c>
      <c r="N17">
        <v>1400.18775112866</v>
      </c>
      <c r="O17">
        <v>560.47923897980195</v>
      </c>
      <c r="P17">
        <v>428.03246037104901</v>
      </c>
      <c r="Q17">
        <v>396.77025162403402</v>
      </c>
      <c r="R17">
        <v>541.346944292525</v>
      </c>
      <c r="S17">
        <v>700.25566490800895</v>
      </c>
      <c r="T17">
        <v>880.37614927277502</v>
      </c>
      <c r="U17">
        <v>1168.9164484283301</v>
      </c>
      <c r="V17">
        <v>1656.1912938267001</v>
      </c>
      <c r="W17">
        <v>1560.6486756705599</v>
      </c>
      <c r="X17">
        <v>1535.59392410849</v>
      </c>
      <c r="Y17">
        <v>1549.8153912350799</v>
      </c>
      <c r="Z17">
        <v>1476.5599966800601</v>
      </c>
      <c r="AA17">
        <v>1337.56456663279</v>
      </c>
      <c r="AB17">
        <v>1231.4217820787201</v>
      </c>
    </row>
    <row r="18" spans="1:28" x14ac:dyDescent="0.2">
      <c r="A18">
        <v>1000</v>
      </c>
      <c r="B18">
        <v>5000</v>
      </c>
      <c r="C18">
        <v>1.2569652870669401</v>
      </c>
      <c r="D18">
        <v>0</v>
      </c>
      <c r="E18">
        <v>1165.78390817728</v>
      </c>
      <c r="F18">
        <v>1170.6660622249101</v>
      </c>
      <c r="G18">
        <v>1173.2494276458799</v>
      </c>
      <c r="H18">
        <v>1175.2529280321701</v>
      </c>
      <c r="I18">
        <v>1164.9152574447601</v>
      </c>
      <c r="J18">
        <v>1157.4163147581801</v>
      </c>
      <c r="K18">
        <v>1148.3200536008901</v>
      </c>
      <c r="L18">
        <v>1159.99387484415</v>
      </c>
      <c r="M18">
        <v>1143.4782226463101</v>
      </c>
      <c r="N18">
        <v>1157.32373225994</v>
      </c>
      <c r="O18">
        <v>1152.95492156155</v>
      </c>
      <c r="P18">
        <v>1119.5661077919499</v>
      </c>
      <c r="Q18">
        <v>1102.9052789227801</v>
      </c>
      <c r="R18">
        <v>1143.5351515130001</v>
      </c>
      <c r="S18">
        <v>1154.2837978566599</v>
      </c>
      <c r="T18">
        <v>1166.5200339399601</v>
      </c>
      <c r="U18">
        <v>1158.44177656079</v>
      </c>
      <c r="V18">
        <v>1192.6806889077</v>
      </c>
      <c r="W18">
        <v>1139.4084969108801</v>
      </c>
      <c r="X18">
        <v>1139.30177218875</v>
      </c>
      <c r="Y18">
        <v>1149.37797647151</v>
      </c>
      <c r="Z18">
        <v>1151.52843679588</v>
      </c>
      <c r="AA18">
        <v>1155.6515700797499</v>
      </c>
      <c r="AB18">
        <v>1153.65211066558</v>
      </c>
    </row>
    <row r="19" spans="1:28" x14ac:dyDescent="0.2">
      <c r="A19">
        <v>1000</v>
      </c>
      <c r="B19">
        <v>5000</v>
      </c>
      <c r="C19">
        <v>1.2569652870669401</v>
      </c>
      <c r="D19">
        <v>0</v>
      </c>
      <c r="E19">
        <v>1165.78390817728</v>
      </c>
      <c r="F19">
        <v>1170.6660622249101</v>
      </c>
      <c r="G19">
        <v>1173.2494276458799</v>
      </c>
      <c r="H19">
        <v>1175.2529280321701</v>
      </c>
      <c r="I19">
        <v>1164.9152574447601</v>
      </c>
      <c r="J19">
        <v>1157.4163147581801</v>
      </c>
      <c r="K19">
        <v>1148.3200536008901</v>
      </c>
      <c r="L19">
        <v>1159.99387484415</v>
      </c>
      <c r="M19">
        <v>1143.4782226463101</v>
      </c>
      <c r="N19">
        <v>1157.32373225994</v>
      </c>
      <c r="O19">
        <v>1152.95492156155</v>
      </c>
      <c r="P19">
        <v>1119.5661077919499</v>
      </c>
      <c r="Q19">
        <v>1102.9052789227801</v>
      </c>
      <c r="R19">
        <v>1143.5351515130001</v>
      </c>
      <c r="S19">
        <v>1154.2837978566599</v>
      </c>
      <c r="T19">
        <v>1166.5200339399601</v>
      </c>
      <c r="U19">
        <v>1158.44177656079</v>
      </c>
      <c r="V19">
        <v>1192.6806889077</v>
      </c>
      <c r="W19">
        <v>1139.4084969108801</v>
      </c>
      <c r="X19">
        <v>1139.30177218875</v>
      </c>
      <c r="Y19">
        <v>1149.37797647151</v>
      </c>
      <c r="Z19">
        <v>1151.52843679588</v>
      </c>
      <c r="AA19">
        <v>1155.6515700797499</v>
      </c>
      <c r="AB19">
        <v>1153.65211066558</v>
      </c>
    </row>
    <row r="20" spans="1:28" x14ac:dyDescent="0.2">
      <c r="A20">
        <v>200</v>
      </c>
      <c r="B20">
        <v>1000</v>
      </c>
      <c r="C20">
        <v>1.51330525616467</v>
      </c>
      <c r="D20">
        <v>-137.86037979072</v>
      </c>
      <c r="E20">
        <v>1136.1068071945199</v>
      </c>
      <c r="F20">
        <v>1093.9773687875299</v>
      </c>
      <c r="G20">
        <v>1068.7109786746601</v>
      </c>
      <c r="H20">
        <v>1085.6972289289099</v>
      </c>
      <c r="I20">
        <v>1155.2345587049699</v>
      </c>
      <c r="J20">
        <v>1348.92095541149</v>
      </c>
      <c r="K20">
        <v>1395.0513484148601</v>
      </c>
      <c r="L20">
        <v>1588.4166495385</v>
      </c>
      <c r="M20">
        <v>1491.3643812708301</v>
      </c>
      <c r="N20">
        <v>1225.0199568313899</v>
      </c>
      <c r="O20">
        <v>174.98064843949501</v>
      </c>
      <c r="P20">
        <v>-42.314153863553301</v>
      </c>
      <c r="Q20">
        <v>-95.546225927166901</v>
      </c>
      <c r="R20">
        <v>45.2193846898383</v>
      </c>
      <c r="S20">
        <v>246.84082758795699</v>
      </c>
      <c r="T20">
        <v>513.62391877265395</v>
      </c>
      <c r="U20">
        <v>901.37314839426006</v>
      </c>
      <c r="V20">
        <v>1563.0976989240601</v>
      </c>
      <c r="W20">
        <v>1513.1069268896899</v>
      </c>
      <c r="X20">
        <v>1513.85164426857</v>
      </c>
      <c r="Y20">
        <v>1503.1701779140801</v>
      </c>
      <c r="Z20">
        <v>1502.4016652487401</v>
      </c>
      <c r="AA20">
        <v>1337.5658076080999</v>
      </c>
      <c r="AB20">
        <v>1231.4217820787301</v>
      </c>
    </row>
    <row r="21" spans="1:28" x14ac:dyDescent="0.2">
      <c r="A21">
        <v>1000</v>
      </c>
      <c r="B21">
        <v>5000</v>
      </c>
      <c r="C21">
        <v>1.51330525616467</v>
      </c>
      <c r="D21">
        <v>0</v>
      </c>
      <c r="E21">
        <v>1091.25752224025</v>
      </c>
      <c r="F21">
        <v>1094.03022282694</v>
      </c>
      <c r="G21">
        <v>1068.7110582360399</v>
      </c>
      <c r="H21">
        <v>1085.6972290654301</v>
      </c>
      <c r="I21">
        <v>1087.42400147746</v>
      </c>
      <c r="J21">
        <v>1087.6535957426599</v>
      </c>
      <c r="K21">
        <v>1083.2897893862601</v>
      </c>
      <c r="L21">
        <v>1171.6382826568399</v>
      </c>
      <c r="M21">
        <v>1080.2431209166</v>
      </c>
      <c r="N21">
        <v>1092.3014004553499</v>
      </c>
      <c r="O21">
        <v>810.13408276473501</v>
      </c>
      <c r="P21">
        <v>750.42161569249299</v>
      </c>
      <c r="Q21">
        <v>694.44028659931598</v>
      </c>
      <c r="R21">
        <v>826.54188319586297</v>
      </c>
      <c r="S21">
        <v>834.34088242159805</v>
      </c>
      <c r="T21">
        <v>836.45824534633402</v>
      </c>
      <c r="U21">
        <v>920.42378344195197</v>
      </c>
      <c r="V21">
        <v>1146.2834698075801</v>
      </c>
      <c r="W21">
        <v>1091.43361009609</v>
      </c>
      <c r="X21">
        <v>1090.5764414156399</v>
      </c>
      <c r="Y21">
        <v>1086.2339962352</v>
      </c>
      <c r="Z21">
        <v>1085.4298351899099</v>
      </c>
      <c r="AA21">
        <v>1086.9478291979999</v>
      </c>
      <c r="AB21">
        <v>1094.2386959216501</v>
      </c>
    </row>
    <row r="22" spans="1:28" x14ac:dyDescent="0.2">
      <c r="A22">
        <v>1000</v>
      </c>
      <c r="B22">
        <v>5000</v>
      </c>
      <c r="C22">
        <v>1.51330525616467</v>
      </c>
      <c r="D22">
        <v>0</v>
      </c>
      <c r="E22">
        <v>1091.25752224025</v>
      </c>
      <c r="F22">
        <v>1094.03022282694</v>
      </c>
      <c r="G22">
        <v>1068.7110582360399</v>
      </c>
      <c r="H22">
        <v>1085.6972290654301</v>
      </c>
      <c r="I22">
        <v>1087.42400147746</v>
      </c>
      <c r="J22">
        <v>1087.6535957426599</v>
      </c>
      <c r="K22">
        <v>1083.2897893862601</v>
      </c>
      <c r="L22">
        <v>1171.6382826568399</v>
      </c>
      <c r="M22">
        <v>1080.2431209166</v>
      </c>
      <c r="N22">
        <v>1092.3014004553499</v>
      </c>
      <c r="O22">
        <v>810.13408276473501</v>
      </c>
      <c r="P22">
        <v>750.42161569249299</v>
      </c>
      <c r="Q22">
        <v>694.44028659931598</v>
      </c>
      <c r="R22">
        <v>826.54188319586297</v>
      </c>
      <c r="S22">
        <v>834.34088242159805</v>
      </c>
      <c r="T22">
        <v>836.45824534633402</v>
      </c>
      <c r="U22">
        <v>920.42378344195197</v>
      </c>
      <c r="V22">
        <v>1146.2834698075801</v>
      </c>
      <c r="W22">
        <v>1091.43361009609</v>
      </c>
      <c r="X22">
        <v>1090.5764414156399</v>
      </c>
      <c r="Y22">
        <v>1086.2339962352</v>
      </c>
      <c r="Z22">
        <v>1085.4298351899099</v>
      </c>
      <c r="AA22">
        <v>1086.9478291979999</v>
      </c>
      <c r="AB22">
        <v>1094.2386959216501</v>
      </c>
    </row>
    <row r="23" spans="1:28" x14ac:dyDescent="0.2">
      <c r="A23">
        <v>200</v>
      </c>
      <c r="B23">
        <v>1000</v>
      </c>
      <c r="C23">
        <v>1.51330525616467</v>
      </c>
      <c r="D23">
        <v>-137.86037979072</v>
      </c>
      <c r="E23">
        <v>1136.1068071945199</v>
      </c>
      <c r="F23">
        <v>1093.9773687875299</v>
      </c>
      <c r="G23">
        <v>1068.7109786746601</v>
      </c>
      <c r="H23">
        <v>1085.6972289289099</v>
      </c>
      <c r="I23">
        <v>1155.2345587049699</v>
      </c>
      <c r="J23">
        <v>1348.92095541149</v>
      </c>
      <c r="K23">
        <v>1395.0513484148601</v>
      </c>
      <c r="L23">
        <v>1588.4166495385</v>
      </c>
      <c r="M23">
        <v>1491.3643812708301</v>
      </c>
      <c r="N23">
        <v>1225.0199568313899</v>
      </c>
      <c r="O23">
        <v>174.98064843949501</v>
      </c>
      <c r="P23">
        <v>-42.314153863553301</v>
      </c>
      <c r="Q23">
        <v>-95.546225927166901</v>
      </c>
      <c r="R23">
        <v>45.2193846898383</v>
      </c>
      <c r="S23">
        <v>246.84082758795699</v>
      </c>
      <c r="T23">
        <v>513.62391877265395</v>
      </c>
      <c r="U23">
        <v>901.37314839426006</v>
      </c>
      <c r="V23">
        <v>1563.0976989240601</v>
      </c>
      <c r="W23">
        <v>1513.1069268896899</v>
      </c>
      <c r="X23">
        <v>1513.85164426857</v>
      </c>
      <c r="Y23">
        <v>1503.1701779140801</v>
      </c>
      <c r="Z23">
        <v>1502.4016652487401</v>
      </c>
      <c r="AA23">
        <v>1337.5658076080999</v>
      </c>
      <c r="AB23">
        <v>1231.4217820787301</v>
      </c>
    </row>
    <row r="24" spans="1:28" x14ac:dyDescent="0.2">
      <c r="A24">
        <v>1000</v>
      </c>
      <c r="B24">
        <v>1000</v>
      </c>
      <c r="C24">
        <v>1.51330525616467</v>
      </c>
      <c r="D24">
        <v>0</v>
      </c>
      <c r="E24">
        <v>1136.1068071945199</v>
      </c>
      <c r="F24">
        <v>1093.9773687875299</v>
      </c>
      <c r="G24">
        <v>1068.7109786746601</v>
      </c>
      <c r="H24">
        <v>1085.6972289289099</v>
      </c>
      <c r="I24">
        <v>1155.2345587049699</v>
      </c>
      <c r="J24">
        <v>1348.92095541149</v>
      </c>
      <c r="K24">
        <v>1395.0513484148601</v>
      </c>
      <c r="L24">
        <v>1588.4336785079199</v>
      </c>
      <c r="M24">
        <v>1491.3583258845799</v>
      </c>
      <c r="N24">
        <v>1225.0199563225999</v>
      </c>
      <c r="O24">
        <v>95.050098065176897</v>
      </c>
      <c r="P24">
        <v>76.383015226862199</v>
      </c>
      <c r="Q24">
        <v>22.7558901645682</v>
      </c>
      <c r="R24">
        <v>114.210348840075</v>
      </c>
      <c r="S24">
        <v>117.727582415155</v>
      </c>
      <c r="T24">
        <v>415.21223504680103</v>
      </c>
      <c r="U24">
        <v>901.37884080884498</v>
      </c>
      <c r="V24">
        <v>1563.1142027835299</v>
      </c>
      <c r="W24">
        <v>1513.0970011725401</v>
      </c>
      <c r="X24">
        <v>1513.84738650846</v>
      </c>
      <c r="Y24">
        <v>1503.16605998203</v>
      </c>
      <c r="Z24">
        <v>1502.4016656285301</v>
      </c>
      <c r="AA24">
        <v>1337.56580760816</v>
      </c>
      <c r="AB24">
        <v>1231.4217820787301</v>
      </c>
    </row>
    <row r="25" spans="1:28" x14ac:dyDescent="0.2">
      <c r="A25">
        <v>1000</v>
      </c>
      <c r="B25">
        <v>5000</v>
      </c>
      <c r="C25">
        <v>1.51330525616467</v>
      </c>
      <c r="D25">
        <v>0</v>
      </c>
      <c r="E25">
        <v>1091.25752224025</v>
      </c>
      <c r="F25">
        <v>1094.03022282694</v>
      </c>
      <c r="G25">
        <v>1068.7110582360399</v>
      </c>
      <c r="H25">
        <v>1085.6972290654301</v>
      </c>
      <c r="I25">
        <v>1087.42400147746</v>
      </c>
      <c r="J25">
        <v>1087.6535957426599</v>
      </c>
      <c r="K25">
        <v>1083.2897893862601</v>
      </c>
      <c r="L25">
        <v>1171.6382826568399</v>
      </c>
      <c r="M25">
        <v>1080.2431209166</v>
      </c>
      <c r="N25">
        <v>1092.3014004553499</v>
      </c>
      <c r="O25">
        <v>810.13408276473501</v>
      </c>
      <c r="P25">
        <v>750.42161569249299</v>
      </c>
      <c r="Q25">
        <v>694.44028659931598</v>
      </c>
      <c r="R25">
        <v>826.54188319586297</v>
      </c>
      <c r="S25">
        <v>834.34088242159805</v>
      </c>
      <c r="T25">
        <v>836.45824534633402</v>
      </c>
      <c r="U25">
        <v>920.42378344195197</v>
      </c>
      <c r="V25">
        <v>1146.2834698075801</v>
      </c>
      <c r="W25">
        <v>1091.43361009609</v>
      </c>
      <c r="X25">
        <v>1090.5764414156399</v>
      </c>
      <c r="Y25">
        <v>1086.2339962352</v>
      </c>
      <c r="Z25">
        <v>1085.4298351899099</v>
      </c>
      <c r="AA25">
        <v>1086.9478291979999</v>
      </c>
      <c r="AB25">
        <v>1094.2386959216501</v>
      </c>
    </row>
    <row r="26" spans="1:28" x14ac:dyDescent="0.2">
      <c r="A26">
        <v>0</v>
      </c>
      <c r="B26">
        <v>0</v>
      </c>
      <c r="C26" s="164">
        <v>0</v>
      </c>
      <c r="D26">
        <v>0</v>
      </c>
      <c r="E26">
        <v>1136.1068071945199</v>
      </c>
      <c r="F26">
        <v>1093.9773687875299</v>
      </c>
      <c r="G26">
        <v>1068.7109786746601</v>
      </c>
      <c r="H26">
        <v>1085.6972289289099</v>
      </c>
      <c r="I26">
        <v>1155.2345587049699</v>
      </c>
      <c r="J26">
        <v>1348.92095541149</v>
      </c>
      <c r="K26">
        <v>1562.3544957260999</v>
      </c>
      <c r="L26">
        <v>1854.36104513287</v>
      </c>
      <c r="M26">
        <v>2086.4549140048498</v>
      </c>
      <c r="N26">
        <v>2265.6632914736701</v>
      </c>
      <c r="O26">
        <v>2436.1200471766501</v>
      </c>
      <c r="P26">
        <v>2538.16090403105</v>
      </c>
      <c r="Q26">
        <v>2622.83250238659</v>
      </c>
      <c r="R26">
        <v>2715.27172579123</v>
      </c>
      <c r="S26">
        <v>2710.3612771061498</v>
      </c>
      <c r="T26">
        <v>2604.3500169337599</v>
      </c>
      <c r="U26">
        <v>2497.71176750831</v>
      </c>
      <c r="V26">
        <v>2301.4305550722602</v>
      </c>
      <c r="W26">
        <v>1980.2557411324201</v>
      </c>
      <c r="X26">
        <v>1776.9229625355699</v>
      </c>
      <c r="Y26">
        <v>1646.0997386264601</v>
      </c>
      <c r="Z26">
        <v>1502.3565397338</v>
      </c>
      <c r="AA26">
        <v>1337.56580110347</v>
      </c>
      <c r="AB26">
        <v>1231.4217820787301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26"/>
  <sheetViews>
    <sheetView workbookViewId="0">
      <selection activeCell="C27" sqref="C27"/>
    </sheetView>
  </sheetViews>
  <sheetFormatPr baseColWidth="10" defaultRowHeight="16" x14ac:dyDescent="0.2"/>
  <sheetData>
    <row r="1" spans="1:28" x14ac:dyDescent="0.2">
      <c r="A1">
        <v>0</v>
      </c>
      <c r="B1">
        <v>0</v>
      </c>
      <c r="C1">
        <v>0.76452271485288203</v>
      </c>
      <c r="D1">
        <v>0</v>
      </c>
      <c r="E1">
        <v>1008.31723665955</v>
      </c>
      <c r="F1">
        <v>972.31146794799497</v>
      </c>
      <c r="G1">
        <v>946.30938773436299</v>
      </c>
      <c r="H1">
        <v>952.64428443521399</v>
      </c>
      <c r="I1">
        <v>1019.79763293366</v>
      </c>
      <c r="J1">
        <v>1186.15757605317</v>
      </c>
      <c r="K1">
        <v>1454.0945116481901</v>
      </c>
      <c r="L1">
        <v>1454.1159870708</v>
      </c>
      <c r="M1">
        <v>1257.5416174777699</v>
      </c>
      <c r="N1">
        <v>1316.7245443955901</v>
      </c>
      <c r="O1">
        <v>1180.76563280651</v>
      </c>
      <c r="P1">
        <v>865.475436773355</v>
      </c>
      <c r="Q1">
        <v>1246.2444622467201</v>
      </c>
      <c r="R1">
        <v>1521.43355097996</v>
      </c>
      <c r="S1">
        <v>1633.5575678726</v>
      </c>
      <c r="T1">
        <v>1316.9551591565501</v>
      </c>
      <c r="U1">
        <v>1699.4121821973499</v>
      </c>
      <c r="V1">
        <v>1820.81545722187</v>
      </c>
      <c r="W1">
        <v>1658.21150915099</v>
      </c>
      <c r="X1">
        <v>1566.2307422788299</v>
      </c>
      <c r="Y1">
        <v>1431.9107658191999</v>
      </c>
      <c r="Z1">
        <v>1256.41723224158</v>
      </c>
      <c r="AA1">
        <v>1104.62249662369</v>
      </c>
      <c r="AB1">
        <v>1024.0700816675601</v>
      </c>
    </row>
    <row r="2" spans="1:28" x14ac:dyDescent="0.2">
      <c r="A2">
        <v>200</v>
      </c>
      <c r="B2">
        <v>1000</v>
      </c>
      <c r="C2">
        <v>0.76452271485288203</v>
      </c>
      <c r="D2">
        <v>0</v>
      </c>
      <c r="E2">
        <v>1124.3621158133999</v>
      </c>
      <c r="F2">
        <v>1114.0546800868301</v>
      </c>
      <c r="G2">
        <v>1121.7646897786501</v>
      </c>
      <c r="H2">
        <v>1128.1107701665301</v>
      </c>
      <c r="I2">
        <v>1135.3573469801399</v>
      </c>
      <c r="J2">
        <v>1185.6652174435001</v>
      </c>
      <c r="K2">
        <v>1426.1227333653201</v>
      </c>
      <c r="L2">
        <v>1426.9259848520301</v>
      </c>
      <c r="M2">
        <v>1258.4084002529701</v>
      </c>
      <c r="N2">
        <v>1316.7672156583401</v>
      </c>
      <c r="O2">
        <v>1180.7656328094999</v>
      </c>
      <c r="P2">
        <v>1040.1525344126701</v>
      </c>
      <c r="Q2">
        <v>1246.1523150887399</v>
      </c>
      <c r="R2">
        <v>1434.33363288745</v>
      </c>
      <c r="S2">
        <v>1449.9326699508399</v>
      </c>
      <c r="T2">
        <v>1316.9505859575299</v>
      </c>
      <c r="U2">
        <v>1513.74593103095</v>
      </c>
      <c r="V2">
        <v>1619.7277537090999</v>
      </c>
      <c r="W2">
        <v>1470.0429074430999</v>
      </c>
      <c r="X2">
        <v>1455.71862126928</v>
      </c>
      <c r="Y2">
        <v>1418.9684919926699</v>
      </c>
      <c r="Z2">
        <v>1256.4172321701101</v>
      </c>
      <c r="AA2">
        <v>1130.6207004356299</v>
      </c>
      <c r="AB2">
        <v>1125.0405734554099</v>
      </c>
    </row>
    <row r="3" spans="1:28" x14ac:dyDescent="0.2">
      <c r="A3">
        <v>1000</v>
      </c>
      <c r="B3">
        <v>1000</v>
      </c>
      <c r="C3">
        <v>0.76452271485288203</v>
      </c>
      <c r="D3">
        <v>0</v>
      </c>
      <c r="E3">
        <v>1124.30640244183</v>
      </c>
      <c r="F3">
        <v>1114.1537356107399</v>
      </c>
      <c r="G3">
        <v>1121.7596392139601</v>
      </c>
      <c r="H3">
        <v>1128.11015836723</v>
      </c>
      <c r="I3">
        <v>1135.40276091224</v>
      </c>
      <c r="J3">
        <v>1185.6652228804301</v>
      </c>
      <c r="K3">
        <v>1453.4950624273999</v>
      </c>
      <c r="L3">
        <v>1454.0408228455899</v>
      </c>
      <c r="M3">
        <v>1258.4085404099801</v>
      </c>
      <c r="N3">
        <v>1316.7672156583201</v>
      </c>
      <c r="O3">
        <v>1180.7656328094999</v>
      </c>
      <c r="P3">
        <v>1040.1662507308299</v>
      </c>
      <c r="Q3">
        <v>1246.15233736902</v>
      </c>
      <c r="R3">
        <v>1454.56567523795</v>
      </c>
      <c r="S3">
        <v>1450.06205580191</v>
      </c>
      <c r="T3">
        <v>1316.9505876251801</v>
      </c>
      <c r="U3">
        <v>1513.87201388317</v>
      </c>
      <c r="V3">
        <v>1529.7139911516499</v>
      </c>
      <c r="W3">
        <v>1470.14945429452</v>
      </c>
      <c r="X3">
        <v>1455.8376400150901</v>
      </c>
      <c r="Y3">
        <v>1431.9042819569499</v>
      </c>
      <c r="Z3">
        <v>1256.41723224151</v>
      </c>
      <c r="AA3">
        <v>1130.60958938099</v>
      </c>
      <c r="AB3">
        <v>1124.9874157045399</v>
      </c>
    </row>
    <row r="4" spans="1:28" x14ac:dyDescent="0.2">
      <c r="A4">
        <v>1000</v>
      </c>
      <c r="B4">
        <v>5000</v>
      </c>
      <c r="C4">
        <v>0.76452271485288203</v>
      </c>
      <c r="D4">
        <v>0</v>
      </c>
      <c r="E4">
        <v>1286.4549447586401</v>
      </c>
      <c r="F4">
        <v>1280.7494643504699</v>
      </c>
      <c r="G4">
        <v>1283.53850018252</v>
      </c>
      <c r="H4">
        <v>1289.8680250176201</v>
      </c>
      <c r="I4">
        <v>1291.8701269147</v>
      </c>
      <c r="J4">
        <v>1291.5627560129301</v>
      </c>
      <c r="K4">
        <v>1285.41637262672</v>
      </c>
      <c r="L4">
        <v>1287.48067691964</v>
      </c>
      <c r="M4">
        <v>1283.86677014309</v>
      </c>
      <c r="N4">
        <v>1282.91154609502</v>
      </c>
      <c r="O4">
        <v>1287.18480800375</v>
      </c>
      <c r="P4">
        <v>1240.14016000942</v>
      </c>
      <c r="Q4">
        <v>1290.42717757574</v>
      </c>
      <c r="R4">
        <v>1288.8452136084099</v>
      </c>
      <c r="S4">
        <v>1282.93008237093</v>
      </c>
      <c r="T4">
        <v>1282.1813402730299</v>
      </c>
      <c r="U4">
        <v>1311.08864304553</v>
      </c>
      <c r="V4">
        <v>1315.3415261166799</v>
      </c>
      <c r="W4">
        <v>1289.04332774318</v>
      </c>
      <c r="X4">
        <v>1285.0570340894999</v>
      </c>
      <c r="Y4">
        <v>1281.1658867268</v>
      </c>
      <c r="Z4">
        <v>1282.7649903654601</v>
      </c>
      <c r="AA4">
        <v>1289.6461620981399</v>
      </c>
      <c r="AB4">
        <v>1289.2380850628599</v>
      </c>
    </row>
    <row r="5" spans="1:28" x14ac:dyDescent="0.2">
      <c r="A5">
        <v>200</v>
      </c>
      <c r="B5">
        <v>1000</v>
      </c>
      <c r="C5">
        <v>0.86346094853972499</v>
      </c>
      <c r="D5">
        <v>0</v>
      </c>
      <c r="E5">
        <v>1125.37736273159</v>
      </c>
      <c r="F5">
        <v>1089.4943263923701</v>
      </c>
      <c r="G5">
        <v>1063.11082180003</v>
      </c>
      <c r="H5">
        <v>1069.46383650595</v>
      </c>
      <c r="I5">
        <v>1136.44919845857</v>
      </c>
      <c r="J5">
        <v>1185.6652582147101</v>
      </c>
      <c r="K5">
        <v>1360.5154145889201</v>
      </c>
      <c r="L5">
        <v>1363.91419537608</v>
      </c>
      <c r="M5">
        <v>1163.1881733798</v>
      </c>
      <c r="N5">
        <v>1206.2101899141601</v>
      </c>
      <c r="O5">
        <v>1152.18732311085</v>
      </c>
      <c r="P5">
        <v>877.65776078631495</v>
      </c>
      <c r="Q5">
        <v>1097.8230021094</v>
      </c>
      <c r="R5">
        <v>1352.3758692722099</v>
      </c>
      <c r="S5">
        <v>1424.72856542513</v>
      </c>
      <c r="T5">
        <v>1198.99424777186</v>
      </c>
      <c r="U5">
        <v>1457.4875012166301</v>
      </c>
      <c r="V5">
        <v>1618.8978430157799</v>
      </c>
      <c r="W5">
        <v>1460.6333150232001</v>
      </c>
      <c r="X5">
        <v>1420.35959680065</v>
      </c>
      <c r="Y5">
        <v>1358.4955196800199</v>
      </c>
      <c r="Z5">
        <v>1256.41723183975</v>
      </c>
      <c r="AA5">
        <v>1150.81874600432</v>
      </c>
      <c r="AB5">
        <v>1143.3384609468101</v>
      </c>
    </row>
    <row r="6" spans="1:28" x14ac:dyDescent="0.2">
      <c r="A6">
        <v>1000</v>
      </c>
      <c r="B6">
        <v>1000</v>
      </c>
      <c r="C6">
        <v>0.86346094853972499</v>
      </c>
      <c r="D6">
        <v>0</v>
      </c>
      <c r="E6">
        <v>1087.1055061326099</v>
      </c>
      <c r="F6">
        <v>1102.4764164748101</v>
      </c>
      <c r="G6">
        <v>1076.1105131393199</v>
      </c>
      <c r="H6">
        <v>1082.46686712835</v>
      </c>
      <c r="I6">
        <v>1098.21921602768</v>
      </c>
      <c r="J6">
        <v>1185.6639766783001</v>
      </c>
      <c r="K6">
        <v>1421.8659775942499</v>
      </c>
      <c r="L6">
        <v>1418.77481188963</v>
      </c>
      <c r="M6">
        <v>1163.1894419133801</v>
      </c>
      <c r="N6">
        <v>1206.2101899142101</v>
      </c>
      <c r="O6">
        <v>1100.92680097221</v>
      </c>
      <c r="P6">
        <v>1005.63476881036</v>
      </c>
      <c r="Q6">
        <v>1097.8230046797501</v>
      </c>
      <c r="R6">
        <v>1406.6422774166999</v>
      </c>
      <c r="S6">
        <v>1429.71364654165</v>
      </c>
      <c r="T6">
        <v>1198.99439669651</v>
      </c>
      <c r="U6">
        <v>1445.39407909088</v>
      </c>
      <c r="V6">
        <v>1503.6118553690501</v>
      </c>
      <c r="W6">
        <v>1448.3500088687599</v>
      </c>
      <c r="X6">
        <v>1425.4269611980999</v>
      </c>
      <c r="Y6">
        <v>1417.10849805116</v>
      </c>
      <c r="Z6">
        <v>1256.41723216019</v>
      </c>
      <c r="AA6">
        <v>1104.62249662368</v>
      </c>
      <c r="AB6">
        <v>1104.61694141515</v>
      </c>
    </row>
    <row r="7" spans="1:28" x14ac:dyDescent="0.2">
      <c r="A7">
        <v>1000</v>
      </c>
      <c r="B7">
        <v>5000</v>
      </c>
      <c r="C7">
        <v>0.86346094853972499</v>
      </c>
      <c r="D7">
        <v>0</v>
      </c>
      <c r="E7">
        <v>1237.8750825987299</v>
      </c>
      <c r="F7">
        <v>1246.9217192854901</v>
      </c>
      <c r="G7">
        <v>1236.06040225112</v>
      </c>
      <c r="H7">
        <v>1237.77219653778</v>
      </c>
      <c r="I7">
        <v>1242.9564242019301</v>
      </c>
      <c r="J7">
        <v>1240.2173545744799</v>
      </c>
      <c r="K7">
        <v>1233.2752725627699</v>
      </c>
      <c r="L7">
        <v>1238.13100639555</v>
      </c>
      <c r="M7">
        <v>1243.9697647334001</v>
      </c>
      <c r="N7">
        <v>1240.88696103552</v>
      </c>
      <c r="O7">
        <v>1241.1598957132001</v>
      </c>
      <c r="P7">
        <v>1197.3690990346599</v>
      </c>
      <c r="Q7">
        <v>1241.02789880564</v>
      </c>
      <c r="R7">
        <v>1240.59774423213</v>
      </c>
      <c r="S7">
        <v>1243.35991402079</v>
      </c>
      <c r="T7">
        <v>1242.19779525887</v>
      </c>
      <c r="U7">
        <v>1245.5071318396699</v>
      </c>
      <c r="V7">
        <v>1264.63468244858</v>
      </c>
      <c r="W7">
        <v>1241.7022403634801</v>
      </c>
      <c r="X7">
        <v>1233.8517159662399</v>
      </c>
      <c r="Y7">
        <v>1232.3728074025501</v>
      </c>
      <c r="Z7">
        <v>1240.3547294739701</v>
      </c>
      <c r="AA7">
        <v>1246.24176082697</v>
      </c>
      <c r="AB7">
        <v>1251.1387138139501</v>
      </c>
    </row>
    <row r="8" spans="1:28" x14ac:dyDescent="0.2">
      <c r="A8">
        <v>200</v>
      </c>
      <c r="B8">
        <v>1000</v>
      </c>
      <c r="C8">
        <v>1.0883205705552701</v>
      </c>
      <c r="D8">
        <v>0</v>
      </c>
      <c r="E8">
        <v>1073.3668598279201</v>
      </c>
      <c r="F8">
        <v>1050.2796475235</v>
      </c>
      <c r="G8">
        <v>1059.04492302671</v>
      </c>
      <c r="H8">
        <v>1044.89939070593</v>
      </c>
      <c r="I8">
        <v>1084.3609379250099</v>
      </c>
      <c r="J8">
        <v>1168.5532117329301</v>
      </c>
      <c r="K8">
        <v>1248.1970446953901</v>
      </c>
      <c r="L8">
        <v>1226.92871528408</v>
      </c>
      <c r="M8">
        <v>1056.1538900518401</v>
      </c>
      <c r="N8">
        <v>1047.0961933247199</v>
      </c>
      <c r="O8">
        <v>902.400977004266</v>
      </c>
      <c r="P8">
        <v>441.44815534996297</v>
      </c>
      <c r="Q8">
        <v>962.16636109931096</v>
      </c>
      <c r="R8">
        <v>1147.95888092936</v>
      </c>
      <c r="S8">
        <v>1220.06665876119</v>
      </c>
      <c r="T8">
        <v>1043.64131917493</v>
      </c>
      <c r="U8">
        <v>1344.19045224151</v>
      </c>
      <c r="V8">
        <v>1617.83151658155</v>
      </c>
      <c r="W8">
        <v>1470.1672828268599</v>
      </c>
      <c r="X8">
        <v>1369.1946716503501</v>
      </c>
      <c r="Y8">
        <v>1250.0607702847401</v>
      </c>
      <c r="Z8">
        <v>1218.32578070931</v>
      </c>
      <c r="AA8">
        <v>1135.8167309207399</v>
      </c>
      <c r="AB8">
        <v>1089.1471516854899</v>
      </c>
    </row>
    <row r="9" spans="1:28" x14ac:dyDescent="0.2">
      <c r="A9">
        <v>1000</v>
      </c>
      <c r="B9">
        <v>1000</v>
      </c>
      <c r="C9">
        <v>1.0883205705552701</v>
      </c>
      <c r="D9">
        <v>0</v>
      </c>
      <c r="E9">
        <v>1008.31723665955</v>
      </c>
      <c r="F9">
        <v>972.31146794799497</v>
      </c>
      <c r="G9">
        <v>946.30938773436299</v>
      </c>
      <c r="H9">
        <v>952.64428443521399</v>
      </c>
      <c r="I9">
        <v>1019.79763293366</v>
      </c>
      <c r="J9">
        <v>1186.15757605317</v>
      </c>
      <c r="K9">
        <v>1382.4859469125499</v>
      </c>
      <c r="L9">
        <v>1337.50734871801</v>
      </c>
      <c r="M9">
        <v>943.55911614878596</v>
      </c>
      <c r="N9">
        <v>951.93472878452803</v>
      </c>
      <c r="O9">
        <v>916.11119143160499</v>
      </c>
      <c r="P9">
        <v>842.46686783928703</v>
      </c>
      <c r="Q9">
        <v>929.23754349374803</v>
      </c>
      <c r="R9">
        <v>1144.7714644927</v>
      </c>
      <c r="S9">
        <v>1331.5317267836001</v>
      </c>
      <c r="T9">
        <v>930.81115866140999</v>
      </c>
      <c r="U9">
        <v>1395.3963739451699</v>
      </c>
      <c r="V9">
        <v>1466.9970212295</v>
      </c>
      <c r="W9">
        <v>1421.5661626265201</v>
      </c>
      <c r="X9">
        <v>1381.3393153356401</v>
      </c>
      <c r="Y9">
        <v>1380.1015545026701</v>
      </c>
      <c r="Z9">
        <v>1256.41723195743</v>
      </c>
      <c r="AA9">
        <v>1104.62249662367</v>
      </c>
      <c r="AB9">
        <v>1024.0700816675601</v>
      </c>
    </row>
    <row r="10" spans="1:28" x14ac:dyDescent="0.2">
      <c r="A10">
        <v>1000</v>
      </c>
      <c r="B10">
        <v>5000</v>
      </c>
      <c r="C10">
        <v>1.0883205705552701</v>
      </c>
      <c r="D10">
        <v>0</v>
      </c>
      <c r="E10">
        <v>1143.8098441838699</v>
      </c>
      <c r="F10">
        <v>1142.1743408782199</v>
      </c>
      <c r="G10">
        <v>1141.2199096759</v>
      </c>
      <c r="H10">
        <v>1139.03887854206</v>
      </c>
      <c r="I10">
        <v>1144.6749297756801</v>
      </c>
      <c r="J10">
        <v>1136.1801856657501</v>
      </c>
      <c r="K10">
        <v>1123.0712940011199</v>
      </c>
      <c r="L10">
        <v>1134.2522881487801</v>
      </c>
      <c r="M10">
        <v>1138.79832476354</v>
      </c>
      <c r="N10">
        <v>1146.69769014189</v>
      </c>
      <c r="O10">
        <v>1116.73289493168</v>
      </c>
      <c r="P10">
        <v>1075.75451452677</v>
      </c>
      <c r="Q10">
        <v>1129.0395090718</v>
      </c>
      <c r="R10">
        <v>1140.79470261592</v>
      </c>
      <c r="S10">
        <v>1132.5056538362501</v>
      </c>
      <c r="T10">
        <v>1131.5287982996299</v>
      </c>
      <c r="U10">
        <v>1132.80852840598</v>
      </c>
      <c r="V10">
        <v>1156.51589053609</v>
      </c>
      <c r="W10">
        <v>1139.0941481173199</v>
      </c>
      <c r="X10">
        <v>1118.4494333283999</v>
      </c>
      <c r="Y10">
        <v>1118.1961252870101</v>
      </c>
      <c r="Z10">
        <v>1125.27166928561</v>
      </c>
      <c r="AA10">
        <v>1144.3178094203599</v>
      </c>
      <c r="AB10">
        <v>1142.2340474282801</v>
      </c>
    </row>
    <row r="11" spans="1:28" x14ac:dyDescent="0.2">
      <c r="A11">
        <v>200</v>
      </c>
      <c r="B11">
        <v>1000</v>
      </c>
      <c r="C11">
        <v>1.1063093403165201</v>
      </c>
      <c r="D11">
        <v>0</v>
      </c>
      <c r="E11">
        <v>1085.90475333625</v>
      </c>
      <c r="F11">
        <v>1049.9969055135</v>
      </c>
      <c r="G11">
        <v>1038.254575077</v>
      </c>
      <c r="H11">
        <v>1044.61051813209</v>
      </c>
      <c r="I11">
        <v>1096.98550613413</v>
      </c>
      <c r="J11">
        <v>1168.5537486486201</v>
      </c>
      <c r="K11">
        <v>1248.19704485076</v>
      </c>
      <c r="L11">
        <v>1220.80681307956</v>
      </c>
      <c r="M11">
        <v>1045.7524464921501</v>
      </c>
      <c r="N11">
        <v>1027.2700320133999</v>
      </c>
      <c r="O11">
        <v>873.53174770450198</v>
      </c>
      <c r="P11">
        <v>414.30220235516998</v>
      </c>
      <c r="Q11">
        <v>942.891546149134</v>
      </c>
      <c r="R11">
        <v>1126.11183783363</v>
      </c>
      <c r="S11">
        <v>1205.2559769888501</v>
      </c>
      <c r="T11">
        <v>1030.4507159943901</v>
      </c>
      <c r="U11">
        <v>1336.24896320022</v>
      </c>
      <c r="V11">
        <v>1616.9783786513599</v>
      </c>
      <c r="W11">
        <v>1470.1669299237401</v>
      </c>
      <c r="X11">
        <v>1369.1946715751501</v>
      </c>
      <c r="Y11">
        <v>1250.0607702847401</v>
      </c>
      <c r="Z11">
        <v>1218.32578070931</v>
      </c>
      <c r="AA11">
        <v>1115.0255425463899</v>
      </c>
      <c r="AB11">
        <v>1103.39160152196</v>
      </c>
    </row>
    <row r="12" spans="1:28" x14ac:dyDescent="0.2">
      <c r="A12">
        <v>1000</v>
      </c>
      <c r="B12">
        <v>1000</v>
      </c>
      <c r="C12">
        <v>1.1063093403165201</v>
      </c>
      <c r="D12">
        <v>0</v>
      </c>
      <c r="E12">
        <v>1008.31723665955</v>
      </c>
      <c r="F12">
        <v>972.31146794799497</v>
      </c>
      <c r="G12">
        <v>946.30938773436299</v>
      </c>
      <c r="H12">
        <v>952.64428443521399</v>
      </c>
      <c r="I12">
        <v>1019.79763293366</v>
      </c>
      <c r="J12">
        <v>1186.15757605317</v>
      </c>
      <c r="K12">
        <v>1382.4859469125499</v>
      </c>
      <c r="L12">
        <v>1331.52346524516</v>
      </c>
      <c r="M12">
        <v>928.79569868583803</v>
      </c>
      <c r="N12">
        <v>935.23086155542501</v>
      </c>
      <c r="O12">
        <v>895.32528212433499</v>
      </c>
      <c r="P12">
        <v>810.48410366563201</v>
      </c>
      <c r="Q12">
        <v>905.87836364759596</v>
      </c>
      <c r="R12">
        <v>1126.0814927174999</v>
      </c>
      <c r="S12">
        <v>1315.68907368444</v>
      </c>
      <c r="T12">
        <v>914.34674677548401</v>
      </c>
      <c r="U12">
        <v>1389.13084878206</v>
      </c>
      <c r="V12">
        <v>1466.2761023519799</v>
      </c>
      <c r="W12">
        <v>1421.5656110003199</v>
      </c>
      <c r="X12">
        <v>1381.3393151788</v>
      </c>
      <c r="Y12">
        <v>1380.1015545026401</v>
      </c>
      <c r="Z12">
        <v>1256.41723195743</v>
      </c>
      <c r="AA12">
        <v>1104.62249662367</v>
      </c>
      <c r="AB12">
        <v>1024.0700816675601</v>
      </c>
    </row>
    <row r="13" spans="1:28" x14ac:dyDescent="0.2">
      <c r="A13">
        <v>1000</v>
      </c>
      <c r="B13">
        <v>5000</v>
      </c>
      <c r="C13">
        <v>1.1063093403165201</v>
      </c>
      <c r="D13">
        <v>0</v>
      </c>
      <c r="E13">
        <v>1132.8596285693</v>
      </c>
      <c r="F13">
        <v>1136.7736316599601</v>
      </c>
      <c r="G13">
        <v>1137.7864371795899</v>
      </c>
      <c r="H13">
        <v>1129.50755868326</v>
      </c>
      <c r="I13">
        <v>1128.03035642083</v>
      </c>
      <c r="J13">
        <v>1124.04909756394</v>
      </c>
      <c r="K13">
        <v>1120.5169485879201</v>
      </c>
      <c r="L13">
        <v>1125.3931073421099</v>
      </c>
      <c r="M13">
        <v>1122.41451146758</v>
      </c>
      <c r="N13">
        <v>1131.6374386673201</v>
      </c>
      <c r="O13">
        <v>1116.8239531086101</v>
      </c>
      <c r="P13">
        <v>1076.5004102293101</v>
      </c>
      <c r="Q13">
        <v>1129.12624250965</v>
      </c>
      <c r="R13">
        <v>1134.5442029155099</v>
      </c>
      <c r="S13">
        <v>1122.32762312198</v>
      </c>
      <c r="T13">
        <v>1130.7250594627601</v>
      </c>
      <c r="U13">
        <v>1121.3917411198299</v>
      </c>
      <c r="V13">
        <v>1148.07360395417</v>
      </c>
      <c r="W13">
        <v>1131.4505776482999</v>
      </c>
      <c r="X13">
        <v>1110.5884407656699</v>
      </c>
      <c r="Y13">
        <v>1115.61170509818</v>
      </c>
      <c r="Z13">
        <v>1124.56621546478</v>
      </c>
      <c r="AA13">
        <v>1128.1984713291999</v>
      </c>
      <c r="AB13">
        <v>1134.8113871886201</v>
      </c>
    </row>
    <row r="14" spans="1:28" x14ac:dyDescent="0.2">
      <c r="A14">
        <v>200</v>
      </c>
      <c r="B14">
        <v>1000</v>
      </c>
      <c r="C14">
        <v>1.2569652870669401</v>
      </c>
      <c r="D14">
        <v>0</v>
      </c>
      <c r="E14">
        <v>1008.31723665955</v>
      </c>
      <c r="F14">
        <v>972.31146794799497</v>
      </c>
      <c r="G14">
        <v>946.30938773436299</v>
      </c>
      <c r="H14">
        <v>952.64428443521399</v>
      </c>
      <c r="I14">
        <v>1019.79763293366</v>
      </c>
      <c r="J14">
        <v>1186.15757605317</v>
      </c>
      <c r="K14">
        <v>1320.8869861297701</v>
      </c>
      <c r="L14">
        <v>1256.8759728274999</v>
      </c>
      <c r="M14">
        <v>914.72350189547001</v>
      </c>
      <c r="N14">
        <v>896.51571129094805</v>
      </c>
      <c r="O14">
        <v>655.30507311286794</v>
      </c>
      <c r="P14">
        <v>105.401060350512</v>
      </c>
      <c r="Q14">
        <v>713.68558309152002</v>
      </c>
      <c r="R14">
        <v>950.51062577627204</v>
      </c>
      <c r="S14">
        <v>1174.3936799395501</v>
      </c>
      <c r="T14">
        <v>870.07408895323704</v>
      </c>
      <c r="U14">
        <v>1332.3865882407099</v>
      </c>
      <c r="V14">
        <v>1610.3990700359</v>
      </c>
      <c r="W14">
        <v>1458.0319472788101</v>
      </c>
      <c r="X14">
        <v>1365.7203088579299</v>
      </c>
      <c r="Y14">
        <v>1296.9721081379701</v>
      </c>
      <c r="Z14">
        <v>1235.64841065566</v>
      </c>
      <c r="AA14">
        <v>1104.62194537661</v>
      </c>
      <c r="AB14">
        <v>1024.0700816675601</v>
      </c>
    </row>
    <row r="15" spans="1:28" x14ac:dyDescent="0.2">
      <c r="A15">
        <v>1000</v>
      </c>
      <c r="B15">
        <v>1000</v>
      </c>
      <c r="C15">
        <v>1.2569652870669401</v>
      </c>
      <c r="D15">
        <v>0</v>
      </c>
      <c r="E15">
        <v>1008.31723665955</v>
      </c>
      <c r="F15">
        <v>972.31146794799497</v>
      </c>
      <c r="G15">
        <v>946.30938773436299</v>
      </c>
      <c r="H15">
        <v>952.64428443521399</v>
      </c>
      <c r="I15">
        <v>1019.79763293366</v>
      </c>
      <c r="J15">
        <v>1186.15757605317</v>
      </c>
      <c r="K15">
        <v>1365.39677890092</v>
      </c>
      <c r="L15">
        <v>1277.069670291</v>
      </c>
      <c r="M15">
        <v>782.99237745974801</v>
      </c>
      <c r="N15">
        <v>765.83990854426997</v>
      </c>
      <c r="O15">
        <v>635.62669478129806</v>
      </c>
      <c r="P15">
        <v>574.27731032551196</v>
      </c>
      <c r="Q15">
        <v>648.60241642913502</v>
      </c>
      <c r="R15">
        <v>950.51062674201501</v>
      </c>
      <c r="S15">
        <v>1174.39367993985</v>
      </c>
      <c r="T15">
        <v>735.29113755666594</v>
      </c>
      <c r="U15">
        <v>1376.5355734389</v>
      </c>
      <c r="V15">
        <v>1451.01664925301</v>
      </c>
      <c r="W15">
        <v>1412.87813813303</v>
      </c>
      <c r="X15">
        <v>1372.6591474775</v>
      </c>
      <c r="Y15">
        <v>1362.80957000938</v>
      </c>
      <c r="Z15">
        <v>1256.41723186336</v>
      </c>
      <c r="AA15">
        <v>1104.62249662366</v>
      </c>
      <c r="AB15">
        <v>1024.0700816675601</v>
      </c>
    </row>
    <row r="16" spans="1:28" x14ac:dyDescent="0.2">
      <c r="A16">
        <v>1000</v>
      </c>
      <c r="B16">
        <v>5000</v>
      </c>
      <c r="C16">
        <v>1.2569652870669401</v>
      </c>
      <c r="D16">
        <v>0</v>
      </c>
      <c r="E16">
        <v>1061.9547456861701</v>
      </c>
      <c r="F16">
        <v>1057.01531538058</v>
      </c>
      <c r="G16">
        <v>1056.5344660380099</v>
      </c>
      <c r="H16">
        <v>1054.2480129088799</v>
      </c>
      <c r="I16">
        <v>1065.1735942124899</v>
      </c>
      <c r="J16">
        <v>1066.62137196361</v>
      </c>
      <c r="K16">
        <v>1055.70989788047</v>
      </c>
      <c r="L16">
        <v>1075.9490563064901</v>
      </c>
      <c r="M16">
        <v>1061.39422143455</v>
      </c>
      <c r="N16">
        <v>1048.8422844706599</v>
      </c>
      <c r="O16">
        <v>1031.7776394167199</v>
      </c>
      <c r="P16">
        <v>892.41007604282095</v>
      </c>
      <c r="Q16">
        <v>1036.7643742803</v>
      </c>
      <c r="R16">
        <v>1055.6315409808201</v>
      </c>
      <c r="S16">
        <v>1075.42291720251</v>
      </c>
      <c r="T16">
        <v>1053.75238866578</v>
      </c>
      <c r="U16">
        <v>1068.50618375767</v>
      </c>
      <c r="V16">
        <v>1096.3091888578299</v>
      </c>
      <c r="W16">
        <v>1084.2852296906699</v>
      </c>
      <c r="X16">
        <v>1063.61524378736</v>
      </c>
      <c r="Y16">
        <v>1060.2648546497301</v>
      </c>
      <c r="Z16">
        <v>1064.7903270622101</v>
      </c>
      <c r="AA16">
        <v>1069.06094310516</v>
      </c>
      <c r="AB16">
        <v>1060.9707862104999</v>
      </c>
    </row>
    <row r="17" spans="1:28" x14ac:dyDescent="0.2">
      <c r="A17">
        <v>200</v>
      </c>
      <c r="B17">
        <v>1000</v>
      </c>
      <c r="C17">
        <v>1.2569652870669401</v>
      </c>
      <c r="D17">
        <v>0</v>
      </c>
      <c r="E17">
        <v>1008.31723665955</v>
      </c>
      <c r="F17">
        <v>972.31146794799497</v>
      </c>
      <c r="G17">
        <v>946.30938773436299</v>
      </c>
      <c r="H17">
        <v>952.64428443521399</v>
      </c>
      <c r="I17">
        <v>1019.79763293366</v>
      </c>
      <c r="J17">
        <v>1186.15757605317</v>
      </c>
      <c r="K17">
        <v>1320.8869861297701</v>
      </c>
      <c r="L17">
        <v>1256.4561113028999</v>
      </c>
      <c r="M17">
        <v>911.94096810093004</v>
      </c>
      <c r="N17">
        <v>895.77201593763596</v>
      </c>
      <c r="O17">
        <v>649.15919111066796</v>
      </c>
      <c r="P17">
        <v>93.599487195704697</v>
      </c>
      <c r="Q17">
        <v>707.63809554346005</v>
      </c>
      <c r="R17">
        <v>947.00716801181397</v>
      </c>
      <c r="S17">
        <v>1172.1914961658399</v>
      </c>
      <c r="T17">
        <v>866.38911462530905</v>
      </c>
      <c r="U17">
        <v>1331.7985006695999</v>
      </c>
      <c r="V17">
        <v>1610.3890177773401</v>
      </c>
      <c r="W17">
        <v>1458.0322194057001</v>
      </c>
      <c r="X17">
        <v>1365.72030891654</v>
      </c>
      <c r="Y17">
        <v>1296.9721081379901</v>
      </c>
      <c r="Z17">
        <v>1235.64841065566</v>
      </c>
      <c r="AA17">
        <v>1104.62194537661</v>
      </c>
      <c r="AB17">
        <v>1024.0700816675601</v>
      </c>
    </row>
    <row r="18" spans="1:28" x14ac:dyDescent="0.2">
      <c r="A18">
        <v>1000</v>
      </c>
      <c r="B18">
        <v>5000</v>
      </c>
      <c r="C18">
        <v>1.2569652870669401</v>
      </c>
      <c r="D18">
        <v>0</v>
      </c>
      <c r="E18">
        <v>1055.9527585395599</v>
      </c>
      <c r="F18">
        <v>1054.3526764026799</v>
      </c>
      <c r="G18">
        <v>1057.17438894263</v>
      </c>
      <c r="H18">
        <v>1057.10395729928</v>
      </c>
      <c r="I18">
        <v>1067.07109107879</v>
      </c>
      <c r="J18">
        <v>1059.92658595582</v>
      </c>
      <c r="K18">
        <v>1055.8985404841001</v>
      </c>
      <c r="L18">
        <v>1076.0123644422699</v>
      </c>
      <c r="M18">
        <v>1049.32943544664</v>
      </c>
      <c r="N18">
        <v>1050.0666968150699</v>
      </c>
      <c r="O18">
        <v>1030.4556846372</v>
      </c>
      <c r="P18">
        <v>885.533141208762</v>
      </c>
      <c r="Q18">
        <v>1035.5450323463799</v>
      </c>
      <c r="R18">
        <v>1061.64263244938</v>
      </c>
      <c r="S18">
        <v>1074.1558755297201</v>
      </c>
      <c r="T18">
        <v>1054.4262683828999</v>
      </c>
      <c r="U18">
        <v>1068.8182051977201</v>
      </c>
      <c r="V18">
        <v>1096.50067148014</v>
      </c>
      <c r="W18">
        <v>1084.4750531976199</v>
      </c>
      <c r="X18">
        <v>1063.8048259263401</v>
      </c>
      <c r="Y18">
        <v>1053.5231050587599</v>
      </c>
      <c r="Z18">
        <v>1064.9784049981199</v>
      </c>
      <c r="AA18">
        <v>1062.38463820467</v>
      </c>
      <c r="AB18">
        <v>1062.8769389838001</v>
      </c>
    </row>
    <row r="19" spans="1:28" x14ac:dyDescent="0.2">
      <c r="A19">
        <v>1000</v>
      </c>
      <c r="B19">
        <v>5000</v>
      </c>
      <c r="C19">
        <v>1.2569652870669401</v>
      </c>
      <c r="D19">
        <v>0</v>
      </c>
      <c r="E19">
        <v>1055.9527585395599</v>
      </c>
      <c r="F19">
        <v>1054.3526764026799</v>
      </c>
      <c r="G19">
        <v>1057.17438894263</v>
      </c>
      <c r="H19">
        <v>1057.10395729928</v>
      </c>
      <c r="I19">
        <v>1067.07109107879</v>
      </c>
      <c r="J19">
        <v>1059.92658595582</v>
      </c>
      <c r="K19">
        <v>1055.8985404841001</v>
      </c>
      <c r="L19">
        <v>1076.0123644422699</v>
      </c>
      <c r="M19">
        <v>1049.32943544664</v>
      </c>
      <c r="N19">
        <v>1050.0666968150699</v>
      </c>
      <c r="O19">
        <v>1030.4556846372</v>
      </c>
      <c r="P19">
        <v>885.533141208762</v>
      </c>
      <c r="Q19">
        <v>1035.5450323463799</v>
      </c>
      <c r="R19">
        <v>1061.64263244938</v>
      </c>
      <c r="S19">
        <v>1074.1558755297201</v>
      </c>
      <c r="T19">
        <v>1054.4262683828999</v>
      </c>
      <c r="U19">
        <v>1068.8182051977201</v>
      </c>
      <c r="V19">
        <v>1096.50067148014</v>
      </c>
      <c r="W19">
        <v>1084.4750531976199</v>
      </c>
      <c r="X19">
        <v>1063.8048259263401</v>
      </c>
      <c r="Y19">
        <v>1053.5231050587599</v>
      </c>
      <c r="Z19">
        <v>1064.9784049981199</v>
      </c>
      <c r="AA19">
        <v>1062.38463820467</v>
      </c>
      <c r="AB19">
        <v>1062.8769389838001</v>
      </c>
    </row>
    <row r="20" spans="1:28" x14ac:dyDescent="0.2">
      <c r="A20">
        <v>200</v>
      </c>
      <c r="B20">
        <v>1000</v>
      </c>
      <c r="C20">
        <v>1.51330525616467</v>
      </c>
      <c r="D20">
        <v>-406.85061137001099</v>
      </c>
      <c r="E20">
        <v>1008.31723665955</v>
      </c>
      <c r="F20">
        <v>972.31146794799497</v>
      </c>
      <c r="G20">
        <v>946.30938773436299</v>
      </c>
      <c r="H20">
        <v>952.64428443521399</v>
      </c>
      <c r="I20">
        <v>1019.79763293366</v>
      </c>
      <c r="J20">
        <v>1186.15757605317</v>
      </c>
      <c r="K20">
        <v>1300.31494252469</v>
      </c>
      <c r="L20">
        <v>1184.6196345338301</v>
      </c>
      <c r="M20">
        <v>632.94566378407399</v>
      </c>
      <c r="N20">
        <v>623.30066260961803</v>
      </c>
      <c r="O20">
        <v>269.633685480042</v>
      </c>
      <c r="P20">
        <v>-406.85061137001099</v>
      </c>
      <c r="Q20">
        <v>326.11033312025302</v>
      </c>
      <c r="R20">
        <v>647.67771413541095</v>
      </c>
      <c r="S20">
        <v>933.90918310227596</v>
      </c>
      <c r="T20">
        <v>579.01900833371803</v>
      </c>
      <c r="U20">
        <v>1240.3855176946799</v>
      </c>
      <c r="V20">
        <v>1599.2310054821601</v>
      </c>
      <c r="W20">
        <v>1468.43250092372</v>
      </c>
      <c r="X20">
        <v>1376.13955544184</v>
      </c>
      <c r="Y20">
        <v>1276.13609585568</v>
      </c>
      <c r="Z20">
        <v>1204.45695762423</v>
      </c>
      <c r="AA20">
        <v>1104.62112184432</v>
      </c>
      <c r="AB20">
        <v>1024.0700816675501</v>
      </c>
    </row>
    <row r="21" spans="1:28" x14ac:dyDescent="0.2">
      <c r="A21">
        <v>1000</v>
      </c>
      <c r="B21">
        <v>5000</v>
      </c>
      <c r="C21">
        <v>1.51330525616467</v>
      </c>
      <c r="D21">
        <v>0</v>
      </c>
      <c r="E21">
        <v>963.38680339171799</v>
      </c>
      <c r="F21">
        <v>967.03742838049197</v>
      </c>
      <c r="G21">
        <v>965.51872163782798</v>
      </c>
      <c r="H21">
        <v>964.89848501622396</v>
      </c>
      <c r="I21">
        <v>966.34922737730005</v>
      </c>
      <c r="J21">
        <v>960.45302927600198</v>
      </c>
      <c r="K21">
        <v>953.84977280185399</v>
      </c>
      <c r="L21">
        <v>962.39006305893304</v>
      </c>
      <c r="M21">
        <v>943.77516389546497</v>
      </c>
      <c r="N21">
        <v>913.75167752766504</v>
      </c>
      <c r="O21">
        <v>901.67354574101205</v>
      </c>
      <c r="P21">
        <v>371.84084193857001</v>
      </c>
      <c r="Q21">
        <v>904.37520730578103</v>
      </c>
      <c r="R21">
        <v>963.05283475557701</v>
      </c>
      <c r="S21">
        <v>965.15601721338305</v>
      </c>
      <c r="T21">
        <v>923.19336857227302</v>
      </c>
      <c r="U21">
        <v>957.78816768776505</v>
      </c>
      <c r="V21">
        <v>990.209293237579</v>
      </c>
      <c r="W21">
        <v>976.95731505206095</v>
      </c>
      <c r="X21">
        <v>956.34362662080696</v>
      </c>
      <c r="Y21">
        <v>956.745660044592</v>
      </c>
      <c r="Z21">
        <v>956.08036666417502</v>
      </c>
      <c r="AA21">
        <v>958.54362296593604</v>
      </c>
      <c r="AB21">
        <v>961.23510805738101</v>
      </c>
    </row>
    <row r="22" spans="1:28" x14ac:dyDescent="0.2">
      <c r="A22">
        <v>1000</v>
      </c>
      <c r="B22">
        <v>5000</v>
      </c>
      <c r="C22">
        <v>1.51330525616467</v>
      </c>
      <c r="D22">
        <v>0</v>
      </c>
      <c r="E22">
        <v>963.38680339171799</v>
      </c>
      <c r="F22">
        <v>967.03742838049197</v>
      </c>
      <c r="G22">
        <v>965.51872163782798</v>
      </c>
      <c r="H22">
        <v>964.89848501622396</v>
      </c>
      <c r="I22">
        <v>966.34922737730005</v>
      </c>
      <c r="J22">
        <v>960.45302927600198</v>
      </c>
      <c r="K22">
        <v>953.84977280185399</v>
      </c>
      <c r="L22">
        <v>962.39006305893304</v>
      </c>
      <c r="M22">
        <v>943.77516389546497</v>
      </c>
      <c r="N22">
        <v>913.75167752766504</v>
      </c>
      <c r="O22">
        <v>901.67354574101205</v>
      </c>
      <c r="P22">
        <v>371.84084193857001</v>
      </c>
      <c r="Q22">
        <v>904.37520730578103</v>
      </c>
      <c r="R22">
        <v>963.05283475557701</v>
      </c>
      <c r="S22">
        <v>965.15601721338305</v>
      </c>
      <c r="T22">
        <v>923.19336857227302</v>
      </c>
      <c r="U22">
        <v>957.78816768776505</v>
      </c>
      <c r="V22">
        <v>990.209293237579</v>
      </c>
      <c r="W22">
        <v>976.95731505206095</v>
      </c>
      <c r="X22">
        <v>956.34362662080696</v>
      </c>
      <c r="Y22">
        <v>956.745660044592</v>
      </c>
      <c r="Z22">
        <v>956.08036666417502</v>
      </c>
      <c r="AA22">
        <v>958.54362296593604</v>
      </c>
      <c r="AB22">
        <v>961.23510805738101</v>
      </c>
    </row>
    <row r="23" spans="1:28" x14ac:dyDescent="0.2">
      <c r="A23">
        <v>200</v>
      </c>
      <c r="B23">
        <v>1000</v>
      </c>
      <c r="C23">
        <v>1.51330525616467</v>
      </c>
      <c r="D23">
        <v>-406.85061137001099</v>
      </c>
      <c r="E23">
        <v>1008.31723665955</v>
      </c>
      <c r="F23">
        <v>972.31146794799497</v>
      </c>
      <c r="G23">
        <v>946.30938773436299</v>
      </c>
      <c r="H23">
        <v>952.64428443521399</v>
      </c>
      <c r="I23">
        <v>1019.79763293366</v>
      </c>
      <c r="J23">
        <v>1186.15757605317</v>
      </c>
      <c r="K23">
        <v>1300.31494252469</v>
      </c>
      <c r="L23">
        <v>1184.6196345338301</v>
      </c>
      <c r="M23">
        <v>632.94566378407399</v>
      </c>
      <c r="N23">
        <v>623.30066260961803</v>
      </c>
      <c r="O23">
        <v>269.633685480042</v>
      </c>
      <c r="P23">
        <v>-406.85061137001099</v>
      </c>
      <c r="Q23">
        <v>326.11033312025302</v>
      </c>
      <c r="R23">
        <v>647.67771413541095</v>
      </c>
      <c r="S23">
        <v>933.90918310227596</v>
      </c>
      <c r="T23">
        <v>579.01900833371803</v>
      </c>
      <c r="U23">
        <v>1240.3855176946799</v>
      </c>
      <c r="V23">
        <v>1599.2310054821601</v>
      </c>
      <c r="W23">
        <v>1468.43250092372</v>
      </c>
      <c r="X23">
        <v>1376.13955544184</v>
      </c>
      <c r="Y23">
        <v>1276.13609585568</v>
      </c>
      <c r="Z23">
        <v>1204.45695762423</v>
      </c>
      <c r="AA23">
        <v>1104.62112184432</v>
      </c>
      <c r="AB23">
        <v>1024.0700816675501</v>
      </c>
    </row>
    <row r="24" spans="1:28" x14ac:dyDescent="0.2">
      <c r="A24">
        <v>1000</v>
      </c>
      <c r="B24">
        <v>1000</v>
      </c>
      <c r="C24">
        <v>1.51330525616467</v>
      </c>
      <c r="D24">
        <v>0</v>
      </c>
      <c r="E24">
        <v>1008.31723665955</v>
      </c>
      <c r="F24">
        <v>972.31146794799497</v>
      </c>
      <c r="G24">
        <v>946.30938773436299</v>
      </c>
      <c r="H24">
        <v>952.64428443521399</v>
      </c>
      <c r="I24">
        <v>1019.79763293366</v>
      </c>
      <c r="J24">
        <v>1186.15757605317</v>
      </c>
      <c r="K24">
        <v>1346.58171431152</v>
      </c>
      <c r="L24">
        <v>1184.6210224796</v>
      </c>
      <c r="M24">
        <v>534.048302229981</v>
      </c>
      <c r="N24">
        <v>477.09087383779001</v>
      </c>
      <c r="O24">
        <v>221.75020701522101</v>
      </c>
      <c r="P24">
        <v>125.893028357151</v>
      </c>
      <c r="Q24">
        <v>225.794347976556</v>
      </c>
      <c r="R24">
        <v>648.38623674825305</v>
      </c>
      <c r="S24">
        <v>933.89129422510598</v>
      </c>
      <c r="T24">
        <v>426.83081862370699</v>
      </c>
      <c r="U24">
        <v>1341.81268582537</v>
      </c>
      <c r="V24">
        <v>1420.7262834483599</v>
      </c>
      <c r="W24">
        <v>1393.7537802079501</v>
      </c>
      <c r="X24">
        <v>1353.55035691434</v>
      </c>
      <c r="Y24">
        <v>1348.9637784490001</v>
      </c>
      <c r="Z24">
        <v>1256.4172317883699</v>
      </c>
      <c r="AA24">
        <v>1104.62249662366</v>
      </c>
      <c r="AB24">
        <v>1024.0700816675601</v>
      </c>
    </row>
    <row r="25" spans="1:28" x14ac:dyDescent="0.2">
      <c r="A25">
        <v>1000</v>
      </c>
      <c r="B25">
        <v>5000</v>
      </c>
      <c r="C25">
        <v>1.51330525616467</v>
      </c>
      <c r="D25">
        <v>0</v>
      </c>
      <c r="E25">
        <v>963.38680339171799</v>
      </c>
      <c r="F25">
        <v>967.03742838049197</v>
      </c>
      <c r="G25">
        <v>965.51872163782798</v>
      </c>
      <c r="H25">
        <v>964.89848501622396</v>
      </c>
      <c r="I25">
        <v>966.34922737730005</v>
      </c>
      <c r="J25">
        <v>960.45302927600198</v>
      </c>
      <c r="K25">
        <v>953.84977280185399</v>
      </c>
      <c r="L25">
        <v>962.39006305893304</v>
      </c>
      <c r="M25">
        <v>943.77516389546497</v>
      </c>
      <c r="N25">
        <v>913.75167752766504</v>
      </c>
      <c r="O25">
        <v>901.67354574101205</v>
      </c>
      <c r="P25">
        <v>371.84084193857001</v>
      </c>
      <c r="Q25">
        <v>904.37520730578103</v>
      </c>
      <c r="R25">
        <v>963.05283475557701</v>
      </c>
      <c r="S25">
        <v>965.15601721338305</v>
      </c>
      <c r="T25">
        <v>923.19336857227302</v>
      </c>
      <c r="U25">
        <v>957.78816768776505</v>
      </c>
      <c r="V25">
        <v>990.209293237579</v>
      </c>
      <c r="W25">
        <v>976.95731505206095</v>
      </c>
      <c r="X25">
        <v>956.34362662080696</v>
      </c>
      <c r="Y25">
        <v>956.745660044592</v>
      </c>
      <c r="Z25">
        <v>956.08036666417502</v>
      </c>
      <c r="AA25">
        <v>958.54362296593604</v>
      </c>
      <c r="AB25">
        <v>961.23510805738101</v>
      </c>
    </row>
    <row r="26" spans="1:28" x14ac:dyDescent="0.2">
      <c r="A26">
        <v>0</v>
      </c>
      <c r="B26">
        <v>0</v>
      </c>
      <c r="C26" s="164">
        <v>0</v>
      </c>
      <c r="D26">
        <v>0</v>
      </c>
      <c r="E26">
        <v>1008.31723665955</v>
      </c>
      <c r="F26">
        <v>972.31146794799497</v>
      </c>
      <c r="G26">
        <v>946.30938773436299</v>
      </c>
      <c r="H26">
        <v>952.64428443521399</v>
      </c>
      <c r="I26">
        <v>1019.79763293366</v>
      </c>
      <c r="J26">
        <v>1186.15757605317</v>
      </c>
      <c r="K26">
        <v>1454.0945116481901</v>
      </c>
      <c r="L26">
        <v>1728.2195202284699</v>
      </c>
      <c r="M26">
        <v>1995.60679116549</v>
      </c>
      <c r="N26">
        <v>2175.7902705525498</v>
      </c>
      <c r="O26">
        <v>2315.3385893007098</v>
      </c>
      <c r="P26">
        <v>2373.2247921589901</v>
      </c>
      <c r="Q26">
        <v>2383.8056094580602</v>
      </c>
      <c r="R26">
        <v>2412.5186237735802</v>
      </c>
      <c r="S26">
        <v>2350.9511459445898</v>
      </c>
      <c r="T26">
        <v>2222.5107355260998</v>
      </c>
      <c r="U26">
        <v>2067.13555751273</v>
      </c>
      <c r="V26">
        <v>1856.8034599591399</v>
      </c>
      <c r="W26">
        <v>1659.1116166904601</v>
      </c>
      <c r="X26">
        <v>1567.1541648684299</v>
      </c>
      <c r="Y26">
        <v>1431.8724136163901</v>
      </c>
      <c r="Z26">
        <v>1256.417232241</v>
      </c>
      <c r="AA26">
        <v>1104.62249662369</v>
      </c>
      <c r="AB26">
        <v>1024.0700816675601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26"/>
  <sheetViews>
    <sheetView workbookViewId="0">
      <selection sqref="A1:XFD1"/>
    </sheetView>
  </sheetViews>
  <sheetFormatPr baseColWidth="10" defaultRowHeight="16" x14ac:dyDescent="0.2"/>
  <sheetData>
    <row r="1" spans="1:28" x14ac:dyDescent="0.2">
      <c r="A1" s="79">
        <v>0</v>
      </c>
      <c r="B1" s="79">
        <v>0</v>
      </c>
      <c r="C1" s="118">
        <v>0.76452271500000002</v>
      </c>
      <c r="D1" s="117">
        <v>0</v>
      </c>
      <c r="E1">
        <v>982.66298710000001</v>
      </c>
      <c r="F1">
        <v>948.83988250000004</v>
      </c>
      <c r="G1">
        <v>933.05659879999996</v>
      </c>
      <c r="H1">
        <v>953.58556510000005</v>
      </c>
      <c r="I1">
        <v>1007.234717</v>
      </c>
      <c r="J1">
        <v>1148.740681</v>
      </c>
      <c r="K1">
        <v>1339.6201900000001</v>
      </c>
      <c r="L1">
        <v>1370.603044</v>
      </c>
      <c r="M1">
        <v>1036.9880430000001</v>
      </c>
      <c r="N1">
        <v>754.28766329999996</v>
      </c>
      <c r="O1">
        <v>585.44788249999999</v>
      </c>
      <c r="P1">
        <v>503.7983898</v>
      </c>
      <c r="Q1">
        <v>480.381283</v>
      </c>
      <c r="R1">
        <v>586.70995640000001</v>
      </c>
      <c r="S1">
        <v>727.94317699999999</v>
      </c>
      <c r="T1">
        <v>879.22645709999995</v>
      </c>
      <c r="U1">
        <v>1155.5413289999999</v>
      </c>
      <c r="V1">
        <v>1392.283666</v>
      </c>
      <c r="W1">
        <v>1495.5180580000001</v>
      </c>
      <c r="X1">
        <v>1462.867029</v>
      </c>
      <c r="Y1">
        <v>1396.37528</v>
      </c>
      <c r="Z1">
        <v>1262.6401940000001</v>
      </c>
      <c r="AA1">
        <v>1127.8888460000001</v>
      </c>
      <c r="AB1">
        <v>1035.0604229999999</v>
      </c>
    </row>
    <row r="2" spans="1:28" x14ac:dyDescent="0.2">
      <c r="A2">
        <v>200</v>
      </c>
      <c r="B2">
        <v>1000</v>
      </c>
      <c r="C2" s="118">
        <v>0.86346094853972499</v>
      </c>
      <c r="D2" s="117">
        <v>0</v>
      </c>
      <c r="E2">
        <v>982.66298713646404</v>
      </c>
      <c r="F2">
        <v>948.83988246536501</v>
      </c>
      <c r="G2">
        <v>933.05659879254995</v>
      </c>
      <c r="H2">
        <v>953.58556509864695</v>
      </c>
      <c r="I2">
        <v>1007.2347168804801</v>
      </c>
      <c r="J2">
        <v>1148.7406813977</v>
      </c>
      <c r="K2">
        <v>1207.3151211638899</v>
      </c>
      <c r="L2">
        <v>1216.3251977121299</v>
      </c>
      <c r="M2">
        <v>937.407788985563</v>
      </c>
      <c r="N2">
        <v>702.79258843391403</v>
      </c>
      <c r="O2">
        <v>591.59753636124401</v>
      </c>
      <c r="P2">
        <v>487.63196173841902</v>
      </c>
      <c r="Q2">
        <v>456.34897988919403</v>
      </c>
      <c r="R2">
        <v>568.497955374399</v>
      </c>
      <c r="S2">
        <v>653.192717117092</v>
      </c>
      <c r="T2">
        <v>716.92826520948302</v>
      </c>
      <c r="U2">
        <v>1042.4761371849399</v>
      </c>
      <c r="V2">
        <v>1212.49644392205</v>
      </c>
      <c r="W2">
        <v>1291.01936451494</v>
      </c>
      <c r="X2">
        <v>1267.41202530243</v>
      </c>
      <c r="Y2">
        <v>1200.68683886033</v>
      </c>
      <c r="Z2">
        <v>1203.9838088788599</v>
      </c>
      <c r="AA2">
        <v>1127.8871426972901</v>
      </c>
      <c r="AB2">
        <v>1035.0604226318401</v>
      </c>
    </row>
    <row r="3" spans="1:28" x14ac:dyDescent="0.2">
      <c r="A3">
        <v>1000</v>
      </c>
      <c r="B3">
        <v>1000</v>
      </c>
      <c r="C3" s="118">
        <v>0.86346094853972499</v>
      </c>
      <c r="D3" s="117">
        <v>0</v>
      </c>
      <c r="E3">
        <v>982.66298713646404</v>
      </c>
      <c r="F3">
        <v>948.83988246536501</v>
      </c>
      <c r="G3">
        <v>933.05659879254995</v>
      </c>
      <c r="H3">
        <v>953.58556509864695</v>
      </c>
      <c r="I3">
        <v>1007.2347168804801</v>
      </c>
      <c r="J3">
        <v>1148.7406813977</v>
      </c>
      <c r="K3">
        <v>1207.32360381436</v>
      </c>
      <c r="L3">
        <v>1216.3263010908699</v>
      </c>
      <c r="M3">
        <v>937.40778882095003</v>
      </c>
      <c r="N3">
        <v>602.08262214275805</v>
      </c>
      <c r="O3">
        <v>601.69184072822702</v>
      </c>
      <c r="P3">
        <v>548.188380304117</v>
      </c>
      <c r="Q3">
        <v>516.87676715664998</v>
      </c>
      <c r="R3">
        <v>578.58979096121402</v>
      </c>
      <c r="S3">
        <v>612.95633308899505</v>
      </c>
      <c r="T3">
        <v>716.925493192148</v>
      </c>
      <c r="U3">
        <v>1042.4761342633601</v>
      </c>
      <c r="V3">
        <v>1212.5036051055899</v>
      </c>
      <c r="W3">
        <v>1291.0148117210299</v>
      </c>
      <c r="X3">
        <v>1267.4094406582699</v>
      </c>
      <c r="Y3">
        <v>1200.68573225047</v>
      </c>
      <c r="Z3">
        <v>1203.97377880768</v>
      </c>
      <c r="AA3">
        <v>1127.88714426295</v>
      </c>
      <c r="AB3">
        <v>1035.0604226319799</v>
      </c>
    </row>
    <row r="4" spans="1:28" x14ac:dyDescent="0.2">
      <c r="A4">
        <v>1000</v>
      </c>
      <c r="B4">
        <v>5000</v>
      </c>
      <c r="C4" s="118">
        <v>0.86346094853972499</v>
      </c>
      <c r="D4" s="117">
        <v>0</v>
      </c>
      <c r="E4">
        <v>951.92367191385904</v>
      </c>
      <c r="F4">
        <v>956.73354791288102</v>
      </c>
      <c r="G4">
        <v>952.46338412063903</v>
      </c>
      <c r="H4">
        <v>954.53929757504295</v>
      </c>
      <c r="I4">
        <v>951.51534604915605</v>
      </c>
      <c r="J4">
        <v>949.809211883692</v>
      </c>
      <c r="K4">
        <v>948.39152591872096</v>
      </c>
      <c r="L4">
        <v>953.008312557252</v>
      </c>
      <c r="M4">
        <v>956.40740080735497</v>
      </c>
      <c r="N4">
        <v>954.95618728268403</v>
      </c>
      <c r="O4">
        <v>958.24453339961701</v>
      </c>
      <c r="P4">
        <v>933.75868033522204</v>
      </c>
      <c r="Q4">
        <v>915.81648126924301</v>
      </c>
      <c r="R4">
        <v>945.10282115289101</v>
      </c>
      <c r="S4">
        <v>961.48101409357901</v>
      </c>
      <c r="T4">
        <v>954.31524071336798</v>
      </c>
      <c r="U4">
        <v>950.14224443519799</v>
      </c>
      <c r="V4">
        <v>949.60938913262396</v>
      </c>
      <c r="W4">
        <v>989.589467556611</v>
      </c>
      <c r="X4">
        <v>974.808055155739</v>
      </c>
      <c r="Y4">
        <v>941.21287990181395</v>
      </c>
      <c r="Z4">
        <v>945.51144184715804</v>
      </c>
      <c r="AA4">
        <v>949.79277553343195</v>
      </c>
      <c r="AB4">
        <v>951.11781288693601</v>
      </c>
    </row>
    <row r="5" spans="1:28" x14ac:dyDescent="0.2">
      <c r="A5">
        <v>200</v>
      </c>
      <c r="B5">
        <v>1000</v>
      </c>
      <c r="C5" s="118">
        <v>1.0883205705552701</v>
      </c>
      <c r="D5" s="117">
        <v>-31.204312936773999</v>
      </c>
      <c r="E5">
        <v>982.66298713646404</v>
      </c>
      <c r="F5">
        <v>948.83988246536501</v>
      </c>
      <c r="G5">
        <v>933.05659879254995</v>
      </c>
      <c r="H5">
        <v>953.58556509864695</v>
      </c>
      <c r="I5">
        <v>1007.2347168804801</v>
      </c>
      <c r="J5">
        <v>1131.61830363221</v>
      </c>
      <c r="K5">
        <v>1178.4254259152599</v>
      </c>
      <c r="L5">
        <v>1162.1510368736101</v>
      </c>
      <c r="M5">
        <v>715.19070240150495</v>
      </c>
      <c r="N5">
        <v>365.55133906398498</v>
      </c>
      <c r="O5">
        <v>136.98910959260101</v>
      </c>
      <c r="P5">
        <v>17.5605907374607</v>
      </c>
      <c r="Q5">
        <v>-31.204312936773999</v>
      </c>
      <c r="R5">
        <v>77.605152388875595</v>
      </c>
      <c r="S5">
        <v>284.85930820618</v>
      </c>
      <c r="T5">
        <v>359.20097909588901</v>
      </c>
      <c r="U5">
        <v>788.52381705438995</v>
      </c>
      <c r="V5">
        <v>1168.1756694026301</v>
      </c>
      <c r="W5">
        <v>1269.42850116711</v>
      </c>
      <c r="X5">
        <v>1267.6567732877199</v>
      </c>
      <c r="Y5">
        <v>1200.9326096607001</v>
      </c>
      <c r="Z5">
        <v>1164.7909610374099</v>
      </c>
      <c r="AA5">
        <v>1110.7560523059601</v>
      </c>
      <c r="AB5">
        <v>1035.0600420441399</v>
      </c>
    </row>
    <row r="6" spans="1:28" x14ac:dyDescent="0.2">
      <c r="A6">
        <v>1000</v>
      </c>
      <c r="B6">
        <v>1000</v>
      </c>
      <c r="C6" s="118">
        <v>1.0883205705552701</v>
      </c>
      <c r="D6" s="117">
        <v>0</v>
      </c>
      <c r="E6">
        <v>982.66298713646404</v>
      </c>
      <c r="F6">
        <v>948.83988246536501</v>
      </c>
      <c r="G6">
        <v>933.05659879254995</v>
      </c>
      <c r="H6">
        <v>953.58556509864695</v>
      </c>
      <c r="I6">
        <v>1007.2347168804801</v>
      </c>
      <c r="J6">
        <v>1148.7406813977</v>
      </c>
      <c r="K6">
        <v>1180.8887404975901</v>
      </c>
      <c r="L6">
        <v>1164.5890892254099</v>
      </c>
      <c r="M6">
        <v>715.19081038908996</v>
      </c>
      <c r="N6">
        <v>262.67702543333297</v>
      </c>
      <c r="O6">
        <v>143.913257026157</v>
      </c>
      <c r="P6">
        <v>108.771949958912</v>
      </c>
      <c r="Q6">
        <v>59.895696035404796</v>
      </c>
      <c r="R6">
        <v>133.16966698885801</v>
      </c>
      <c r="S6">
        <v>143.54755638635899</v>
      </c>
      <c r="T6">
        <v>359.19494024758302</v>
      </c>
      <c r="U6">
        <v>788.52381815244996</v>
      </c>
      <c r="V6">
        <v>1170.5734778747401</v>
      </c>
      <c r="W6">
        <v>1254.72426552602</v>
      </c>
      <c r="X6">
        <v>1252.92117045804</v>
      </c>
      <c r="Y6">
        <v>1186.18025283358</v>
      </c>
      <c r="Z6">
        <v>1167.23450863331</v>
      </c>
      <c r="AA6">
        <v>1127.8860871559</v>
      </c>
      <c r="AB6">
        <v>1035.06042254929</v>
      </c>
    </row>
    <row r="7" spans="1:28" x14ac:dyDescent="0.2">
      <c r="A7">
        <v>1000</v>
      </c>
      <c r="B7">
        <v>5000</v>
      </c>
      <c r="C7" s="118">
        <v>1.0883205705552701</v>
      </c>
      <c r="D7" s="117">
        <v>0</v>
      </c>
      <c r="E7">
        <v>817.39526835610502</v>
      </c>
      <c r="F7">
        <v>809.53213621210705</v>
      </c>
      <c r="G7">
        <v>815.94713954298004</v>
      </c>
      <c r="H7">
        <v>814.18512005180605</v>
      </c>
      <c r="I7">
        <v>813.84642863303998</v>
      </c>
      <c r="J7">
        <v>806.12524224019899</v>
      </c>
      <c r="K7">
        <v>822.169158881729</v>
      </c>
      <c r="L7">
        <v>806.39387264000504</v>
      </c>
      <c r="M7">
        <v>765.68567053512504</v>
      </c>
      <c r="N7">
        <v>759.33867252453297</v>
      </c>
      <c r="O7">
        <v>746.80055794167197</v>
      </c>
      <c r="P7">
        <v>711.39612083434997</v>
      </c>
      <c r="Q7">
        <v>661.10691589392002</v>
      </c>
      <c r="R7">
        <v>732.22168266405902</v>
      </c>
      <c r="S7">
        <v>748.46354725778997</v>
      </c>
      <c r="T7">
        <v>748.331071760589</v>
      </c>
      <c r="U7">
        <v>783.14648813658505</v>
      </c>
      <c r="V7">
        <v>809.84776410873303</v>
      </c>
      <c r="W7">
        <v>895.74404343229503</v>
      </c>
      <c r="X7">
        <v>893.97875918892396</v>
      </c>
      <c r="Y7">
        <v>826.83507424883396</v>
      </c>
      <c r="Z7">
        <v>808.85862129375801</v>
      </c>
      <c r="AA7">
        <v>811.20878706562303</v>
      </c>
      <c r="AB7">
        <v>810.50425621018303</v>
      </c>
    </row>
    <row r="8" spans="1:28" x14ac:dyDescent="0.2">
      <c r="A8">
        <v>200</v>
      </c>
      <c r="B8">
        <v>1000</v>
      </c>
      <c r="C8" s="118">
        <v>1.1063093403165201</v>
      </c>
      <c r="D8" s="117">
        <v>-94.214056869336304</v>
      </c>
      <c r="E8">
        <v>982.66298713646404</v>
      </c>
      <c r="F8">
        <v>948.83988246536501</v>
      </c>
      <c r="G8">
        <v>933.05659879254995</v>
      </c>
      <c r="H8">
        <v>953.58556509864695</v>
      </c>
      <c r="I8">
        <v>1007.2347168804801</v>
      </c>
      <c r="J8">
        <v>1131.61830363221</v>
      </c>
      <c r="K8">
        <v>1177.4716022617199</v>
      </c>
      <c r="L8">
        <v>1157.1503241396899</v>
      </c>
      <c r="M8">
        <v>696.95373340943399</v>
      </c>
      <c r="N8">
        <v>337.95604196220899</v>
      </c>
      <c r="O8">
        <v>102.300939347466</v>
      </c>
      <c r="P8">
        <v>-21.867864875876599</v>
      </c>
      <c r="Q8">
        <v>-72.346191993459598</v>
      </c>
      <c r="R8">
        <v>35.997476782074997</v>
      </c>
      <c r="S8">
        <v>249.76116150348199</v>
      </c>
      <c r="T8">
        <v>328.52650483930199</v>
      </c>
      <c r="U8">
        <v>769.62271913076495</v>
      </c>
      <c r="V8">
        <v>1158.89273748492</v>
      </c>
      <c r="W8">
        <v>1267.6936183524399</v>
      </c>
      <c r="X8">
        <v>1267.6562727129999</v>
      </c>
      <c r="Y8">
        <v>1200.9326095840199</v>
      </c>
      <c r="Z8">
        <v>1164.7909610374099</v>
      </c>
      <c r="AA8">
        <v>1110.7560523059601</v>
      </c>
      <c r="AB8">
        <v>1035.0600420441399</v>
      </c>
    </row>
    <row r="9" spans="1:28" x14ac:dyDescent="0.2">
      <c r="A9">
        <v>1000</v>
      </c>
      <c r="B9">
        <v>1000</v>
      </c>
      <c r="C9" s="118">
        <v>1.1063093403165201</v>
      </c>
      <c r="D9" s="117">
        <v>0</v>
      </c>
      <c r="E9">
        <v>982.66298713646404</v>
      </c>
      <c r="F9">
        <v>948.83988246536501</v>
      </c>
      <c r="G9">
        <v>933.05659879254995</v>
      </c>
      <c r="H9">
        <v>953.58556509864695</v>
      </c>
      <c r="I9">
        <v>1007.2347168804801</v>
      </c>
      <c r="J9">
        <v>1148.7406813977</v>
      </c>
      <c r="K9">
        <v>1179.9354080410301</v>
      </c>
      <c r="L9">
        <v>1159.58854068951</v>
      </c>
      <c r="M9">
        <v>696.95382652246701</v>
      </c>
      <c r="N9">
        <v>235.02300885797499</v>
      </c>
      <c r="O9">
        <v>109.100494444407</v>
      </c>
      <c r="P9">
        <v>67.849486505215793</v>
      </c>
      <c r="Q9">
        <v>17.308936091277399</v>
      </c>
      <c r="R9">
        <v>92.358764229307994</v>
      </c>
      <c r="S9">
        <v>106.632546682308</v>
      </c>
      <c r="T9">
        <v>328.51711412477698</v>
      </c>
      <c r="U9">
        <v>769.62270961222498</v>
      </c>
      <c r="V9">
        <v>1161.2891507677</v>
      </c>
      <c r="W9">
        <v>1252.9845953279901</v>
      </c>
      <c r="X9">
        <v>1252.9202829700901</v>
      </c>
      <c r="Y9">
        <v>1186.1802526844699</v>
      </c>
      <c r="Z9">
        <v>1167.2345086333</v>
      </c>
      <c r="AA9">
        <v>1127.8860871559</v>
      </c>
      <c r="AB9">
        <v>1035.06042254929</v>
      </c>
    </row>
    <row r="10" spans="1:28" x14ac:dyDescent="0.2">
      <c r="A10">
        <v>1000</v>
      </c>
      <c r="B10">
        <v>5000</v>
      </c>
      <c r="C10" s="118">
        <v>1.1063093403165201</v>
      </c>
      <c r="D10" s="117">
        <v>0</v>
      </c>
      <c r="E10">
        <v>808.65603154455505</v>
      </c>
      <c r="F10">
        <v>809.43664390217896</v>
      </c>
      <c r="G10">
        <v>815.94729600076903</v>
      </c>
      <c r="H10">
        <v>814.18511956427801</v>
      </c>
      <c r="I10">
        <v>814.63351769942005</v>
      </c>
      <c r="J10">
        <v>806.91563618608404</v>
      </c>
      <c r="K10">
        <v>821.98544356927903</v>
      </c>
      <c r="L10">
        <v>802.03331878840902</v>
      </c>
      <c r="M10">
        <v>722.21530719713599</v>
      </c>
      <c r="N10">
        <v>717.68767825171994</v>
      </c>
      <c r="O10">
        <v>729.54013365567596</v>
      </c>
      <c r="P10">
        <v>685.96140899872603</v>
      </c>
      <c r="Q10">
        <v>634.85888106154903</v>
      </c>
      <c r="R10">
        <v>706.730229029616</v>
      </c>
      <c r="S10">
        <v>721.50476809004601</v>
      </c>
      <c r="T10">
        <v>727.78791850413199</v>
      </c>
      <c r="U10">
        <v>768.63936757763804</v>
      </c>
      <c r="V10">
        <v>800.24127459983004</v>
      </c>
      <c r="W10">
        <v>894.76651070813602</v>
      </c>
      <c r="X10">
        <v>894.77130388036403</v>
      </c>
      <c r="Y10">
        <v>827.62933567878997</v>
      </c>
      <c r="Z10">
        <v>809.651084520111</v>
      </c>
      <c r="AA10">
        <v>811.99856611565895</v>
      </c>
      <c r="AB10">
        <v>811.29211526429503</v>
      </c>
    </row>
    <row r="11" spans="1:28" x14ac:dyDescent="0.2">
      <c r="A11">
        <v>200</v>
      </c>
      <c r="B11">
        <v>1000</v>
      </c>
      <c r="C11" s="118">
        <v>1.2569652870669401</v>
      </c>
      <c r="D11" s="117">
        <v>-1229.02443346836</v>
      </c>
      <c r="E11">
        <v>982.66298713646404</v>
      </c>
      <c r="F11">
        <v>948.83988246536501</v>
      </c>
      <c r="G11">
        <v>933.05659879254995</v>
      </c>
      <c r="H11">
        <v>953.58556509864695</v>
      </c>
      <c r="I11">
        <v>1007.2347168804801</v>
      </c>
      <c r="J11">
        <v>1114.4809592926799</v>
      </c>
      <c r="K11">
        <v>1155.89647061299</v>
      </c>
      <c r="L11">
        <v>1147.3075610518799</v>
      </c>
      <c r="M11">
        <v>544.602750309469</v>
      </c>
      <c r="N11">
        <v>53.055290158376202</v>
      </c>
      <c r="O11">
        <v>-145.25995642600699</v>
      </c>
      <c r="P11">
        <v>-355.89973412408102</v>
      </c>
      <c r="Q11">
        <v>-418.82740940729201</v>
      </c>
      <c r="R11">
        <v>-282.065905680794</v>
      </c>
      <c r="S11">
        <v>-26.971427830187299</v>
      </c>
      <c r="T11">
        <v>81.252236027041704</v>
      </c>
      <c r="U11">
        <v>598.90938608738895</v>
      </c>
      <c r="V11">
        <v>1087.4943621788</v>
      </c>
      <c r="W11">
        <v>1256.64411599861</v>
      </c>
      <c r="X11">
        <v>1271.3372811076099</v>
      </c>
      <c r="Y11">
        <v>1204.61883573156</v>
      </c>
      <c r="Z11">
        <v>1156.4529673745401</v>
      </c>
      <c r="AA11">
        <v>1093.6120392125999</v>
      </c>
      <c r="AB11">
        <v>1035.0596625871201</v>
      </c>
    </row>
    <row r="12" spans="1:28" x14ac:dyDescent="0.2">
      <c r="A12">
        <v>1000</v>
      </c>
      <c r="B12">
        <v>1000</v>
      </c>
      <c r="C12" s="118">
        <v>1.2569652870669401</v>
      </c>
      <c r="D12" s="117">
        <v>-1178.0545286480001</v>
      </c>
      <c r="E12">
        <v>982.66298713646404</v>
      </c>
      <c r="F12">
        <v>948.83988246536501</v>
      </c>
      <c r="G12">
        <v>933.05659879254995</v>
      </c>
      <c r="H12">
        <v>953.58556509864695</v>
      </c>
      <c r="I12">
        <v>1007.2347168804801</v>
      </c>
      <c r="J12">
        <v>1148.7406813977</v>
      </c>
      <c r="K12">
        <v>1155.9074739903999</v>
      </c>
      <c r="L12">
        <v>1147.3068333721901</v>
      </c>
      <c r="M12">
        <v>544.60275298421095</v>
      </c>
      <c r="N12">
        <v>1.3676405958342801</v>
      </c>
      <c r="O12">
        <v>-227.672940226609</v>
      </c>
      <c r="P12">
        <v>-232.42393339828101</v>
      </c>
      <c r="Q12">
        <v>-295.42390425733998</v>
      </c>
      <c r="R12">
        <v>-210.08359598051601</v>
      </c>
      <c r="S12">
        <v>-212.45015478526</v>
      </c>
      <c r="T12">
        <v>81.213026043493699</v>
      </c>
      <c r="U12">
        <v>598.90936509673895</v>
      </c>
      <c r="V12">
        <v>1120.97788030529</v>
      </c>
      <c r="W12">
        <v>1222.30192327227</v>
      </c>
      <c r="X12">
        <v>1236.94656896894</v>
      </c>
      <c r="Y12">
        <v>1170.18837540033</v>
      </c>
      <c r="Z12">
        <v>1156.4436981164399</v>
      </c>
      <c r="AA12">
        <v>1127.88577826966</v>
      </c>
      <c r="AB12">
        <v>1035.06042252516</v>
      </c>
    </row>
    <row r="13" spans="1:28" x14ac:dyDescent="0.2">
      <c r="A13">
        <v>1000</v>
      </c>
      <c r="B13">
        <v>5000</v>
      </c>
      <c r="C13" s="118">
        <v>1.2569652870669401</v>
      </c>
      <c r="D13" s="117">
        <v>0</v>
      </c>
      <c r="E13">
        <v>802.89418824167205</v>
      </c>
      <c r="F13">
        <v>803.01298927791595</v>
      </c>
      <c r="G13">
        <v>802.09264077890396</v>
      </c>
      <c r="H13">
        <v>799.77786839076498</v>
      </c>
      <c r="I13">
        <v>799.41657152172502</v>
      </c>
      <c r="J13">
        <v>798.34636539241399</v>
      </c>
      <c r="K13">
        <v>804.06447369708405</v>
      </c>
      <c r="L13">
        <v>796.64922681051996</v>
      </c>
      <c r="M13">
        <v>544.56001427710203</v>
      </c>
      <c r="N13">
        <v>432.71316018944901</v>
      </c>
      <c r="O13">
        <v>421.26378406053198</v>
      </c>
      <c r="P13">
        <v>405.52026410320002</v>
      </c>
      <c r="Q13">
        <v>341.94634370256102</v>
      </c>
      <c r="R13">
        <v>421.84413358275998</v>
      </c>
      <c r="S13">
        <v>428.88533713408299</v>
      </c>
      <c r="T13">
        <v>441.56293771702502</v>
      </c>
      <c r="U13">
        <v>594.62839883162906</v>
      </c>
      <c r="V13">
        <v>798.27538309260297</v>
      </c>
      <c r="W13">
        <v>870.15906921077897</v>
      </c>
      <c r="X13">
        <v>884.92209552490203</v>
      </c>
      <c r="Y13">
        <v>817.77012668900704</v>
      </c>
      <c r="Z13">
        <v>805.045468654665</v>
      </c>
      <c r="AA13">
        <v>807.16055301890106</v>
      </c>
      <c r="AB13">
        <v>806.46583074183695</v>
      </c>
    </row>
    <row r="14" spans="1:28" x14ac:dyDescent="0.2">
      <c r="A14">
        <v>200</v>
      </c>
      <c r="B14">
        <v>1000</v>
      </c>
      <c r="C14" s="118">
        <v>1.2569652870669401</v>
      </c>
      <c r="D14" s="117">
        <v>-1235.0431993724501</v>
      </c>
      <c r="E14">
        <v>982.66298713646404</v>
      </c>
      <c r="F14">
        <v>948.83988246536501</v>
      </c>
      <c r="G14">
        <v>933.05659879254995</v>
      </c>
      <c r="H14">
        <v>953.58556509864695</v>
      </c>
      <c r="I14">
        <v>1007.2347168804801</v>
      </c>
      <c r="J14">
        <v>1114.4809592926799</v>
      </c>
      <c r="K14">
        <v>1155.89902633115</v>
      </c>
      <c r="L14">
        <v>1147.2601324273701</v>
      </c>
      <c r="M14">
        <v>544.53088171852005</v>
      </c>
      <c r="N14">
        <v>53.153865087429701</v>
      </c>
      <c r="O14">
        <v>-145.45940999787999</v>
      </c>
      <c r="P14">
        <v>-356.06826654334202</v>
      </c>
      <c r="Q14">
        <v>-419.04078314160802</v>
      </c>
      <c r="R14">
        <v>-282.77155873423601</v>
      </c>
      <c r="S14">
        <v>-31.70318095539</v>
      </c>
      <c r="T14">
        <v>81.109616017019306</v>
      </c>
      <c r="U14">
        <v>596.74994928893705</v>
      </c>
      <c r="V14">
        <v>1086.8665581611999</v>
      </c>
      <c r="W14">
        <v>1256.63397701995</v>
      </c>
      <c r="X14">
        <v>1271.3377000739199</v>
      </c>
      <c r="Y14">
        <v>1204.61883579652</v>
      </c>
      <c r="Z14">
        <v>1156.4529673745301</v>
      </c>
      <c r="AA14">
        <v>1093.6120392125999</v>
      </c>
      <c r="AB14">
        <v>1035.0596625871201</v>
      </c>
    </row>
    <row r="15" spans="1:28" x14ac:dyDescent="0.2">
      <c r="A15">
        <v>1000</v>
      </c>
      <c r="B15">
        <v>5000</v>
      </c>
      <c r="C15" s="118">
        <v>1.2569652870669401</v>
      </c>
      <c r="D15" s="117">
        <v>0</v>
      </c>
      <c r="E15">
        <v>802.89418824167205</v>
      </c>
      <c r="F15">
        <v>803.01298927791595</v>
      </c>
      <c r="G15">
        <v>802.09264077890396</v>
      </c>
      <c r="H15">
        <v>799.77786839076498</v>
      </c>
      <c r="I15">
        <v>799.41657152172502</v>
      </c>
      <c r="J15">
        <v>798.34636539241399</v>
      </c>
      <c r="K15">
        <v>804.07866162687401</v>
      </c>
      <c r="L15">
        <v>796.74506944731797</v>
      </c>
      <c r="M15">
        <v>544.48808186659596</v>
      </c>
      <c r="N15">
        <v>429.31051976774</v>
      </c>
      <c r="O15">
        <v>411.24752830637499</v>
      </c>
      <c r="P15">
        <v>396.90589362451999</v>
      </c>
      <c r="Q15">
        <v>331.88494544969399</v>
      </c>
      <c r="R15">
        <v>413.87677899670399</v>
      </c>
      <c r="S15">
        <v>419.981907755816</v>
      </c>
      <c r="T15">
        <v>431.08289827730698</v>
      </c>
      <c r="U15">
        <v>592.545809772089</v>
      </c>
      <c r="V15">
        <v>798.69535956445395</v>
      </c>
      <c r="W15">
        <v>870.16919554038702</v>
      </c>
      <c r="X15">
        <v>884.92283300357201</v>
      </c>
      <c r="Y15">
        <v>817.77012686582498</v>
      </c>
      <c r="Z15">
        <v>805.04546865468797</v>
      </c>
      <c r="AA15">
        <v>807.16055301890106</v>
      </c>
      <c r="AB15">
        <v>806.46583074183695</v>
      </c>
    </row>
    <row r="16" spans="1:28" x14ac:dyDescent="0.2">
      <c r="A16">
        <v>1000</v>
      </c>
      <c r="B16">
        <v>5000</v>
      </c>
      <c r="C16" s="118">
        <v>1.2569652870669401</v>
      </c>
      <c r="D16" s="117">
        <v>0</v>
      </c>
      <c r="E16">
        <v>802.89418824167205</v>
      </c>
      <c r="F16">
        <v>803.01298927791595</v>
      </c>
      <c r="G16">
        <v>802.09264077890396</v>
      </c>
      <c r="H16">
        <v>799.77786839076498</v>
      </c>
      <c r="I16">
        <v>799.41657152172502</v>
      </c>
      <c r="J16">
        <v>798.34636539241399</v>
      </c>
      <c r="K16">
        <v>804.07866162687401</v>
      </c>
      <c r="L16">
        <v>796.74506944731797</v>
      </c>
      <c r="M16">
        <v>544.48808186659596</v>
      </c>
      <c r="N16">
        <v>429.31051976774</v>
      </c>
      <c r="O16">
        <v>411.24752830637499</v>
      </c>
      <c r="P16">
        <v>396.90589362451999</v>
      </c>
      <c r="Q16">
        <v>331.88494544969399</v>
      </c>
      <c r="R16">
        <v>413.87677899670399</v>
      </c>
      <c r="S16">
        <v>419.981907755816</v>
      </c>
      <c r="T16">
        <v>431.08289827730698</v>
      </c>
      <c r="U16">
        <v>592.545809772089</v>
      </c>
      <c r="V16">
        <v>798.69535956445395</v>
      </c>
      <c r="W16">
        <v>870.16919554038702</v>
      </c>
      <c r="X16">
        <v>884.92283300357201</v>
      </c>
      <c r="Y16">
        <v>817.77012686582498</v>
      </c>
      <c r="Z16">
        <v>805.04546865468797</v>
      </c>
      <c r="AA16">
        <v>807.16055301890106</v>
      </c>
      <c r="AB16">
        <v>806.46583074183695</v>
      </c>
    </row>
    <row r="17" spans="1:28" x14ac:dyDescent="0.2">
      <c r="A17">
        <v>200</v>
      </c>
      <c r="B17">
        <v>1000</v>
      </c>
      <c r="C17" s="118">
        <v>1.51330525616467</v>
      </c>
      <c r="D17" s="117">
        <v>-4620.79414456827</v>
      </c>
      <c r="E17">
        <v>982.66298713646404</v>
      </c>
      <c r="F17">
        <v>948.83988246536501</v>
      </c>
      <c r="G17">
        <v>933.05659879254995</v>
      </c>
      <c r="H17">
        <v>953.58556509864695</v>
      </c>
      <c r="I17">
        <v>1007.2347168804801</v>
      </c>
      <c r="J17">
        <v>1107.6219159643299</v>
      </c>
      <c r="K17">
        <v>1125.0047686109999</v>
      </c>
      <c r="L17">
        <v>1119.34985204285</v>
      </c>
      <c r="M17">
        <v>284.85490702972203</v>
      </c>
      <c r="N17">
        <v>-396.06235028572303</v>
      </c>
      <c r="O17">
        <v>-640.68062912405401</v>
      </c>
      <c r="P17">
        <v>-894.98965998710901</v>
      </c>
      <c r="Q17">
        <v>-979.62495023296299</v>
      </c>
      <c r="R17">
        <v>-828.04902099117396</v>
      </c>
      <c r="S17">
        <v>-538.55404847625095</v>
      </c>
      <c r="T17">
        <v>-342.83348547099502</v>
      </c>
      <c r="U17">
        <v>304.525228758504</v>
      </c>
      <c r="V17">
        <v>979.163029105232</v>
      </c>
      <c r="W17">
        <v>1221.3474163073799</v>
      </c>
      <c r="X17">
        <v>1261.0251386023101</v>
      </c>
      <c r="Y17">
        <v>1194.2958048349799</v>
      </c>
      <c r="Z17">
        <v>1139.2750210239101</v>
      </c>
      <c r="AA17">
        <v>1086.74982530543</v>
      </c>
      <c r="AB17">
        <v>1035.0595110285899</v>
      </c>
    </row>
    <row r="18" spans="1:28" x14ac:dyDescent="0.2">
      <c r="A18">
        <v>1000</v>
      </c>
      <c r="B18">
        <v>5000</v>
      </c>
      <c r="C18" s="118">
        <v>1.51330525616467</v>
      </c>
      <c r="D18" s="117">
        <v>-664.11501807021398</v>
      </c>
      <c r="E18">
        <v>789.044197881782</v>
      </c>
      <c r="F18">
        <v>789.17082617331505</v>
      </c>
      <c r="G18">
        <v>788.25481006975599</v>
      </c>
      <c r="H18">
        <v>785.93356142529797</v>
      </c>
      <c r="I18">
        <v>793.11358643221399</v>
      </c>
      <c r="J18">
        <v>779.54836256758404</v>
      </c>
      <c r="K18">
        <v>774.968519915927</v>
      </c>
      <c r="L18">
        <v>792.45669907229296</v>
      </c>
      <c r="M18">
        <v>284.815647316183</v>
      </c>
      <c r="N18">
        <v>-53.601025053567199</v>
      </c>
      <c r="O18">
        <v>-70.339471453136994</v>
      </c>
      <c r="P18">
        <v>-105.311416812715</v>
      </c>
      <c r="Q18">
        <v>-191.25970491833999</v>
      </c>
      <c r="R18">
        <v>-104.517763373463</v>
      </c>
      <c r="S18">
        <v>-78.207832145587503</v>
      </c>
      <c r="T18">
        <v>-60.8778043134024</v>
      </c>
      <c r="U18">
        <v>298.451346704917</v>
      </c>
      <c r="V18">
        <v>784.925397697839</v>
      </c>
      <c r="W18">
        <v>829.66002316910999</v>
      </c>
      <c r="X18">
        <v>869.54598416208205</v>
      </c>
      <c r="Y18">
        <v>802.37829847795399</v>
      </c>
      <c r="Z18">
        <v>789.69097583924395</v>
      </c>
      <c r="AA18">
        <v>788.37939737368697</v>
      </c>
      <c r="AB18">
        <v>786.28382755552002</v>
      </c>
    </row>
    <row r="19" spans="1:28" x14ac:dyDescent="0.2">
      <c r="A19">
        <v>1000</v>
      </c>
      <c r="B19">
        <v>5000</v>
      </c>
      <c r="C19" s="118">
        <v>1.51330525616467</v>
      </c>
      <c r="D19" s="117">
        <v>-664.11501807021398</v>
      </c>
      <c r="E19">
        <v>789.044197881782</v>
      </c>
      <c r="F19">
        <v>789.17082617331505</v>
      </c>
      <c r="G19">
        <v>788.25481006975599</v>
      </c>
      <c r="H19">
        <v>785.93356142529797</v>
      </c>
      <c r="I19">
        <v>793.11358643221399</v>
      </c>
      <c r="J19">
        <v>779.54836256758404</v>
      </c>
      <c r="K19">
        <v>774.968519915927</v>
      </c>
      <c r="L19">
        <v>792.45669907229296</v>
      </c>
      <c r="M19">
        <v>284.815647316183</v>
      </c>
      <c r="N19">
        <v>-53.601025053567199</v>
      </c>
      <c r="O19">
        <v>-70.339471453136994</v>
      </c>
      <c r="P19">
        <v>-105.311416812715</v>
      </c>
      <c r="Q19">
        <v>-191.25970491833999</v>
      </c>
      <c r="R19">
        <v>-104.517763373463</v>
      </c>
      <c r="S19">
        <v>-78.207832145587503</v>
      </c>
      <c r="T19">
        <v>-60.8778043134024</v>
      </c>
      <c r="U19">
        <v>298.451346704917</v>
      </c>
      <c r="V19">
        <v>784.925397697839</v>
      </c>
      <c r="W19">
        <v>829.66002316910999</v>
      </c>
      <c r="X19">
        <v>869.54598416208205</v>
      </c>
      <c r="Y19">
        <v>802.37829847795399</v>
      </c>
      <c r="Z19">
        <v>789.69097583924395</v>
      </c>
      <c r="AA19">
        <v>788.37939737368697</v>
      </c>
      <c r="AB19">
        <v>786.28382755552002</v>
      </c>
    </row>
    <row r="20" spans="1:28" x14ac:dyDescent="0.2">
      <c r="A20">
        <v>200</v>
      </c>
      <c r="B20">
        <v>1000</v>
      </c>
      <c r="C20" s="118">
        <v>0.76452271500000002</v>
      </c>
      <c r="D20" s="117">
        <v>0</v>
      </c>
      <c r="E20">
        <v>982.66298710000001</v>
      </c>
      <c r="F20">
        <v>948.83988250000004</v>
      </c>
      <c r="G20">
        <v>933.05659879999996</v>
      </c>
      <c r="H20">
        <v>953.58556510000005</v>
      </c>
      <c r="I20">
        <v>1007.234717</v>
      </c>
      <c r="J20">
        <v>1148.740681</v>
      </c>
      <c r="K20">
        <v>1227.288761</v>
      </c>
      <c r="L20">
        <v>1217.772929</v>
      </c>
      <c r="M20">
        <v>1036.9808840000001</v>
      </c>
      <c r="N20">
        <v>838.30987809999999</v>
      </c>
      <c r="O20">
        <v>776.09236090000002</v>
      </c>
      <c r="P20">
        <v>695.3183143</v>
      </c>
      <c r="Q20">
        <v>672.33936559999995</v>
      </c>
      <c r="R20">
        <v>778.75428460000001</v>
      </c>
      <c r="S20">
        <v>852.21246010000004</v>
      </c>
      <c r="T20">
        <v>912.7665978</v>
      </c>
      <c r="U20">
        <v>1155.5441519999999</v>
      </c>
      <c r="V20">
        <v>1240.8178150000001</v>
      </c>
      <c r="W20">
        <v>1308.4670349999999</v>
      </c>
      <c r="X20">
        <v>1275.2662989999999</v>
      </c>
      <c r="Y20">
        <v>1208.550111</v>
      </c>
      <c r="Z20">
        <v>1218.6619619999999</v>
      </c>
      <c r="AA20">
        <v>1127.887567</v>
      </c>
      <c r="AB20">
        <v>1035.0604229999999</v>
      </c>
    </row>
    <row r="21" spans="1:28" x14ac:dyDescent="0.2">
      <c r="A21">
        <v>1000</v>
      </c>
      <c r="B21">
        <v>1000</v>
      </c>
      <c r="C21" s="118">
        <v>0.76452271500000002</v>
      </c>
      <c r="D21" s="117">
        <v>0</v>
      </c>
      <c r="E21">
        <v>982.66298710000001</v>
      </c>
      <c r="F21">
        <v>948.83988250000004</v>
      </c>
      <c r="G21">
        <v>933.05659879999996</v>
      </c>
      <c r="H21">
        <v>953.58556510000005</v>
      </c>
      <c r="I21">
        <v>1007.234717</v>
      </c>
      <c r="J21">
        <v>1148.740681</v>
      </c>
      <c r="K21">
        <v>1227.296697</v>
      </c>
      <c r="L21">
        <v>1217.7749389999999</v>
      </c>
      <c r="M21">
        <v>1036.9808829999999</v>
      </c>
      <c r="N21">
        <v>804.72352309999997</v>
      </c>
      <c r="O21">
        <v>776.08738300000005</v>
      </c>
      <c r="P21">
        <v>745.68157689999998</v>
      </c>
      <c r="Q21">
        <v>722.66693740000005</v>
      </c>
      <c r="R21">
        <v>778.75553950000005</v>
      </c>
      <c r="S21">
        <v>818.76931939999997</v>
      </c>
      <c r="T21">
        <v>879.23205759999996</v>
      </c>
      <c r="U21">
        <v>1155.5413349999999</v>
      </c>
      <c r="V21">
        <v>1240.823517</v>
      </c>
      <c r="W21">
        <v>1308.462493</v>
      </c>
      <c r="X21">
        <v>1275.263843</v>
      </c>
      <c r="Y21">
        <v>1208.5490159999999</v>
      </c>
      <c r="Z21">
        <v>1218.650866</v>
      </c>
      <c r="AA21">
        <v>1127.887569</v>
      </c>
      <c r="AB21">
        <v>1035.0604229999999</v>
      </c>
    </row>
    <row r="22" spans="1:28" x14ac:dyDescent="0.2">
      <c r="A22">
        <v>1000</v>
      </c>
      <c r="B22">
        <v>5000</v>
      </c>
      <c r="C22" s="118">
        <v>0.76452271500000002</v>
      </c>
      <c r="D22" s="117">
        <v>0</v>
      </c>
      <c r="E22">
        <v>1026.3018870000001</v>
      </c>
      <c r="F22">
        <v>1023.564327</v>
      </c>
      <c r="G22">
        <v>1026.2839160000001</v>
      </c>
      <c r="H22">
        <v>1028.103873</v>
      </c>
      <c r="I22">
        <v>1022.955779</v>
      </c>
      <c r="J22">
        <v>1023.101062</v>
      </c>
      <c r="K22">
        <v>1023.698427</v>
      </c>
      <c r="L22">
        <v>1014.1571719999999</v>
      </c>
      <c r="M22">
        <v>1027.04936</v>
      </c>
      <c r="N22">
        <v>1020.301518</v>
      </c>
      <c r="O22">
        <v>1008.091977</v>
      </c>
      <c r="P22">
        <v>997.90244580000001</v>
      </c>
      <c r="Q22">
        <v>983.71209369999997</v>
      </c>
      <c r="R22">
        <v>1012.194427</v>
      </c>
      <c r="S22">
        <v>1031.825317</v>
      </c>
      <c r="T22">
        <v>1025.013042</v>
      </c>
      <c r="U22">
        <v>1017.923813</v>
      </c>
      <c r="V22">
        <v>1022.8029749999999</v>
      </c>
      <c r="W22">
        <v>1057.471356</v>
      </c>
      <c r="X22">
        <v>1042.557538</v>
      </c>
      <c r="Y22">
        <v>1009.935255</v>
      </c>
      <c r="Z22">
        <v>1020.898866</v>
      </c>
      <c r="AA22">
        <v>1025.1312069999999</v>
      </c>
      <c r="AB22">
        <v>1025.0077900000001</v>
      </c>
    </row>
    <row r="23" spans="1:28" x14ac:dyDescent="0.2">
      <c r="A23">
        <v>200</v>
      </c>
      <c r="B23">
        <v>1000</v>
      </c>
      <c r="C23" s="118">
        <v>1.513305256</v>
      </c>
      <c r="D23" s="117">
        <v>-4620.7941449999998</v>
      </c>
      <c r="E23">
        <v>982.66298710000001</v>
      </c>
      <c r="F23">
        <v>948.83988250000004</v>
      </c>
      <c r="G23">
        <v>933.05659879999996</v>
      </c>
      <c r="H23">
        <v>953.58556510000005</v>
      </c>
      <c r="I23">
        <v>1007.234717</v>
      </c>
      <c r="J23">
        <v>1107.6219160000001</v>
      </c>
      <c r="K23">
        <v>1125.0047689999999</v>
      </c>
      <c r="L23">
        <v>1119.3498520000001</v>
      </c>
      <c r="M23">
        <v>284.85490700000003</v>
      </c>
      <c r="N23">
        <v>-396.06235029999999</v>
      </c>
      <c r="O23">
        <v>-640.68062910000003</v>
      </c>
      <c r="P23">
        <v>-894.98965999999996</v>
      </c>
      <c r="Q23">
        <v>-979.62495019999994</v>
      </c>
      <c r="R23">
        <v>-828.04902100000004</v>
      </c>
      <c r="S23">
        <v>-538.55404850000002</v>
      </c>
      <c r="T23">
        <v>-342.83348549999999</v>
      </c>
      <c r="U23">
        <v>304.52522879999998</v>
      </c>
      <c r="V23">
        <v>979.16302910000002</v>
      </c>
      <c r="W23">
        <v>1221.3474160000001</v>
      </c>
      <c r="X23">
        <v>1261.0251390000001</v>
      </c>
      <c r="Y23">
        <v>1194.295805</v>
      </c>
      <c r="Z23">
        <v>1139.2750209999999</v>
      </c>
      <c r="AA23">
        <v>1086.7498250000001</v>
      </c>
      <c r="AB23">
        <v>1035.0595109999999</v>
      </c>
    </row>
    <row r="24" spans="1:28" x14ac:dyDescent="0.2">
      <c r="A24">
        <v>1000</v>
      </c>
      <c r="B24">
        <v>1000</v>
      </c>
      <c r="C24" s="118">
        <v>1.513305256</v>
      </c>
      <c r="D24" s="117">
        <v>-4621.7458269999997</v>
      </c>
      <c r="E24">
        <v>982.66298710000001</v>
      </c>
      <c r="F24">
        <v>948.83988250000004</v>
      </c>
      <c r="G24">
        <v>933.05659879999996</v>
      </c>
      <c r="H24">
        <v>953.58556510000005</v>
      </c>
      <c r="I24">
        <v>1007.234717</v>
      </c>
      <c r="J24">
        <v>1134.0642310000001</v>
      </c>
      <c r="K24">
        <v>1130.9127040000001</v>
      </c>
      <c r="L24">
        <v>1145.5258650000001</v>
      </c>
      <c r="M24">
        <v>284.8563967</v>
      </c>
      <c r="N24">
        <v>-396.06234929999999</v>
      </c>
      <c r="O24">
        <v>-769.76812870000003</v>
      </c>
      <c r="P24">
        <v>-749.11996799999997</v>
      </c>
      <c r="Q24">
        <v>-833.80154549999997</v>
      </c>
      <c r="R24">
        <v>-785.16044680000005</v>
      </c>
      <c r="S24">
        <v>-744.95681549999995</v>
      </c>
      <c r="T24">
        <v>-342.87657300000001</v>
      </c>
      <c r="U24">
        <v>304.52521359999997</v>
      </c>
      <c r="V24">
        <v>979.16302910000002</v>
      </c>
      <c r="W24">
        <v>1185.9963519999999</v>
      </c>
      <c r="X24">
        <v>1225.6346550000001</v>
      </c>
      <c r="Y24">
        <v>1158.863959</v>
      </c>
      <c r="Z24">
        <v>1145.1569669999999</v>
      </c>
      <c r="AA24">
        <v>1127.885456</v>
      </c>
      <c r="AB24">
        <v>1035.0604229999999</v>
      </c>
    </row>
    <row r="25" spans="1:28" x14ac:dyDescent="0.2">
      <c r="A25">
        <v>1000</v>
      </c>
      <c r="B25">
        <v>5000</v>
      </c>
      <c r="C25" s="118">
        <v>1.513305256</v>
      </c>
      <c r="D25" s="117">
        <v>-664.11501810000004</v>
      </c>
      <c r="E25">
        <v>789.04419789999997</v>
      </c>
      <c r="F25">
        <v>789.17082619999996</v>
      </c>
      <c r="G25">
        <v>788.25481009999999</v>
      </c>
      <c r="H25">
        <v>785.93356140000003</v>
      </c>
      <c r="I25">
        <v>793.11358640000003</v>
      </c>
      <c r="J25">
        <v>779.54836260000002</v>
      </c>
      <c r="K25">
        <v>774.96851990000005</v>
      </c>
      <c r="L25">
        <v>792.45669910000004</v>
      </c>
      <c r="M25">
        <v>284.81564730000002</v>
      </c>
      <c r="N25">
        <v>-53.601025049999997</v>
      </c>
      <c r="O25">
        <v>-70.339471450000005</v>
      </c>
      <c r="P25">
        <v>-105.3114168</v>
      </c>
      <c r="Q25">
        <v>-191.2597049</v>
      </c>
      <c r="R25">
        <v>-104.51776340000001</v>
      </c>
      <c r="S25">
        <v>-78.207832150000002</v>
      </c>
      <c r="T25">
        <v>-60.877804310000002</v>
      </c>
      <c r="U25">
        <v>298.45134669999999</v>
      </c>
      <c r="V25">
        <v>784.92539769999996</v>
      </c>
      <c r="W25">
        <v>829.66002319999996</v>
      </c>
      <c r="X25">
        <v>869.54598420000002</v>
      </c>
      <c r="Y25">
        <v>802.37829850000003</v>
      </c>
      <c r="Z25">
        <v>789.69097580000005</v>
      </c>
      <c r="AA25">
        <v>788.37939740000002</v>
      </c>
      <c r="AB25">
        <v>786.2838276</v>
      </c>
    </row>
    <row r="26" spans="1:28" x14ac:dyDescent="0.2">
      <c r="A26">
        <v>0</v>
      </c>
      <c r="B26">
        <v>0</v>
      </c>
      <c r="C26" s="118">
        <v>0</v>
      </c>
      <c r="D26" s="117">
        <v>0</v>
      </c>
      <c r="E26">
        <v>983.08175319999998</v>
      </c>
      <c r="F26">
        <v>949.24264779999999</v>
      </c>
      <c r="G26">
        <v>933.03562320000003</v>
      </c>
      <c r="H26">
        <v>953.58553759999995</v>
      </c>
      <c r="I26">
        <v>1007.234717</v>
      </c>
      <c r="J26">
        <v>1148.740681</v>
      </c>
      <c r="K26">
        <v>1380.3162950000001</v>
      </c>
      <c r="L26">
        <v>1585.3990470000001</v>
      </c>
      <c r="M26">
        <v>1801.5954810000001</v>
      </c>
      <c r="N26">
        <v>1919.271831</v>
      </c>
      <c r="O26">
        <v>2033.0520899999999</v>
      </c>
      <c r="P26">
        <v>2127.6793299999999</v>
      </c>
      <c r="Q26">
        <v>2168.7918970000001</v>
      </c>
      <c r="R26">
        <v>2233.2851059999998</v>
      </c>
      <c r="S26">
        <v>2226.1993990000001</v>
      </c>
      <c r="T26">
        <v>2124.2322439999998</v>
      </c>
      <c r="U26">
        <v>2028.2351060000001</v>
      </c>
      <c r="V26">
        <v>1818.575282</v>
      </c>
      <c r="W26">
        <v>1573.9891259999999</v>
      </c>
      <c r="X26">
        <v>1465.5658519999999</v>
      </c>
      <c r="Y26">
        <v>1398.993461</v>
      </c>
      <c r="Z26">
        <v>1263.900946</v>
      </c>
      <c r="AA26">
        <v>1129.0497069999999</v>
      </c>
      <c r="AB26">
        <v>1035.485414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7"/>
  <sheetViews>
    <sheetView tabSelected="1" workbookViewId="0">
      <pane xSplit="3" ySplit="21" topLeftCell="V43" activePane="bottomRight" state="frozenSplit"/>
      <selection pane="topRight" activeCell="H3" sqref="H3"/>
      <selection pane="bottomLeft" activeCell="A25" sqref="A25"/>
      <selection pane="bottomRight" activeCell="V7" sqref="V7"/>
    </sheetView>
  </sheetViews>
  <sheetFormatPr baseColWidth="10" defaultRowHeight="16" outlineLevelRow="1" x14ac:dyDescent="0.2"/>
  <cols>
    <col min="1" max="1" width="21.33203125" customWidth="1"/>
    <col min="3" max="3" width="11.6640625" customWidth="1"/>
    <col min="4" max="4" width="13.1640625" bestFit="1" customWidth="1"/>
    <col min="5" max="5" width="11.5" bestFit="1" customWidth="1"/>
    <col min="6" max="6" width="12.5" bestFit="1" customWidth="1"/>
    <col min="9" max="9" width="11.5" bestFit="1" customWidth="1"/>
    <col min="11" max="11" width="11.83203125" customWidth="1"/>
    <col min="13" max="13" width="11.6640625" bestFit="1" customWidth="1"/>
    <col min="14" max="14" width="12.1640625" bestFit="1" customWidth="1"/>
    <col min="16" max="16" width="16.1640625" bestFit="1" customWidth="1"/>
    <col min="19" max="19" width="13.83203125" bestFit="1" customWidth="1"/>
    <col min="22" max="22" width="12.5" bestFit="1" customWidth="1"/>
    <col min="25" max="25" width="16.1640625" bestFit="1" customWidth="1"/>
    <col min="26" max="26" width="11.5" bestFit="1" customWidth="1"/>
    <col min="30" max="30" width="11.5" bestFit="1" customWidth="1"/>
    <col min="31" max="31" width="7.5" bestFit="1" customWidth="1"/>
    <col min="32" max="32" width="11.5" bestFit="1" customWidth="1"/>
    <col min="33" max="33" width="16.6640625" bestFit="1" customWidth="1"/>
    <col min="34" max="34" width="12.83203125" customWidth="1"/>
    <col min="35" max="35" width="12.5" customWidth="1"/>
    <col min="36" max="36" width="13.1640625" bestFit="1" customWidth="1"/>
    <col min="37" max="37" width="16.1640625" style="1" bestFit="1" customWidth="1"/>
    <col min="40" max="40" width="13.83203125" bestFit="1" customWidth="1"/>
    <col min="43" max="43" width="11.83203125" customWidth="1"/>
    <col min="46" max="46" width="16.1640625" bestFit="1" customWidth="1"/>
    <col min="47" max="47" width="12.1640625" customWidth="1"/>
    <col min="48" max="48" width="11.6640625" customWidth="1"/>
    <col min="52" max="52" width="10.1640625" customWidth="1"/>
    <col min="53" max="53" width="11.5" bestFit="1" customWidth="1"/>
  </cols>
  <sheetData>
    <row r="1" spans="1:48" ht="19" x14ac:dyDescent="0.25">
      <c r="A1" s="82" t="s">
        <v>78</v>
      </c>
    </row>
    <row r="2" spans="1:48" x14ac:dyDescent="0.2">
      <c r="A2" t="s">
        <v>67</v>
      </c>
    </row>
    <row r="3" spans="1:48" ht="17" thickBot="1" x14ac:dyDescent="0.25">
      <c r="A3" t="s">
        <v>74</v>
      </c>
      <c r="B3" s="113">
        <f>MAX('Ver History'!B:B)</f>
        <v>42437</v>
      </c>
      <c r="C3" t="s">
        <v>75</v>
      </c>
      <c r="AK3" s="2"/>
    </row>
    <row r="4" spans="1:48" x14ac:dyDescent="0.2">
      <c r="A4" s="73"/>
      <c r="B4" s="74" t="s">
        <v>1</v>
      </c>
      <c r="C4" s="75" t="s">
        <v>10</v>
      </c>
    </row>
    <row r="5" spans="1:48" x14ac:dyDescent="0.2">
      <c r="A5" s="76" t="s">
        <v>9</v>
      </c>
      <c r="B5" s="77" t="s">
        <v>137</v>
      </c>
      <c r="C5" s="78" t="s">
        <v>12</v>
      </c>
    </row>
    <row r="6" spans="1:48" x14ac:dyDescent="0.2">
      <c r="A6" s="76" t="s">
        <v>8</v>
      </c>
      <c r="B6" s="77" t="s">
        <v>13</v>
      </c>
      <c r="C6" s="78" t="s">
        <v>11</v>
      </c>
    </row>
    <row r="7" spans="1:48" s="94" customFormat="1" outlineLevel="1" x14ac:dyDescent="0.2">
      <c r="A7" s="92" t="s">
        <v>195</v>
      </c>
      <c r="B7" s="93"/>
      <c r="C7" s="93"/>
      <c r="F7" s="79">
        <v>0</v>
      </c>
      <c r="Q7" s="79">
        <v>1</v>
      </c>
      <c r="V7" s="85">
        <f>SUM(Q7,AA7)</f>
        <v>4</v>
      </c>
      <c r="Z7" s="95"/>
      <c r="AA7" s="79">
        <v>3</v>
      </c>
      <c r="AK7" s="95"/>
      <c r="AL7" s="79">
        <v>1</v>
      </c>
      <c r="AQ7" s="85">
        <f>V7</f>
        <v>4</v>
      </c>
      <c r="AT7" s="95"/>
      <c r="AU7" s="95"/>
      <c r="AV7" s="79">
        <v>15</v>
      </c>
    </row>
    <row r="8" spans="1:48" ht="17" outlineLevel="1" thickBot="1" x14ac:dyDescent="0.25">
      <c r="A8" s="77" t="s">
        <v>193</v>
      </c>
      <c r="B8" s="131">
        <v>0.04</v>
      </c>
      <c r="C8" s="77" t="s">
        <v>194</v>
      </c>
      <c r="AK8"/>
    </row>
    <row r="9" spans="1:48" x14ac:dyDescent="0.2">
      <c r="A9" s="87" t="s">
        <v>57</v>
      </c>
      <c r="B9" s="88" t="s">
        <v>58</v>
      </c>
      <c r="C9" s="88" t="s">
        <v>59</v>
      </c>
      <c r="AK9"/>
    </row>
    <row r="10" spans="1:48" s="43" customFormat="1" outlineLevel="1" x14ac:dyDescent="0.2">
      <c r="A10" s="89" t="s">
        <v>135</v>
      </c>
      <c r="B10" s="9">
        <v>0.5</v>
      </c>
      <c r="C10" s="9">
        <v>0.8</v>
      </c>
      <c r="T10" s="81">
        <f>B10</f>
        <v>0.5</v>
      </c>
      <c r="Z10" s="83"/>
      <c r="AK10" s="83"/>
      <c r="AO10" s="81">
        <f>C10</f>
        <v>0.8</v>
      </c>
      <c r="AP10" s="81"/>
      <c r="AT10" s="83"/>
      <c r="AU10" s="83"/>
    </row>
    <row r="11" spans="1:48" s="43" customFormat="1" outlineLevel="1" x14ac:dyDescent="0.2">
      <c r="A11" s="89" t="str">
        <f>chance_name&amp;" Add-Up (if up)"</f>
        <v>PV_% Add-Up (if up)</v>
      </c>
      <c r="B11" s="119">
        <f>CEILING('ISGT Scenarios'!F19-'ISGT Scenarios'!D19,0.01)</f>
        <v>0.33</v>
      </c>
      <c r="C11" s="119">
        <f>ROUND('ISGT Scenarios'!J19-'ISGT Scenarios'!F19,2)</f>
        <v>0.42</v>
      </c>
      <c r="T11" s="85" t="str">
        <f>A11</f>
        <v>PV_% Add-Up (if up)</v>
      </c>
      <c r="U11" s="85">
        <f>B11</f>
        <v>0.33</v>
      </c>
      <c r="Z11" s="83"/>
      <c r="AK11" s="83"/>
      <c r="AP11" s="85">
        <f>C11</f>
        <v>0.42</v>
      </c>
      <c r="AT11" s="83"/>
      <c r="AU11" s="83"/>
    </row>
    <row r="12" spans="1:48" s="43" customFormat="1" outlineLevel="1" x14ac:dyDescent="0.2">
      <c r="A12" s="89" t="s">
        <v>136</v>
      </c>
      <c r="B12" s="90">
        <f>1-B10</f>
        <v>0.5</v>
      </c>
      <c r="C12" s="90">
        <f>1-C10</f>
        <v>0.19999999999999996</v>
      </c>
      <c r="T12" s="81">
        <f>B12</f>
        <v>0.5</v>
      </c>
      <c r="Z12" s="83"/>
      <c r="AK12" s="83"/>
      <c r="AO12" s="81">
        <f>C12</f>
        <v>0.19999999999999996</v>
      </c>
      <c r="AT12" s="83"/>
      <c r="AU12" s="83"/>
    </row>
    <row r="13" spans="1:48" s="43" customFormat="1" outlineLevel="1" x14ac:dyDescent="0.2">
      <c r="A13" s="89" t="str">
        <f>chance_name&amp;" Add-down (if up)"</f>
        <v>PV_% Add-down (if up)</v>
      </c>
      <c r="B13" s="119">
        <f>ROUND('ISGT Scenarios'!E19-'ISGT Scenarios'!D19,2)</f>
        <v>0.1</v>
      </c>
      <c r="C13" s="119">
        <f>ROUND('ISGT Scenarios'!I19-'ISGT Scenarios'!F19,2)</f>
        <v>0.17</v>
      </c>
      <c r="T13" s="81" t="str">
        <f>A13</f>
        <v>PV_% Add-down (if up)</v>
      </c>
      <c r="U13" s="81">
        <f>B13</f>
        <v>0.1</v>
      </c>
      <c r="Z13" s="83"/>
      <c r="AK13" s="83"/>
      <c r="AP13" s="85">
        <f>C13</f>
        <v>0.17</v>
      </c>
      <c r="AT13" s="83"/>
      <c r="AU13" s="83"/>
    </row>
    <row r="14" spans="1:48" s="3" customFormat="1" outlineLevel="1" x14ac:dyDescent="0.2">
      <c r="A14" s="10" t="s">
        <v>55</v>
      </c>
      <c r="C14" s="9">
        <v>0.2</v>
      </c>
      <c r="Z14" s="84"/>
      <c r="AK14" s="84"/>
      <c r="AO14" s="81">
        <f>C14</f>
        <v>0.2</v>
      </c>
      <c r="AT14" s="84"/>
      <c r="AU14" s="84"/>
    </row>
    <row r="15" spans="1:48" s="3" customFormat="1" outlineLevel="1" x14ac:dyDescent="0.2">
      <c r="A15" s="10" t="str">
        <f>chance_name&amp;" Add-Up if down"</f>
        <v>PV_% Add-Up if down</v>
      </c>
      <c r="C15" s="119">
        <f>CEILING('ISGT Scenarios'!H19-'ISGT Scenarios'!E19,0.01)</f>
        <v>0.4</v>
      </c>
      <c r="Z15" s="84"/>
      <c r="AK15" s="84"/>
      <c r="AP15" s="85">
        <f>C15</f>
        <v>0.4</v>
      </c>
      <c r="AT15" s="84"/>
      <c r="AU15" s="84"/>
    </row>
    <row r="16" spans="1:48" s="3" customFormat="1" outlineLevel="1" x14ac:dyDescent="0.2">
      <c r="A16" s="10" t="s">
        <v>56</v>
      </c>
      <c r="C16" s="81">
        <f>1-C14</f>
        <v>0.8</v>
      </c>
      <c r="Z16" s="84"/>
      <c r="AK16" s="84"/>
      <c r="AO16" s="81">
        <f>C16</f>
        <v>0.8</v>
      </c>
      <c r="AT16" s="84"/>
      <c r="AU16" s="84"/>
    </row>
    <row r="17" spans="1:53" s="3" customFormat="1" ht="17" outlineLevel="1" thickBot="1" x14ac:dyDescent="0.25">
      <c r="A17" s="71" t="str">
        <f>chance_name&amp;" Add-down if down"</f>
        <v>PV_% Add-down if down</v>
      </c>
      <c r="C17" s="119">
        <f>CEILING('ISGT Scenarios'!G19-'ISGT Scenarios'!E19,0.01)</f>
        <v>0.25</v>
      </c>
      <c r="Z17" s="84"/>
      <c r="AK17" s="84"/>
      <c r="AP17" s="85">
        <f>C17</f>
        <v>0.25</v>
      </c>
      <c r="AT17" s="84"/>
      <c r="AU17" s="84"/>
    </row>
    <row r="18" spans="1:53" x14ac:dyDescent="0.2">
      <c r="A18" t="s">
        <v>61</v>
      </c>
      <c r="B18" s="91" t="str">
        <f>p1_decision</f>
        <v>P1 Flex</v>
      </c>
      <c r="C18" s="4">
        <f>p1_value_flex</f>
        <v>1080352.0974381617</v>
      </c>
    </row>
    <row r="19" spans="1:53" x14ac:dyDescent="0.2">
      <c r="B19" s="151" t="s">
        <v>191</v>
      </c>
      <c r="C19" s="141">
        <f>MIN(p1_value_small,p1_value_large)-p1_value_flex</f>
        <v>32441.131145585096</v>
      </c>
      <c r="D19" s="141"/>
      <c r="AK19" s="2"/>
    </row>
    <row r="20" spans="1:53" x14ac:dyDescent="0.2">
      <c r="B20" s="180" t="s">
        <v>38</v>
      </c>
      <c r="C20" s="180"/>
      <c r="D20" s="180"/>
      <c r="E20" s="180"/>
      <c r="F20" s="180"/>
      <c r="G20" s="180"/>
      <c r="H20" s="179" t="s">
        <v>39</v>
      </c>
      <c r="I20" s="179"/>
      <c r="J20" s="179"/>
      <c r="K20" s="179"/>
      <c r="L20" s="179"/>
      <c r="M20" s="179"/>
      <c r="N20" s="179"/>
      <c r="O20" s="181" t="s">
        <v>40</v>
      </c>
      <c r="P20" s="181"/>
      <c r="Q20" s="181"/>
      <c r="R20" s="181"/>
      <c r="S20" s="182" t="s">
        <v>41</v>
      </c>
      <c r="T20" s="182"/>
      <c r="U20" s="182"/>
      <c r="V20" s="182"/>
      <c r="W20" s="180" t="s">
        <v>24</v>
      </c>
      <c r="X20" s="180"/>
      <c r="Y20" s="180"/>
      <c r="Z20" s="180"/>
      <c r="AA20" s="180"/>
      <c r="AB20" s="180"/>
      <c r="AC20" s="179" t="s">
        <v>23</v>
      </c>
      <c r="AD20" s="179"/>
      <c r="AE20" s="179"/>
      <c r="AF20" s="179"/>
      <c r="AG20" s="179"/>
      <c r="AH20" s="179"/>
      <c r="AI20" s="179"/>
      <c r="AJ20" s="181" t="s">
        <v>37</v>
      </c>
      <c r="AK20" s="181"/>
      <c r="AL20" s="181"/>
      <c r="AM20" s="181"/>
      <c r="AN20" s="182" t="s">
        <v>22</v>
      </c>
      <c r="AO20" s="182"/>
      <c r="AP20" s="182"/>
      <c r="AQ20" s="182"/>
      <c r="AR20" s="180" t="s">
        <v>21</v>
      </c>
      <c r="AS20" s="180"/>
      <c r="AT20" s="180"/>
      <c r="AU20" s="180"/>
      <c r="AV20" s="180"/>
      <c r="AW20" s="180"/>
      <c r="AY20" s="179" t="s">
        <v>179</v>
      </c>
      <c r="AZ20" s="179"/>
      <c r="BA20" s="179"/>
    </row>
    <row r="21" spans="1:53" ht="17" thickBot="1" x14ac:dyDescent="0.25">
      <c r="B21" t="str">
        <f>dec_name&amp;" State"</f>
        <v>Bat State</v>
      </c>
      <c r="C21" t="str">
        <f>chance_name&amp;" State"</f>
        <v>PV_% State</v>
      </c>
      <c r="D21" t="s">
        <v>6</v>
      </c>
      <c r="E21" t="s">
        <v>60</v>
      </c>
      <c r="F21" t="s">
        <v>20</v>
      </c>
      <c r="G21" t="s">
        <v>19</v>
      </c>
      <c r="H21" t="s">
        <v>4</v>
      </c>
      <c r="I21" t="s">
        <v>5</v>
      </c>
      <c r="J21" t="s">
        <v>17</v>
      </c>
      <c r="K21" t="s">
        <v>15</v>
      </c>
      <c r="L21" t="s">
        <v>33</v>
      </c>
      <c r="M21" t="s">
        <v>16</v>
      </c>
      <c r="N21" t="str">
        <f>"new "&amp;dec_name</f>
        <v>new Bat</v>
      </c>
      <c r="O21" t="str">
        <f>dec_name&amp;" State"</f>
        <v>Bat State</v>
      </c>
      <c r="P21" s="2" t="s">
        <v>7</v>
      </c>
      <c r="Q21" t="s">
        <v>14</v>
      </c>
      <c r="R21" t="s">
        <v>18</v>
      </c>
      <c r="S21" t="s">
        <v>3</v>
      </c>
      <c r="T21" s="72" t="s">
        <v>2</v>
      </c>
      <c r="U21" t="str">
        <f>chance_name&amp;" Add"</f>
        <v>PV_% Add</v>
      </c>
      <c r="V21" s="72" t="s">
        <v>196</v>
      </c>
      <c r="W21" t="str">
        <f>dec_name&amp;" State"</f>
        <v>Bat State</v>
      </c>
      <c r="X21" t="str">
        <f>chance_name&amp;" State"</f>
        <v>PV_% State</v>
      </c>
      <c r="Y21" t="s">
        <v>6</v>
      </c>
      <c r="Z21" t="s">
        <v>0</v>
      </c>
      <c r="AA21" t="s">
        <v>20</v>
      </c>
      <c r="AB21" t="s">
        <v>19</v>
      </c>
      <c r="AC21" t="s">
        <v>4</v>
      </c>
      <c r="AD21" t="s">
        <v>5</v>
      </c>
      <c r="AE21" t="s">
        <v>17</v>
      </c>
      <c r="AF21" t="s">
        <v>15</v>
      </c>
      <c r="AG21" t="s">
        <v>33</v>
      </c>
      <c r="AH21" t="s">
        <v>16</v>
      </c>
      <c r="AI21" t="str">
        <f>"new "&amp;dec_name</f>
        <v>new Bat</v>
      </c>
      <c r="AJ21" t="str">
        <f>dec_name&amp;" State"</f>
        <v>Bat State</v>
      </c>
      <c r="AK21" s="1" t="s">
        <v>7</v>
      </c>
      <c r="AL21" t="s">
        <v>14</v>
      </c>
      <c r="AM21" t="s">
        <v>18</v>
      </c>
      <c r="AN21" t="s">
        <v>3</v>
      </c>
      <c r="AO21" t="s">
        <v>2</v>
      </c>
      <c r="AP21" t="str">
        <f>chance_name&amp;" Add"</f>
        <v>PV_% Add</v>
      </c>
      <c r="AQ21" s="72" t="s">
        <v>196</v>
      </c>
      <c r="AR21" t="str">
        <f>dec_name&amp;" State"</f>
        <v>Bat State</v>
      </c>
      <c r="AS21" t="str">
        <f>chance_name&amp;" State"</f>
        <v>PV_% State</v>
      </c>
      <c r="AT21" t="s">
        <v>6</v>
      </c>
      <c r="AU21" t="s">
        <v>0</v>
      </c>
      <c r="AV21" t="s">
        <v>20</v>
      </c>
      <c r="AW21" t="s">
        <v>19</v>
      </c>
      <c r="AY21" t="s">
        <v>183</v>
      </c>
      <c r="AZ21" t="s">
        <v>2</v>
      </c>
      <c r="BA21" t="s">
        <v>182</v>
      </c>
    </row>
    <row r="22" spans="1:53" s="5" customFormat="1" ht="17" thickBot="1" x14ac:dyDescent="0.25">
      <c r="B22" s="15" t="s">
        <v>138</v>
      </c>
      <c r="C22" s="125">
        <f>ROUND('ISGT Scenarios'!D19,2)</f>
        <v>0.76</v>
      </c>
      <c r="D22" s="17" t="str">
        <f>dec_abbrev&amp;B22&amp;"_"&amp;chance_abbrev&amp;C22</f>
        <v>st0x0h_pv0.76</v>
      </c>
      <c r="E22" s="18">
        <f>F22+I22</f>
        <v>1080352.0974381617</v>
      </c>
      <c r="F22" s="18">
        <f>G22*op_factor</f>
        <v>0</v>
      </c>
      <c r="G22" s="108">
        <f>VLOOKUP(D22,op_cost_table,op_cost_total_col_num,FALSE)</f>
        <v>0</v>
      </c>
      <c r="H22" s="58" t="str">
        <f>VLOOKUP(I22,K22:L67,2,FALSE)</f>
        <v>P1 Flex</v>
      </c>
      <c r="I22" s="59">
        <f>MIN(K22:K67)</f>
        <v>1080352.0974381617</v>
      </c>
      <c r="J22" s="15" t="b">
        <f>I$22=K22</f>
        <v>0</v>
      </c>
      <c r="K22" s="18">
        <f>SUM(M22,Q22,S22)</f>
        <v>1978744.161438162</v>
      </c>
      <c r="L22" s="79" t="s">
        <v>64</v>
      </c>
      <c r="M22" s="108">
        <f>VLOOKUP(L22,decision_cost_table,decision_total_col_num,FALSE)</f>
        <v>1958960.8036775447</v>
      </c>
      <c r="N22" s="85" t="str">
        <f>VLOOKUP(L22,decision_cost_table,decision_code_col_num,FALSE)</f>
        <v>1000x5h</v>
      </c>
      <c r="O22" s="16" t="str">
        <f>N22</f>
        <v>1000x5h</v>
      </c>
      <c r="P22" s="17" t="str">
        <f>dec_abbrev&amp;O22&amp;"_"&amp;chance_abbrev&amp;C22</f>
        <v>st1000x5h_pv0.76</v>
      </c>
      <c r="Q22" s="18">
        <f>R22*op_factor</f>
        <v>0</v>
      </c>
      <c r="R22" s="108">
        <f>VLOOKUP(P22,op_cost_table,op_cost_total_col_num,FALSE)</f>
        <v>0</v>
      </c>
      <c r="S22" s="59">
        <f>SUMPRODUCT(T22:T36,V22:V36)</f>
        <v>19783.357760617168</v>
      </c>
      <c r="T22" s="86">
        <f>p_up_up</f>
        <v>0.5</v>
      </c>
      <c r="U22" s="16">
        <f>add_up_up</f>
        <v>0.33</v>
      </c>
      <c r="V22" s="143">
        <f>(1-disc_rate)^op_factor*Z22</f>
        <v>142029.73277213372</v>
      </c>
      <c r="W22" s="16" t="str">
        <f t="shared" ref="W22:W27" si="0">O22</f>
        <v>1000x5h</v>
      </c>
      <c r="X22" s="16">
        <f t="shared" ref="X22:X27" si="1">C22+U22</f>
        <v>1.0900000000000001</v>
      </c>
      <c r="Y22" s="17" t="str">
        <f>dec_abbrev&amp;W22&amp;"_"&amp;chance_abbrev&amp;X22</f>
        <v>st1000x5h_pv1.09</v>
      </c>
      <c r="Z22" s="18">
        <f>AA22+AD22</f>
        <v>167222.35593929258</v>
      </c>
      <c r="AA22" s="18">
        <f>AB22*op_factor</f>
        <v>0</v>
      </c>
      <c r="AB22" s="108">
        <f>VLOOKUP(Y22,op_cost_table,op_cost_total_col_num,FALSE)</f>
        <v>0</v>
      </c>
      <c r="AC22" s="58" t="str">
        <f>VLOOKUP(AD22,AF22:AG28,2,FALSE)</f>
        <v>Stay The Same</v>
      </c>
      <c r="AD22" s="59">
        <f>MIN(AF22:AF28)</f>
        <v>167222.35593929258</v>
      </c>
      <c r="AE22" s="15" t="b">
        <f>AD22=AF22</f>
        <v>1</v>
      </c>
      <c r="AF22" s="18">
        <f>SUM(AH22,AL22,AN22)</f>
        <v>167222.35593929258</v>
      </c>
      <c r="AG22" s="65" t="s">
        <v>174</v>
      </c>
      <c r="AH22" s="108">
        <f>IF(EXACT("Stay",LEFT(AG22,LEN("Stay"))),0,VLOOKUP(AG22,decision_cost_table,decision_total_col_num,FALSE))</f>
        <v>0</v>
      </c>
      <c r="AI22" s="85" t="str">
        <f>IF(EXACT("Stay",LEFT(AG22,LEN("Stay"))),W22,VLOOKUP(AG22,decision_cost_table,decision_code_col_num,FALSE))</f>
        <v>1000x5h</v>
      </c>
      <c r="AJ22" s="16" t="str">
        <f>AI22</f>
        <v>1000x5h</v>
      </c>
      <c r="AK22" s="17" t="str">
        <f>dec_abbrev&amp;AJ22&amp;"_"&amp;chance_abbrev&amp;X22</f>
        <v>st1000x5h_pv1.09</v>
      </c>
      <c r="AL22" s="18">
        <f>AM22*op_factor</f>
        <v>0</v>
      </c>
      <c r="AM22" s="108">
        <f>VLOOKUP(AK22,op_cost_table,op_cost_total_col_num,FALSE)</f>
        <v>0</v>
      </c>
      <c r="AN22" s="59">
        <f>SUMPRODUCT(AO22:AO24,AQ22:AQ24)</f>
        <v>167222.35593929258</v>
      </c>
      <c r="AO22" s="96">
        <f>p_up_up</f>
        <v>0.8</v>
      </c>
      <c r="AP22" s="97">
        <f>add_up_up</f>
        <v>0.42</v>
      </c>
      <c r="AQ22" s="156">
        <f>(1-disc_rate)^op_factor*AU22</f>
        <v>209027.9449241157</v>
      </c>
      <c r="AR22" s="97" t="str">
        <f>AJ22</f>
        <v>1000x5h</v>
      </c>
      <c r="AS22" s="97">
        <f t="shared" ref="AS22:AS27" si="2">X22+AP22</f>
        <v>1.51</v>
      </c>
      <c r="AT22" s="98" t="str">
        <f>dec_abbrev&amp;AR22&amp;"_"&amp;chance_abbrev&amp;AS22</f>
        <v>st1000x5h_pv1.51</v>
      </c>
      <c r="AU22" s="99">
        <f>AV22</f>
        <v>246104.42282136955</v>
      </c>
      <c r="AV22" s="99">
        <f>AW22*op_factor</f>
        <v>246104.42282136955</v>
      </c>
      <c r="AW22" s="112">
        <f>VLOOKUP(AT22,op_cost_table,op_cost_total_col_num,FALSE)</f>
        <v>16406.961521424637</v>
      </c>
      <c r="AY22" s="15" t="str">
        <f>IF(p2_picked,p1_choice,"")</f>
        <v>P1 Large</v>
      </c>
      <c r="AZ22" s="152">
        <f>IF(p2_picked,p1_prob*p2_prob,"")</f>
        <v>0.4</v>
      </c>
      <c r="BA22" s="153">
        <f>IF(p2_picked,SUM(F22,M22,Q22,AA22,AH22,AL22,AV22),"")</f>
        <v>2205065.2264989144</v>
      </c>
    </row>
    <row r="23" spans="1:53" s="5" customFormat="1" ht="17" thickBot="1" x14ac:dyDescent="0.25">
      <c r="B23" s="30">
        <v>0</v>
      </c>
      <c r="C23" s="127">
        <f>C22</f>
        <v>0.76</v>
      </c>
      <c r="F23" s="144">
        <f>F22</f>
        <v>0</v>
      </c>
      <c r="I23" s="7"/>
      <c r="J23" s="30" t="b">
        <f>J22</f>
        <v>0</v>
      </c>
      <c r="L23" s="144" t="str">
        <f>L22</f>
        <v>P1 Large</v>
      </c>
      <c r="M23" s="144">
        <f>M22</f>
        <v>1958960.8036775447</v>
      </c>
      <c r="N23" s="29" t="str">
        <f>N22</f>
        <v>1000x5h</v>
      </c>
      <c r="O23" s="29" t="str">
        <f>N23</f>
        <v>1000x5h</v>
      </c>
      <c r="P23" s="29" t="str">
        <f>O23</f>
        <v>1000x5h</v>
      </c>
      <c r="Q23" s="144">
        <f>Q22</f>
        <v>0</v>
      </c>
      <c r="S23" s="7"/>
      <c r="T23" s="29">
        <f>T22</f>
        <v>0.5</v>
      </c>
      <c r="U23" s="29">
        <f>U22</f>
        <v>0.33</v>
      </c>
      <c r="W23" s="29" t="str">
        <f t="shared" si="0"/>
        <v>1000x5h</v>
      </c>
      <c r="X23" s="29">
        <f t="shared" si="1"/>
        <v>1.0900000000000001</v>
      </c>
      <c r="AA23" s="144">
        <f>AA22</f>
        <v>0</v>
      </c>
      <c r="AD23" s="7"/>
      <c r="AE23" s="30" t="b">
        <f>AE22</f>
        <v>1</v>
      </c>
      <c r="AH23" s="29">
        <f t="shared" ref="AH23:AI23" si="3">AH22</f>
        <v>0</v>
      </c>
      <c r="AI23" s="29" t="str">
        <f t="shared" si="3"/>
        <v>1000x5h</v>
      </c>
      <c r="AJ23" s="29" t="str">
        <f t="shared" ref="AJ23:AM23" si="4">AJ22</f>
        <v>1000x5h</v>
      </c>
      <c r="AK23" s="29" t="str">
        <f t="shared" si="4"/>
        <v>st1000x5h_pv1.09</v>
      </c>
      <c r="AL23" s="29">
        <f t="shared" si="4"/>
        <v>0</v>
      </c>
      <c r="AM23" s="29">
        <f t="shared" si="4"/>
        <v>0</v>
      </c>
      <c r="AN23" s="7"/>
      <c r="AO23" s="109">
        <f>p_down_up</f>
        <v>0.19999999999999996</v>
      </c>
      <c r="AP23" s="72">
        <f>add_down_up</f>
        <v>0.17</v>
      </c>
      <c r="AQ23" s="156">
        <f>(1-disc_rate)^op_factor*AU23</f>
        <v>0</v>
      </c>
      <c r="AR23" s="72" t="str">
        <f t="shared" ref="AR23:AR27" si="5">AJ23</f>
        <v>1000x5h</v>
      </c>
      <c r="AS23" s="72">
        <f t="shared" si="2"/>
        <v>1.26</v>
      </c>
      <c r="AT23" s="110" t="str">
        <f>dec_abbrev&amp;AR23&amp;"_"&amp;chance_abbrev&amp;AS23</f>
        <v>st1000x5h_pv1.26</v>
      </c>
      <c r="AU23" s="111">
        <f>AV23</f>
        <v>0</v>
      </c>
      <c r="AV23" s="111">
        <f>AW23*op_factor</f>
        <v>0</v>
      </c>
      <c r="AW23" s="112">
        <f>VLOOKUP(AT23,op_cost_table,op_cost_total_col_num,FALSE)</f>
        <v>0</v>
      </c>
      <c r="AY23" s="154" t="str">
        <f>IF(p2_picked,p1_choice,"")</f>
        <v>P1 Large</v>
      </c>
      <c r="AZ23" s="142">
        <f>IF(p2_picked,p1_prob*p2_prob,"")</f>
        <v>9.9999999999999978E-2</v>
      </c>
      <c r="BA23" s="155">
        <f>IF(p2_picked,SUM(F23,M23,Q23,AA23,AH23,AL23,AV23),"")</f>
        <v>1958960.8036775447</v>
      </c>
    </row>
    <row r="24" spans="1:53" s="20" customFormat="1" ht="17" thickBot="1" x14ac:dyDescent="0.25">
      <c r="A24" s="51" t="s">
        <v>54</v>
      </c>
      <c r="B24" s="31">
        <v>0</v>
      </c>
      <c r="C24" s="128">
        <f t="shared" ref="C24:C65" si="6">C23</f>
        <v>0.76</v>
      </c>
      <c r="F24" s="145">
        <f t="shared" ref="F24:F67" si="7">F23</f>
        <v>0</v>
      </c>
      <c r="I24" s="21"/>
      <c r="J24" s="31" t="b">
        <f t="shared" ref="J24:M35" si="8">J23</f>
        <v>0</v>
      </c>
      <c r="L24" s="145" t="str">
        <f t="shared" si="8"/>
        <v>P1 Large</v>
      </c>
      <c r="M24" s="145">
        <f t="shared" si="8"/>
        <v>1958960.8036775447</v>
      </c>
      <c r="N24" s="32" t="str">
        <f t="shared" ref="N24:N27" si="9">N23</f>
        <v>1000x5h</v>
      </c>
      <c r="O24" s="29" t="str">
        <f>N24</f>
        <v>1000x5h</v>
      </c>
      <c r="P24" s="29" t="str">
        <f>O24</f>
        <v>1000x5h</v>
      </c>
      <c r="Q24" s="145">
        <f t="shared" ref="Q24:Q35" si="10">Q23</f>
        <v>0</v>
      </c>
      <c r="S24" s="21"/>
      <c r="T24" s="32">
        <f t="shared" ref="T24:T27" si="11">T23</f>
        <v>0.5</v>
      </c>
      <c r="U24" s="32">
        <f>U23</f>
        <v>0.33</v>
      </c>
      <c r="W24" s="32" t="str">
        <f t="shared" si="0"/>
        <v>1000x5h</v>
      </c>
      <c r="X24" s="32">
        <f t="shared" si="1"/>
        <v>1.0900000000000001</v>
      </c>
      <c r="AA24" s="145">
        <f t="shared" ref="AA24:AA27" si="12">AA23</f>
        <v>0</v>
      </c>
      <c r="AD24" s="21"/>
      <c r="AE24" s="22"/>
      <c r="AF24" s="24"/>
      <c r="AG24" s="24"/>
      <c r="AH24" s="101">
        <f t="shared" ref="AH24" si="13">AH23</f>
        <v>0</v>
      </c>
      <c r="AI24" s="101" t="str">
        <f t="shared" ref="AI24:AM26" si="14">AI23</f>
        <v>1000x5h</v>
      </c>
      <c r="AJ24" s="101" t="str">
        <f t="shared" si="14"/>
        <v>1000x5h</v>
      </c>
      <c r="AK24" s="101" t="str">
        <f t="shared" si="14"/>
        <v>st1000x5h_pv1.09</v>
      </c>
      <c r="AL24" s="101">
        <f t="shared" si="14"/>
        <v>0</v>
      </c>
      <c r="AM24" s="101">
        <f t="shared" si="14"/>
        <v>0</v>
      </c>
      <c r="AN24" s="25"/>
      <c r="AR24" s="20" t="str">
        <f t="shared" si="5"/>
        <v>1000x5h</v>
      </c>
      <c r="AS24" s="20">
        <f t="shared" si="2"/>
        <v>1.0900000000000001</v>
      </c>
      <c r="AY24" s="19"/>
      <c r="BA24" s="21"/>
    </row>
    <row r="25" spans="1:53" s="5" customFormat="1" ht="17" thickBot="1" x14ac:dyDescent="0.25">
      <c r="B25" s="30">
        <v>0</v>
      </c>
      <c r="C25" s="127">
        <f t="shared" si="6"/>
        <v>0.76</v>
      </c>
      <c r="D25" s="6"/>
      <c r="F25" s="144">
        <f t="shared" si="7"/>
        <v>0</v>
      </c>
      <c r="I25" s="7"/>
      <c r="J25" s="30" t="b">
        <f t="shared" si="8"/>
        <v>0</v>
      </c>
      <c r="K25" s="8"/>
      <c r="L25" s="144" t="str">
        <f t="shared" si="8"/>
        <v>P1 Large</v>
      </c>
      <c r="M25" s="144">
        <f t="shared" si="8"/>
        <v>1958960.8036775447</v>
      </c>
      <c r="N25" s="29" t="str">
        <f t="shared" si="9"/>
        <v>1000x5h</v>
      </c>
      <c r="O25" s="29" t="str">
        <f t="shared" ref="O25:P34" si="15">N25</f>
        <v>1000x5h</v>
      </c>
      <c r="P25" s="29" t="str">
        <f t="shared" si="15"/>
        <v>1000x5h</v>
      </c>
      <c r="Q25" s="144">
        <f t="shared" si="10"/>
        <v>0</v>
      </c>
      <c r="S25" s="7"/>
      <c r="T25" s="29">
        <f t="shared" si="11"/>
        <v>0.5</v>
      </c>
      <c r="U25" s="29">
        <f>U24</f>
        <v>0.33</v>
      </c>
      <c r="W25" s="29" t="str">
        <f t="shared" si="0"/>
        <v>1000x5h</v>
      </c>
      <c r="X25" s="29">
        <f t="shared" si="1"/>
        <v>1.0900000000000001</v>
      </c>
      <c r="Y25" s="6"/>
      <c r="AA25" s="144">
        <f t="shared" si="12"/>
        <v>0</v>
      </c>
      <c r="AD25" s="7"/>
      <c r="AE25" s="15" t="b">
        <f>AD22=AF25</f>
        <v>0</v>
      </c>
      <c r="AF25" s="18">
        <f>SUM(AH25,AL25,AN25)</f>
        <v>1652648.2100132019</v>
      </c>
      <c r="AG25" s="65" t="s">
        <v>152</v>
      </c>
      <c r="AH25" s="108">
        <f>IF(EXACT("Stay",LEFT(AG25,LEN("Stay"))),0,VLOOKUP(AG25,decision_cost_table,decision_total_col_num,FALSE))</f>
        <v>-200000</v>
      </c>
      <c r="AI25" s="85" t="str">
        <f>IF(EXACT("Stay",LEFT(AG25,LEN("Stay"))),W25,VLOOKUP(AG25,decision_cost_table,decision_code_col_num,FALSE))</f>
        <v>1000x1h</v>
      </c>
      <c r="AJ25" s="16" t="str">
        <f>AI25</f>
        <v>1000x1h</v>
      </c>
      <c r="AK25" s="17" t="str">
        <f>dec_abbrev&amp;AJ25&amp;"_"&amp;chance_abbrev&amp;X25</f>
        <v>st1000x1h_pv1.09</v>
      </c>
      <c r="AL25" s="18">
        <f>AM25*op_factor</f>
        <v>0</v>
      </c>
      <c r="AM25" s="108">
        <f>VLOOKUP(AK25,op_cost_table,op_cost_total_col_num,FALSE)</f>
        <v>0</v>
      </c>
      <c r="AN25" s="59">
        <f>SUMPRODUCT(AO25:AO27,AQ25:AQ27)</f>
        <v>1852648.2100132019</v>
      </c>
      <c r="AO25" s="96">
        <f>p_up_up</f>
        <v>0.8</v>
      </c>
      <c r="AP25" s="97">
        <f>add_up_up</f>
        <v>0.42</v>
      </c>
      <c r="AQ25" s="156">
        <f>(1-disc_rate)^op_factor*AU25</f>
        <v>2216607.0957474797</v>
      </c>
      <c r="AR25" s="97" t="str">
        <f t="shared" si="5"/>
        <v>1000x1h</v>
      </c>
      <c r="AS25" s="97">
        <f t="shared" si="2"/>
        <v>1.51</v>
      </c>
      <c r="AT25" s="98" t="str">
        <f>dec_abbrev&amp;AR25&amp;"_"&amp;chance_abbrev&amp;AS25</f>
        <v>st1000x1h_pv1.51</v>
      </c>
      <c r="AU25" s="99">
        <f>AV25</f>
        <v>2609779.3293558285</v>
      </c>
      <c r="AV25" s="99">
        <f>AW25*op_factor</f>
        <v>2609779.3293558285</v>
      </c>
      <c r="AW25" s="112">
        <f>VLOOKUP(AT25,op_cost_table,op_cost_total_col_num,FALSE)</f>
        <v>173985.28862372189</v>
      </c>
      <c r="AY25" s="154" t="str">
        <f>IF(p2_picked,p1_choice,"")</f>
        <v/>
      </c>
      <c r="AZ25" s="142" t="str">
        <f>IF(p2_picked,p1_prob*p2_prob,"")</f>
        <v/>
      </c>
      <c r="BA25" s="155" t="str">
        <f>IF(p2_picked,SUM(F25,M25,Q25,AA25,AH25,AL25,AV25),"")</f>
        <v/>
      </c>
    </row>
    <row r="26" spans="1:53" s="5" customFormat="1" ht="17" thickBot="1" x14ac:dyDescent="0.25">
      <c r="B26" s="30">
        <v>0</v>
      </c>
      <c r="C26" s="127">
        <f t="shared" si="6"/>
        <v>0.76</v>
      </c>
      <c r="F26" s="144">
        <f t="shared" si="7"/>
        <v>0</v>
      </c>
      <c r="I26" s="7"/>
      <c r="J26" s="30" t="b">
        <f t="shared" si="8"/>
        <v>0</v>
      </c>
      <c r="L26" s="144" t="str">
        <f t="shared" si="8"/>
        <v>P1 Large</v>
      </c>
      <c r="M26" s="144">
        <f t="shared" si="8"/>
        <v>1958960.8036775447</v>
      </c>
      <c r="N26" s="29" t="str">
        <f t="shared" si="9"/>
        <v>1000x5h</v>
      </c>
      <c r="O26" s="29" t="str">
        <f t="shared" si="15"/>
        <v>1000x5h</v>
      </c>
      <c r="P26" s="29" t="str">
        <f t="shared" si="15"/>
        <v>1000x5h</v>
      </c>
      <c r="Q26" s="144">
        <f t="shared" si="10"/>
        <v>0</v>
      </c>
      <c r="S26" s="7"/>
      <c r="T26" s="29">
        <f t="shared" si="11"/>
        <v>0.5</v>
      </c>
      <c r="U26" s="29">
        <f>U25</f>
        <v>0.33</v>
      </c>
      <c r="W26" s="29" t="str">
        <f t="shared" si="0"/>
        <v>1000x5h</v>
      </c>
      <c r="X26" s="29">
        <f t="shared" si="1"/>
        <v>1.0900000000000001</v>
      </c>
      <c r="AA26" s="144">
        <f t="shared" si="12"/>
        <v>0</v>
      </c>
      <c r="AD26" s="7"/>
      <c r="AE26" s="30" t="b">
        <f>AE25</f>
        <v>0</v>
      </c>
      <c r="AH26" s="29">
        <f t="shared" ref="AH26:AI27" si="16">AH25</f>
        <v>-200000</v>
      </c>
      <c r="AI26" s="29" t="str">
        <f t="shared" si="16"/>
        <v>1000x1h</v>
      </c>
      <c r="AJ26" s="29" t="str">
        <f t="shared" si="14"/>
        <v>1000x1h</v>
      </c>
      <c r="AK26" s="29" t="str">
        <f t="shared" si="14"/>
        <v>st1000x1h_pv1.09</v>
      </c>
      <c r="AL26" s="29">
        <f t="shared" si="14"/>
        <v>0</v>
      </c>
      <c r="AM26" s="29">
        <f t="shared" si="14"/>
        <v>0</v>
      </c>
      <c r="AN26" s="7"/>
      <c r="AO26" s="96">
        <f>p_down_up</f>
        <v>0.19999999999999996</v>
      </c>
      <c r="AP26" s="97">
        <f>add_down_up</f>
        <v>0.17</v>
      </c>
      <c r="AQ26" s="156">
        <f>(1-disc_rate)^op_factor*AU26</f>
        <v>396812.66707609082</v>
      </c>
      <c r="AR26" s="97" t="str">
        <f t="shared" si="5"/>
        <v>1000x1h</v>
      </c>
      <c r="AS26" s="97">
        <f t="shared" si="2"/>
        <v>1.26</v>
      </c>
      <c r="AT26" s="98" t="str">
        <f>dec_abbrev&amp;AR26&amp;"_"&amp;chance_abbrev&amp;AS26</f>
        <v>st1000x1h_pv1.26</v>
      </c>
      <c r="AU26" s="99">
        <f>AV26</f>
        <v>467197.59137670591</v>
      </c>
      <c r="AV26" s="99">
        <f>AW26*op_factor</f>
        <v>467197.59137670591</v>
      </c>
      <c r="AW26" s="112">
        <f>VLOOKUP(AT26,op_cost_table,op_cost_total_col_num,FALSE)</f>
        <v>31146.506091780393</v>
      </c>
      <c r="AY26" s="154" t="str">
        <f>IF(p2_picked,p1_choice,"")</f>
        <v/>
      </c>
      <c r="AZ26" s="142" t="str">
        <f>IF(p2_picked,p1_prob*p2_prob,"")</f>
        <v/>
      </c>
      <c r="BA26" s="155" t="str">
        <f>IF(p2_picked,SUM(F26,M26,Q26,AA26,AH26,AL26,AV26),"")</f>
        <v/>
      </c>
    </row>
    <row r="27" spans="1:53" s="20" customFormat="1" ht="17" thickBot="1" x14ac:dyDescent="0.25">
      <c r="A27" s="51" t="s">
        <v>54</v>
      </c>
      <c r="B27" s="31">
        <v>0</v>
      </c>
      <c r="C27" s="128">
        <f t="shared" si="6"/>
        <v>0.76</v>
      </c>
      <c r="F27" s="145">
        <f t="shared" si="7"/>
        <v>0</v>
      </c>
      <c r="I27" s="21"/>
      <c r="J27" s="31" t="b">
        <f t="shared" si="8"/>
        <v>0</v>
      </c>
      <c r="L27" s="145" t="str">
        <f t="shared" si="8"/>
        <v>P1 Large</v>
      </c>
      <c r="M27" s="145">
        <f t="shared" si="8"/>
        <v>1958960.8036775447</v>
      </c>
      <c r="N27" s="32" t="str">
        <f t="shared" si="9"/>
        <v>1000x5h</v>
      </c>
      <c r="O27" s="32" t="str">
        <f t="shared" si="15"/>
        <v>1000x5h</v>
      </c>
      <c r="P27" s="32" t="str">
        <f t="shared" si="15"/>
        <v>1000x5h</v>
      </c>
      <c r="Q27" s="145">
        <f t="shared" si="10"/>
        <v>0</v>
      </c>
      <c r="S27" s="21"/>
      <c r="T27" s="32">
        <f t="shared" si="11"/>
        <v>0.5</v>
      </c>
      <c r="U27" s="32">
        <f>U26</f>
        <v>0.33</v>
      </c>
      <c r="W27" s="32" t="str">
        <f t="shared" si="0"/>
        <v>1000x5h</v>
      </c>
      <c r="X27" s="32">
        <f t="shared" si="1"/>
        <v>1.0900000000000001</v>
      </c>
      <c r="AA27" s="145">
        <f t="shared" si="12"/>
        <v>0</v>
      </c>
      <c r="AD27" s="21"/>
      <c r="AE27" s="22"/>
      <c r="AF27" s="24"/>
      <c r="AG27" s="24"/>
      <c r="AH27" s="101">
        <f t="shared" si="16"/>
        <v>-200000</v>
      </c>
      <c r="AI27" s="101" t="str">
        <f t="shared" si="16"/>
        <v>1000x1h</v>
      </c>
      <c r="AJ27" s="101" t="str">
        <f t="shared" ref="AJ27:AM27" si="17">AJ26</f>
        <v>1000x1h</v>
      </c>
      <c r="AK27" s="101" t="str">
        <f t="shared" si="17"/>
        <v>st1000x1h_pv1.09</v>
      </c>
      <c r="AL27" s="101">
        <f t="shared" si="17"/>
        <v>0</v>
      </c>
      <c r="AM27" s="101">
        <f t="shared" si="17"/>
        <v>0</v>
      </c>
      <c r="AN27" s="25"/>
      <c r="AR27" s="20" t="str">
        <f t="shared" si="5"/>
        <v>1000x1h</v>
      </c>
      <c r="AS27" s="20">
        <f t="shared" si="2"/>
        <v>1.0900000000000001</v>
      </c>
      <c r="AY27" s="19"/>
      <c r="BA27" s="21"/>
    </row>
    <row r="28" spans="1:53" s="11" customFormat="1" ht="17" thickBot="1" x14ac:dyDescent="0.25">
      <c r="A28" s="52" t="s">
        <v>51</v>
      </c>
      <c r="B28" s="33">
        <f>B27</f>
        <v>0</v>
      </c>
      <c r="C28" s="129">
        <f t="shared" si="6"/>
        <v>0.76</v>
      </c>
      <c r="F28" s="146">
        <f t="shared" si="7"/>
        <v>0</v>
      </c>
      <c r="I28" s="12"/>
      <c r="J28" s="33" t="b">
        <f t="shared" si="8"/>
        <v>0</v>
      </c>
      <c r="L28" s="146" t="str">
        <f t="shared" si="8"/>
        <v>P1 Large</v>
      </c>
      <c r="M28" s="146">
        <f t="shared" si="8"/>
        <v>1958960.8036775447</v>
      </c>
      <c r="N28" s="34" t="str">
        <f t="shared" ref="N28:N35" si="18">N27</f>
        <v>1000x5h</v>
      </c>
      <c r="O28" s="34" t="str">
        <f t="shared" si="15"/>
        <v>1000x5h</v>
      </c>
      <c r="P28" s="34" t="str">
        <f t="shared" si="15"/>
        <v>1000x5h</v>
      </c>
      <c r="Q28" s="146">
        <f t="shared" si="10"/>
        <v>0</v>
      </c>
      <c r="S28" s="12"/>
      <c r="T28" s="71"/>
      <c r="U28" s="13"/>
      <c r="W28" s="13"/>
      <c r="X28" s="13"/>
      <c r="Y28" s="13"/>
      <c r="Z28" s="13"/>
      <c r="AA28" s="13"/>
      <c r="AB28" s="13"/>
      <c r="AC28" s="13"/>
      <c r="AD28" s="14"/>
      <c r="AK28" s="45"/>
      <c r="AY28" s="10"/>
      <c r="BA28" s="12"/>
    </row>
    <row r="29" spans="1:53" s="5" customFormat="1" ht="17" thickBot="1" x14ac:dyDescent="0.25">
      <c r="B29" s="30">
        <v>0</v>
      </c>
      <c r="C29" s="127">
        <f t="shared" si="6"/>
        <v>0.76</v>
      </c>
      <c r="F29" s="144">
        <f t="shared" si="7"/>
        <v>0</v>
      </c>
      <c r="I29" s="7"/>
      <c r="J29" s="30" t="b">
        <f t="shared" si="8"/>
        <v>0</v>
      </c>
      <c r="L29" s="144" t="str">
        <f t="shared" si="8"/>
        <v>P1 Large</v>
      </c>
      <c r="M29" s="144">
        <f t="shared" si="8"/>
        <v>1958960.8036775447</v>
      </c>
      <c r="N29" s="29" t="str">
        <f t="shared" si="18"/>
        <v>1000x5h</v>
      </c>
      <c r="O29" s="29" t="str">
        <f t="shared" si="15"/>
        <v>1000x5h</v>
      </c>
      <c r="P29" s="29" t="str">
        <f t="shared" si="15"/>
        <v>1000x5h</v>
      </c>
      <c r="Q29" s="144">
        <f t="shared" si="10"/>
        <v>0</v>
      </c>
      <c r="S29" s="7"/>
      <c r="T29" s="70">
        <f>p_down_up</f>
        <v>0.5</v>
      </c>
      <c r="U29" s="16">
        <f>add_down_up</f>
        <v>0.1</v>
      </c>
      <c r="V29" s="143">
        <f>(1-disc_rate)^op_factor*Z29</f>
        <v>-102463.01725089939</v>
      </c>
      <c r="W29" s="16" t="str">
        <f t="shared" ref="W29:W34" si="19">O29</f>
        <v>1000x5h</v>
      </c>
      <c r="X29" s="16">
        <f t="shared" ref="X29:X34" si="20">C29+U29</f>
        <v>0.86</v>
      </c>
      <c r="Y29" s="17" t="str">
        <f>dec_abbrev&amp;W29&amp;"_"&amp;chance_abbrev&amp;X29</f>
        <v>st1000x5h_pv0.86</v>
      </c>
      <c r="Z29" s="18">
        <f>AA29+AD29</f>
        <v>-120637.46658478183</v>
      </c>
      <c r="AA29" s="18">
        <f>AB29*op_factor</f>
        <v>0</v>
      </c>
      <c r="AB29" s="108">
        <f>VLOOKUP(Y29,op_cost_table,op_cost_total_col_num,FALSE)</f>
        <v>0</v>
      </c>
      <c r="AC29" s="58" t="str">
        <f>VLOOKUP(AD29,AF29:AG35,2,FALSE)</f>
        <v>Downsize Large</v>
      </c>
      <c r="AD29" s="59">
        <f>MIN(AF29:AF35)</f>
        <v>-120637.46658478183</v>
      </c>
      <c r="AE29" s="15" t="b">
        <f>AD29=AF29</f>
        <v>0</v>
      </c>
      <c r="AF29" s="18">
        <f>SUM(AH29,AL29,AN29)</f>
        <v>0</v>
      </c>
      <c r="AG29" s="65" t="s">
        <v>174</v>
      </c>
      <c r="AH29" s="108">
        <f>IF(EXACT("Stay",LEFT(AG29,LEN("Stay"))),0,VLOOKUP(AG29,decision_cost_table,decision_total_col_num,FALSE))</f>
        <v>0</v>
      </c>
      <c r="AI29" s="85" t="str">
        <f>IF(EXACT("Stay",LEFT(AG29,LEN("Stay"))),W29,VLOOKUP(AG29,decision_cost_table,decision_code_col_num,FALSE))</f>
        <v>1000x5h</v>
      </c>
      <c r="AJ29" s="16" t="str">
        <f>AI29</f>
        <v>1000x5h</v>
      </c>
      <c r="AK29" s="17" t="str">
        <f>dec_abbrev&amp;AJ29&amp;"_"&amp;chance_abbrev&amp;X29</f>
        <v>st1000x5h_pv0.86</v>
      </c>
      <c r="AL29" s="18">
        <f>AM29*op_factor</f>
        <v>0</v>
      </c>
      <c r="AM29" s="108">
        <f>VLOOKUP(AK29,op_cost_table,op_cost_total_col_num,FALSE)</f>
        <v>0</v>
      </c>
      <c r="AN29" s="59">
        <f>SUMPRODUCT(AO29:AO31,AQ29:AQ31)</f>
        <v>0</v>
      </c>
      <c r="AO29" s="100">
        <f>p_up_down</f>
        <v>0.2</v>
      </c>
      <c r="AP29" s="97">
        <f>add_up_down</f>
        <v>0.4</v>
      </c>
      <c r="AQ29" s="156">
        <f>(1-disc_rate)^op_factor*AU29</f>
        <v>0</v>
      </c>
      <c r="AR29" s="97" t="str">
        <f>AJ29</f>
        <v>1000x5h</v>
      </c>
      <c r="AS29" s="97">
        <f t="shared" ref="AS29:AS34" si="21">X29+AP29</f>
        <v>1.26</v>
      </c>
      <c r="AT29" s="98" t="str">
        <f>dec_abbrev&amp;AR29&amp;"_"&amp;chance_abbrev&amp;AS29</f>
        <v>st1000x5h_pv1.26</v>
      </c>
      <c r="AU29" s="99">
        <f>AV29</f>
        <v>0</v>
      </c>
      <c r="AV29" s="99">
        <f>AW29*op_factor</f>
        <v>0</v>
      </c>
      <c r="AW29" s="112">
        <f>VLOOKUP(AT29,op_cost_table,op_cost_total_col_num,FALSE)</f>
        <v>0</v>
      </c>
      <c r="AY29" s="154" t="str">
        <f>IF(p2_picked,p1_choice,"")</f>
        <v/>
      </c>
      <c r="AZ29" s="142" t="str">
        <f>IF(p2_picked,p1_prob*p2_prob,"")</f>
        <v/>
      </c>
      <c r="BA29" s="155" t="str">
        <f>IF(p2_picked,SUM(F29,M29,Q29,AA29,AH29,AL29,AV29),"")</f>
        <v/>
      </c>
    </row>
    <row r="30" spans="1:53" s="5" customFormat="1" ht="17" thickBot="1" x14ac:dyDescent="0.25">
      <c r="B30" s="30">
        <v>0</v>
      </c>
      <c r="C30" s="127">
        <f t="shared" si="6"/>
        <v>0.76</v>
      </c>
      <c r="F30" s="144">
        <f t="shared" si="7"/>
        <v>0</v>
      </c>
      <c r="I30" s="7"/>
      <c r="J30" s="30" t="b">
        <f t="shared" si="8"/>
        <v>0</v>
      </c>
      <c r="L30" s="144" t="str">
        <f t="shared" si="8"/>
        <v>P1 Large</v>
      </c>
      <c r="M30" s="144">
        <f t="shared" si="8"/>
        <v>1958960.8036775447</v>
      </c>
      <c r="N30" s="29" t="str">
        <f t="shared" si="18"/>
        <v>1000x5h</v>
      </c>
      <c r="O30" s="29" t="str">
        <f t="shared" si="15"/>
        <v>1000x5h</v>
      </c>
      <c r="P30" s="29" t="str">
        <f t="shared" si="15"/>
        <v>1000x5h</v>
      </c>
      <c r="Q30" s="144">
        <f t="shared" si="10"/>
        <v>0</v>
      </c>
      <c r="S30" s="7"/>
      <c r="T30" s="29">
        <f>T29</f>
        <v>0.5</v>
      </c>
      <c r="U30" s="29">
        <f>U29</f>
        <v>0.1</v>
      </c>
      <c r="W30" s="29" t="str">
        <f t="shared" si="19"/>
        <v>1000x5h</v>
      </c>
      <c r="X30" s="29">
        <f t="shared" si="20"/>
        <v>0.86</v>
      </c>
      <c r="AA30" s="144">
        <f>AA29</f>
        <v>0</v>
      </c>
      <c r="AD30" s="7"/>
      <c r="AE30" s="30" t="b">
        <f>AE29</f>
        <v>0</v>
      </c>
      <c r="AH30" s="29">
        <f t="shared" ref="AH30:AI31" si="22">AH29</f>
        <v>0</v>
      </c>
      <c r="AI30" s="29" t="str">
        <f t="shared" si="22"/>
        <v>1000x5h</v>
      </c>
      <c r="AJ30" s="29" t="str">
        <f t="shared" ref="AJ30:AM31" si="23">AJ29</f>
        <v>1000x5h</v>
      </c>
      <c r="AK30" s="29" t="str">
        <f t="shared" si="23"/>
        <v>st1000x5h_pv0.86</v>
      </c>
      <c r="AL30" s="29">
        <f t="shared" si="23"/>
        <v>0</v>
      </c>
      <c r="AM30" s="29">
        <f t="shared" si="23"/>
        <v>0</v>
      </c>
      <c r="AN30" s="7"/>
      <c r="AO30" s="100">
        <f>p_down_down</f>
        <v>0.8</v>
      </c>
      <c r="AP30" s="97">
        <f>add_down_down</f>
        <v>0.25</v>
      </c>
      <c r="AQ30" s="156">
        <f>(1-disc_rate)^op_factor*AU30</f>
        <v>0</v>
      </c>
      <c r="AR30" s="97" t="str">
        <f t="shared" ref="AR30:AR34" si="24">AJ30</f>
        <v>1000x5h</v>
      </c>
      <c r="AS30" s="97">
        <f t="shared" si="21"/>
        <v>1.1099999999999999</v>
      </c>
      <c r="AT30" s="98" t="str">
        <f>dec_abbrev&amp;AR30&amp;"_"&amp;chance_abbrev&amp;AS30</f>
        <v>st1000x5h_pv1.11</v>
      </c>
      <c r="AU30" s="99">
        <f>AV30</f>
        <v>0</v>
      </c>
      <c r="AV30" s="99">
        <f>AW30*op_factor</f>
        <v>0</v>
      </c>
      <c r="AW30" s="112">
        <f>VLOOKUP(AT30,op_cost_table,op_cost_total_col_num,FALSE)</f>
        <v>0</v>
      </c>
      <c r="AY30" s="154" t="str">
        <f>IF(p2_picked,p1_choice,"")</f>
        <v/>
      </c>
      <c r="AZ30" s="142" t="str">
        <f>IF(p2_picked,p1_prob*p2_prob,"")</f>
        <v/>
      </c>
      <c r="BA30" s="155" t="str">
        <f>IF(p2_picked,SUM(F30,M30,Q30,AA30,AH30,AL30,AV30),"")</f>
        <v/>
      </c>
    </row>
    <row r="31" spans="1:53" s="20" customFormat="1" ht="17" thickBot="1" x14ac:dyDescent="0.25">
      <c r="A31" s="51" t="s">
        <v>54</v>
      </c>
      <c r="B31" s="31">
        <v>0</v>
      </c>
      <c r="C31" s="128">
        <f t="shared" si="6"/>
        <v>0.76</v>
      </c>
      <c r="F31" s="145">
        <f t="shared" si="7"/>
        <v>0</v>
      </c>
      <c r="I31" s="21"/>
      <c r="J31" s="31" t="b">
        <f t="shared" si="8"/>
        <v>0</v>
      </c>
      <c r="L31" s="145" t="str">
        <f t="shared" si="8"/>
        <v>P1 Large</v>
      </c>
      <c r="M31" s="145">
        <f t="shared" si="8"/>
        <v>1958960.8036775447</v>
      </c>
      <c r="N31" s="32" t="str">
        <f t="shared" si="18"/>
        <v>1000x5h</v>
      </c>
      <c r="O31" s="32" t="str">
        <f t="shared" si="15"/>
        <v>1000x5h</v>
      </c>
      <c r="P31" s="32" t="str">
        <f t="shared" si="15"/>
        <v>1000x5h</v>
      </c>
      <c r="Q31" s="145">
        <f t="shared" si="10"/>
        <v>0</v>
      </c>
      <c r="S31" s="21"/>
      <c r="T31" s="32">
        <f t="shared" ref="T31" si="25">T30</f>
        <v>0.5</v>
      </c>
      <c r="U31" s="32">
        <f>U30</f>
        <v>0.1</v>
      </c>
      <c r="W31" s="32" t="str">
        <f t="shared" si="19"/>
        <v>1000x5h</v>
      </c>
      <c r="X31" s="32">
        <f t="shared" si="20"/>
        <v>0.86</v>
      </c>
      <c r="AA31" s="145">
        <f t="shared" ref="AA31:AA34" si="26">AA30</f>
        <v>0</v>
      </c>
      <c r="AD31" s="21"/>
      <c r="AE31" s="22"/>
      <c r="AF31" s="24"/>
      <c r="AG31" s="24"/>
      <c r="AH31" s="101">
        <f t="shared" si="22"/>
        <v>0</v>
      </c>
      <c r="AI31" s="101" t="str">
        <f t="shared" si="22"/>
        <v>1000x5h</v>
      </c>
      <c r="AJ31" s="101" t="str">
        <f t="shared" si="23"/>
        <v>1000x5h</v>
      </c>
      <c r="AK31" s="101" t="str">
        <f t="shared" si="23"/>
        <v>st1000x5h_pv0.86</v>
      </c>
      <c r="AL31" s="101">
        <f t="shared" si="23"/>
        <v>0</v>
      </c>
      <c r="AM31" s="101">
        <f t="shared" si="23"/>
        <v>0</v>
      </c>
      <c r="AN31" s="25"/>
      <c r="AR31" s="20" t="str">
        <f t="shared" si="24"/>
        <v>1000x5h</v>
      </c>
      <c r="AS31" s="20">
        <f t="shared" si="21"/>
        <v>0.86</v>
      </c>
      <c r="AY31" s="19"/>
      <c r="BA31" s="21"/>
    </row>
    <row r="32" spans="1:53" s="5" customFormat="1" ht="17" thickBot="1" x14ac:dyDescent="0.25">
      <c r="B32" s="30">
        <v>0</v>
      </c>
      <c r="C32" s="127">
        <f t="shared" si="6"/>
        <v>0.76</v>
      </c>
      <c r="D32" s="6"/>
      <c r="F32" s="144">
        <f t="shared" si="7"/>
        <v>0</v>
      </c>
      <c r="I32" s="7"/>
      <c r="J32" s="30" t="b">
        <f t="shared" si="8"/>
        <v>0</v>
      </c>
      <c r="K32" s="8"/>
      <c r="L32" s="144" t="str">
        <f t="shared" si="8"/>
        <v>P1 Large</v>
      </c>
      <c r="M32" s="144">
        <f t="shared" si="8"/>
        <v>1958960.8036775447</v>
      </c>
      <c r="N32" s="29" t="str">
        <f t="shared" si="18"/>
        <v>1000x5h</v>
      </c>
      <c r="O32" s="29" t="str">
        <f t="shared" si="15"/>
        <v>1000x5h</v>
      </c>
      <c r="P32" s="29" t="str">
        <f t="shared" si="15"/>
        <v>1000x5h</v>
      </c>
      <c r="Q32" s="144">
        <f t="shared" si="10"/>
        <v>0</v>
      </c>
      <c r="S32" s="7"/>
      <c r="T32" s="29">
        <f t="shared" ref="T32" si="27">T31</f>
        <v>0.5</v>
      </c>
      <c r="U32" s="29">
        <f>U31</f>
        <v>0.1</v>
      </c>
      <c r="W32" s="29" t="str">
        <f t="shared" si="19"/>
        <v>1000x5h</v>
      </c>
      <c r="X32" s="29">
        <f t="shared" si="20"/>
        <v>0.86</v>
      </c>
      <c r="Y32" s="6"/>
      <c r="AA32" s="144">
        <f t="shared" si="26"/>
        <v>0</v>
      </c>
      <c r="AD32" s="7"/>
      <c r="AE32" s="15" t="b">
        <f>AD29=AF32</f>
        <v>1</v>
      </c>
      <c r="AF32" s="18">
        <f>SUM(AH32,AL32,AN32)</f>
        <v>-120637.46658478183</v>
      </c>
      <c r="AG32" s="65" t="s">
        <v>152</v>
      </c>
      <c r="AH32" s="108">
        <f>IF(EXACT("Stay",LEFT(AG32,LEN("Stay"))),0,VLOOKUP(AG32,decision_cost_table,decision_total_col_num,FALSE))</f>
        <v>-200000</v>
      </c>
      <c r="AI32" s="85" t="str">
        <f>IF(EXACT("Stay",LEFT(AG32,LEN("Stay"))),W32,VLOOKUP(AG32,decision_cost_table,decision_code_col_num,FALSE))</f>
        <v>1000x1h</v>
      </c>
      <c r="AJ32" s="16" t="str">
        <f>AI32</f>
        <v>1000x1h</v>
      </c>
      <c r="AK32" s="17" t="str">
        <f>dec_abbrev&amp;AJ32&amp;"_"&amp;chance_abbrev&amp;X32</f>
        <v>st1000x1h_pv0.86</v>
      </c>
      <c r="AL32" s="18">
        <f>AM32*op_factor</f>
        <v>0</v>
      </c>
      <c r="AM32" s="108">
        <f>VLOOKUP(AK32,op_cost_table,op_cost_total_col_num,FALSE)</f>
        <v>0</v>
      </c>
      <c r="AN32" s="59">
        <f>SUMPRODUCT(AO32:AO34,AQ32:AQ34)</f>
        <v>79362.533415218175</v>
      </c>
      <c r="AO32" s="100">
        <f>p_up_down</f>
        <v>0.2</v>
      </c>
      <c r="AP32" s="97">
        <f>add_up_down</f>
        <v>0.4</v>
      </c>
      <c r="AQ32" s="156">
        <f>(1-disc_rate)^op_factor*AU32</f>
        <v>396812.66707609082</v>
      </c>
      <c r="AR32" s="97" t="str">
        <f t="shared" si="24"/>
        <v>1000x1h</v>
      </c>
      <c r="AS32" s="97">
        <f t="shared" si="21"/>
        <v>1.26</v>
      </c>
      <c r="AT32" s="98" t="str">
        <f>dec_abbrev&amp;AR32&amp;"_"&amp;chance_abbrev&amp;AS32</f>
        <v>st1000x1h_pv1.26</v>
      </c>
      <c r="AU32" s="99">
        <f>AV32</f>
        <v>467197.59137670591</v>
      </c>
      <c r="AV32" s="99">
        <f>AW32*op_factor</f>
        <v>467197.59137670591</v>
      </c>
      <c r="AW32" s="112">
        <f>VLOOKUP(AT32,op_cost_table,op_cost_total_col_num,FALSE)</f>
        <v>31146.506091780393</v>
      </c>
      <c r="AY32" s="154" t="str">
        <f>IF(p2_picked,p1_choice,"")</f>
        <v>P1 Large</v>
      </c>
      <c r="AZ32" s="142">
        <f>IF(p2_picked,p1_prob*p2_prob,"")</f>
        <v>0.1</v>
      </c>
      <c r="BA32" s="155">
        <f>IF(p2_picked,SUM(F32,M32,Q32,AA32,AH32,AL32,AV32),"")</f>
        <v>2226158.3950542505</v>
      </c>
    </row>
    <row r="33" spans="1:53" s="5" customFormat="1" ht="17" thickBot="1" x14ac:dyDescent="0.25">
      <c r="B33" s="30">
        <v>0</v>
      </c>
      <c r="C33" s="127">
        <f t="shared" si="6"/>
        <v>0.76</v>
      </c>
      <c r="F33" s="144">
        <f t="shared" si="7"/>
        <v>0</v>
      </c>
      <c r="I33" s="7"/>
      <c r="J33" s="30" t="b">
        <f t="shared" si="8"/>
        <v>0</v>
      </c>
      <c r="L33" s="144" t="str">
        <f t="shared" si="8"/>
        <v>P1 Large</v>
      </c>
      <c r="M33" s="144">
        <f t="shared" si="8"/>
        <v>1958960.8036775447</v>
      </c>
      <c r="N33" s="29" t="str">
        <f t="shared" si="18"/>
        <v>1000x5h</v>
      </c>
      <c r="O33" s="29" t="str">
        <f t="shared" si="15"/>
        <v>1000x5h</v>
      </c>
      <c r="P33" s="29" t="str">
        <f t="shared" si="15"/>
        <v>1000x5h</v>
      </c>
      <c r="Q33" s="144">
        <f t="shared" si="10"/>
        <v>0</v>
      </c>
      <c r="S33" s="7"/>
      <c r="T33" s="29">
        <f t="shared" ref="T33" si="28">T32</f>
        <v>0.5</v>
      </c>
      <c r="U33" s="29">
        <f>U32</f>
        <v>0.1</v>
      </c>
      <c r="W33" s="29" t="str">
        <f t="shared" si="19"/>
        <v>1000x5h</v>
      </c>
      <c r="X33" s="29">
        <f t="shared" si="20"/>
        <v>0.86</v>
      </c>
      <c r="AA33" s="144">
        <f t="shared" si="26"/>
        <v>0</v>
      </c>
      <c r="AD33" s="7"/>
      <c r="AE33" s="30" t="b">
        <f>AE32</f>
        <v>1</v>
      </c>
      <c r="AH33" s="29">
        <f t="shared" ref="AH33:AI33" si="29">AH32</f>
        <v>-200000</v>
      </c>
      <c r="AI33" s="29" t="str">
        <f t="shared" si="29"/>
        <v>1000x1h</v>
      </c>
      <c r="AJ33" s="29" t="str">
        <f t="shared" ref="AJ33:AJ34" si="30">AJ32</f>
        <v>1000x1h</v>
      </c>
      <c r="AK33" s="6"/>
      <c r="AN33" s="7"/>
      <c r="AO33" s="100">
        <f>p_down_down</f>
        <v>0.8</v>
      </c>
      <c r="AP33" s="97">
        <f>add_down_down</f>
        <v>0.25</v>
      </c>
      <c r="AQ33" s="156">
        <f>(1-disc_rate)^op_factor*AU33</f>
        <v>0</v>
      </c>
      <c r="AR33" s="97" t="str">
        <f t="shared" si="24"/>
        <v>1000x1h</v>
      </c>
      <c r="AS33" s="97">
        <f t="shared" si="21"/>
        <v>1.1099999999999999</v>
      </c>
      <c r="AT33" s="98" t="str">
        <f>dec_abbrev&amp;AR33&amp;"_"&amp;chance_abbrev&amp;AS33</f>
        <v>st1000x1h_pv1.11</v>
      </c>
      <c r="AU33" s="99">
        <f>AV33</f>
        <v>0</v>
      </c>
      <c r="AV33" s="99">
        <f>AW33*op_factor</f>
        <v>0</v>
      </c>
      <c r="AW33" s="112">
        <f>VLOOKUP(AT33,op_cost_table,op_cost_total_col_num,FALSE)</f>
        <v>0</v>
      </c>
      <c r="AY33" s="154" t="str">
        <f>IF(p2_picked,p1_choice,"")</f>
        <v>P1 Large</v>
      </c>
      <c r="AZ33" s="142">
        <f>IF(p2_picked,p1_prob*p2_prob,"")</f>
        <v>0.4</v>
      </c>
      <c r="BA33" s="155">
        <f>IF(p2_picked,SUM(F33,M33,Q33,AA33,AH33,AL33,AV33),"")</f>
        <v>1758960.8036775447</v>
      </c>
    </row>
    <row r="34" spans="1:53" s="20" customFormat="1" ht="17" thickBot="1" x14ac:dyDescent="0.25">
      <c r="A34" s="51" t="s">
        <v>54</v>
      </c>
      <c r="B34" s="31">
        <v>0</v>
      </c>
      <c r="C34" s="128">
        <f t="shared" si="6"/>
        <v>0.76</v>
      </c>
      <c r="F34" s="145">
        <f t="shared" si="7"/>
        <v>0</v>
      </c>
      <c r="I34" s="21"/>
      <c r="J34" s="19"/>
      <c r="L34" s="145" t="str">
        <f t="shared" si="8"/>
        <v>P1 Large</v>
      </c>
      <c r="M34" s="145">
        <f t="shared" si="8"/>
        <v>1958960.8036775447</v>
      </c>
      <c r="N34" s="32" t="str">
        <f t="shared" si="18"/>
        <v>1000x5h</v>
      </c>
      <c r="O34" s="32" t="str">
        <f t="shared" si="15"/>
        <v>1000x5h</v>
      </c>
      <c r="P34" s="32" t="str">
        <f t="shared" si="15"/>
        <v>1000x5h</v>
      </c>
      <c r="Q34" s="145">
        <f t="shared" si="10"/>
        <v>0</v>
      </c>
      <c r="S34" s="21"/>
      <c r="T34" s="32">
        <f t="shared" ref="T34" si="31">T33</f>
        <v>0.5</v>
      </c>
      <c r="U34" s="32">
        <f>U33</f>
        <v>0.1</v>
      </c>
      <c r="W34" s="32" t="str">
        <f t="shared" si="19"/>
        <v>1000x5h</v>
      </c>
      <c r="X34" s="32">
        <f t="shared" si="20"/>
        <v>0.86</v>
      </c>
      <c r="AA34" s="145">
        <f t="shared" si="26"/>
        <v>0</v>
      </c>
      <c r="AD34" s="21"/>
      <c r="AE34" s="22"/>
      <c r="AF34" s="24"/>
      <c r="AG34" s="24"/>
      <c r="AH34" s="101">
        <f t="shared" ref="AH34:AI34" si="32">AH33</f>
        <v>-200000</v>
      </c>
      <c r="AI34" s="101" t="str">
        <f t="shared" si="32"/>
        <v>1000x1h</v>
      </c>
      <c r="AJ34" s="101" t="str">
        <f t="shared" si="30"/>
        <v>1000x1h</v>
      </c>
      <c r="AK34" s="23"/>
      <c r="AL34" s="24"/>
      <c r="AM34" s="24"/>
      <c r="AN34" s="25"/>
      <c r="AR34" s="20" t="str">
        <f t="shared" si="24"/>
        <v>1000x1h</v>
      </c>
      <c r="AS34" s="20">
        <f t="shared" si="21"/>
        <v>0.86</v>
      </c>
      <c r="AY34" s="19"/>
      <c r="BA34" s="21"/>
    </row>
    <row r="35" spans="1:53" s="11" customFormat="1" ht="17" thickBot="1" x14ac:dyDescent="0.25">
      <c r="A35" s="52" t="s">
        <v>51</v>
      </c>
      <c r="B35" s="33">
        <f>B34</f>
        <v>0</v>
      </c>
      <c r="C35" s="129">
        <f t="shared" si="6"/>
        <v>0.76</v>
      </c>
      <c r="F35" s="146">
        <f t="shared" si="7"/>
        <v>0</v>
      </c>
      <c r="I35" s="12"/>
      <c r="J35" s="10"/>
      <c r="L35" s="146" t="str">
        <f t="shared" si="8"/>
        <v>P1 Large</v>
      </c>
      <c r="M35" s="146">
        <f t="shared" si="8"/>
        <v>1958960.8036775447</v>
      </c>
      <c r="N35" s="146" t="str">
        <f t="shared" si="18"/>
        <v>1000x5h</v>
      </c>
      <c r="O35" s="146" t="str">
        <f t="shared" ref="O35:P35" si="33">O34</f>
        <v>1000x5h</v>
      </c>
      <c r="P35" s="146" t="str">
        <f t="shared" si="33"/>
        <v>1000x5h</v>
      </c>
      <c r="Q35" s="146">
        <f t="shared" si="10"/>
        <v>0</v>
      </c>
      <c r="S35" s="12"/>
      <c r="T35" s="71"/>
      <c r="U35" s="13"/>
      <c r="V35" s="13"/>
      <c r="W35" s="13"/>
      <c r="X35" s="13"/>
      <c r="Y35" s="13"/>
      <c r="Z35" s="13"/>
      <c r="AA35" s="13"/>
      <c r="AB35" s="13"/>
      <c r="AC35" s="13"/>
      <c r="AD35" s="14"/>
      <c r="AK35" s="45"/>
      <c r="AY35" s="71"/>
      <c r="AZ35" s="13"/>
      <c r="BA35" s="14"/>
    </row>
    <row r="36" spans="1:53" s="48" customFormat="1" ht="17" thickBot="1" x14ac:dyDescent="0.25">
      <c r="A36" s="53" t="s">
        <v>53</v>
      </c>
      <c r="B36" s="46">
        <f>B35</f>
        <v>0</v>
      </c>
      <c r="C36" s="130">
        <f t="shared" si="6"/>
        <v>0.76</v>
      </c>
      <c r="F36" s="147">
        <f t="shared" si="7"/>
        <v>0</v>
      </c>
      <c r="I36" s="49"/>
      <c r="J36" s="66"/>
      <c r="K36" s="67"/>
      <c r="L36" s="67"/>
      <c r="M36" s="67"/>
      <c r="N36" s="67"/>
      <c r="O36" s="67"/>
      <c r="P36" s="68"/>
      <c r="Q36" s="67"/>
      <c r="R36" s="67"/>
      <c r="S36" s="69"/>
      <c r="AK36" s="50"/>
    </row>
    <row r="37" spans="1:53" s="5" customFormat="1" ht="17" thickBot="1" x14ac:dyDescent="0.25">
      <c r="B37" s="30">
        <v>0</v>
      </c>
      <c r="C37" s="127">
        <f t="shared" si="6"/>
        <v>0.76</v>
      </c>
      <c r="D37" s="6"/>
      <c r="E37" s="8"/>
      <c r="F37" s="144">
        <f t="shared" si="7"/>
        <v>0</v>
      </c>
      <c r="I37" s="60"/>
      <c r="J37" s="5" t="b">
        <f>I$22=K37</f>
        <v>1</v>
      </c>
      <c r="K37" s="8">
        <f>SUM(M37,Q37,S37)</f>
        <v>1080352.0974381617</v>
      </c>
      <c r="L37" s="79" t="s">
        <v>63</v>
      </c>
      <c r="M37" s="108">
        <f>VLOOKUP(L37,decision_cost_table,decision_total_col_num,FALSE)</f>
        <v>550960.8036775447</v>
      </c>
      <c r="N37" s="85" t="str">
        <f>VLOOKUP(L37,decision_cost_table,decision_code_col_num,FALSE)</f>
        <v>1000x1h</v>
      </c>
      <c r="O37" s="16" t="str">
        <f>N37</f>
        <v>1000x1h</v>
      </c>
      <c r="P37" s="17" t="str">
        <f>dec_abbrev&amp;O37&amp;"_"&amp;chance_abbrev&amp;C37</f>
        <v>st1000x1h_pv0.76</v>
      </c>
      <c r="Q37" s="18">
        <f>R37*op_factor</f>
        <v>0</v>
      </c>
      <c r="R37" s="108">
        <f>VLOOKUP(P37,op_cost_table,op_cost_total_col_num,FALSE)</f>
        <v>0</v>
      </c>
      <c r="S37" s="59">
        <f>SUMPRODUCT(T37:T51,V37:V51)</f>
        <v>529391.29376061715</v>
      </c>
      <c r="T37" s="86">
        <f>p_up_up</f>
        <v>0.5</v>
      </c>
      <c r="U37" s="16">
        <f>add_up_up</f>
        <v>0.33</v>
      </c>
      <c r="V37" s="143">
        <f>(1-disc_rate)^op_factor*Z37</f>
        <v>991376.29277213372</v>
      </c>
      <c r="W37" s="16" t="str">
        <f t="shared" ref="W37:W42" si="34">O37</f>
        <v>1000x1h</v>
      </c>
      <c r="X37" s="16">
        <f t="shared" ref="X37:X42" si="35">C37+U37</f>
        <v>1.0900000000000001</v>
      </c>
      <c r="Y37" s="17" t="str">
        <f>dec_abbrev&amp;W37&amp;"_"&amp;chance_abbrev&amp;X37</f>
        <v>st1000x1h_pv1.09</v>
      </c>
      <c r="Z37" s="18">
        <f>AA37+AD37</f>
        <v>1167222.3559392926</v>
      </c>
      <c r="AA37" s="18">
        <f>AB37*op_factor</f>
        <v>0</v>
      </c>
      <c r="AB37" s="108">
        <f>VLOOKUP(Y37,op_cost_table,op_cost_total_col_num,FALSE)</f>
        <v>0</v>
      </c>
      <c r="AC37" s="58" t="str">
        <f>VLOOKUP(AD37,AF37:AG43,2,FALSE)</f>
        <v>Expand Flex</v>
      </c>
      <c r="AD37" s="59">
        <f>MIN(AF37:AF43)</f>
        <v>1167222.3559392926</v>
      </c>
      <c r="AE37" s="15" t="b">
        <f>AD37=AF37</f>
        <v>1</v>
      </c>
      <c r="AF37" s="18">
        <f>SUM(AH37,AL37,AN37)</f>
        <v>1167222.3559392926</v>
      </c>
      <c r="AG37" s="65" t="s">
        <v>175</v>
      </c>
      <c r="AH37" s="108">
        <f>IF(EXACT("Stay",LEFT(AG37,LEN("Stay"))),0,VLOOKUP(AG37,decision_cost_table,decision_total_col_num,FALSE))</f>
        <v>1000000</v>
      </c>
      <c r="AI37" s="85" t="str">
        <f>IF(EXACT("Stay",LEFT(AG37,LEN("Stay"))),W37,VLOOKUP(AG37,decision_cost_table,decision_code_col_num,FALSE))</f>
        <v>1000x5h</v>
      </c>
      <c r="AJ37" s="16" t="str">
        <f>AI37</f>
        <v>1000x5h</v>
      </c>
      <c r="AK37" s="17" t="str">
        <f>dec_abbrev&amp;AJ37&amp;"_"&amp;chance_abbrev&amp;X37</f>
        <v>st1000x5h_pv1.09</v>
      </c>
      <c r="AL37" s="18">
        <f>AM37*op_factor</f>
        <v>0</v>
      </c>
      <c r="AM37" s="108">
        <f>VLOOKUP(AK37,op_cost_table,op_cost_total_col_num,FALSE)</f>
        <v>0</v>
      </c>
      <c r="AN37" s="59">
        <f>SUMPRODUCT(AO37:AO39,AQ37:AQ39)</f>
        <v>167222.35593929258</v>
      </c>
      <c r="AO37" s="96">
        <f>p_up_up</f>
        <v>0.8</v>
      </c>
      <c r="AP37" s="97">
        <f>add_up_up</f>
        <v>0.42</v>
      </c>
      <c r="AQ37" s="156">
        <f>(1-disc_rate)^op_factor*AU37</f>
        <v>209027.9449241157</v>
      </c>
      <c r="AR37" s="97" t="str">
        <f>AJ37</f>
        <v>1000x5h</v>
      </c>
      <c r="AS37" s="97">
        <f t="shared" ref="AS37:AS42" si="36">X37+AP37</f>
        <v>1.51</v>
      </c>
      <c r="AT37" s="98" t="str">
        <f>dec_abbrev&amp;AR37&amp;"_"&amp;chance_abbrev&amp;AS37</f>
        <v>st1000x5h_pv1.51</v>
      </c>
      <c r="AU37" s="99">
        <f>AV37</f>
        <v>246104.42282136955</v>
      </c>
      <c r="AV37" s="99">
        <f>AW37*op_factor</f>
        <v>246104.42282136955</v>
      </c>
      <c r="AW37" s="112">
        <f>VLOOKUP(AT37,op_cost_table,op_cost_total_col_num,FALSE)</f>
        <v>16406.961521424637</v>
      </c>
      <c r="AY37" s="15" t="str">
        <f>IF(p2_picked,p1_choice,"")</f>
        <v>P1 Flex</v>
      </c>
      <c r="AZ37" s="152">
        <f>IF(p2_picked,p1_prob*p2_prob,"")</f>
        <v>0.4</v>
      </c>
      <c r="BA37" s="153">
        <f>IF(p2_picked,SUM(F37,M37,Q37,AA37,AH37,AL37,AV37),"")</f>
        <v>1797065.2264989142</v>
      </c>
    </row>
    <row r="38" spans="1:53" s="5" customFormat="1" ht="17" thickBot="1" x14ac:dyDescent="0.25">
      <c r="B38" s="30">
        <v>0</v>
      </c>
      <c r="C38" s="127">
        <f t="shared" si="6"/>
        <v>0.76</v>
      </c>
      <c r="F38" s="144">
        <f t="shared" si="7"/>
        <v>0</v>
      </c>
      <c r="I38" s="7"/>
      <c r="J38" s="30" t="b">
        <f>J37</f>
        <v>1</v>
      </c>
      <c r="L38" s="144" t="str">
        <f>L37</f>
        <v>P1 Flex</v>
      </c>
      <c r="M38" s="144">
        <f>M37</f>
        <v>550960.8036775447</v>
      </c>
      <c r="N38" s="29" t="str">
        <f>N37</f>
        <v>1000x1h</v>
      </c>
      <c r="O38" s="29" t="str">
        <f>N38</f>
        <v>1000x1h</v>
      </c>
      <c r="P38" s="29" t="str">
        <f>O38</f>
        <v>1000x1h</v>
      </c>
      <c r="Q38" s="144">
        <f>Q37</f>
        <v>0</v>
      </c>
      <c r="S38" s="7"/>
      <c r="T38" s="29">
        <f>T37</f>
        <v>0.5</v>
      </c>
      <c r="U38" s="29">
        <f>U37</f>
        <v>0.33</v>
      </c>
      <c r="W38" s="29" t="str">
        <f t="shared" si="34"/>
        <v>1000x1h</v>
      </c>
      <c r="X38" s="29">
        <f t="shared" si="35"/>
        <v>1.0900000000000001</v>
      </c>
      <c r="AA38" s="144">
        <f>AA37</f>
        <v>0</v>
      </c>
      <c r="AD38" s="7"/>
      <c r="AE38" s="30" t="b">
        <f>AE37</f>
        <v>1</v>
      </c>
      <c r="AH38" s="29">
        <f t="shared" ref="AH38:AI39" si="37">AH37</f>
        <v>1000000</v>
      </c>
      <c r="AI38" s="29" t="str">
        <f t="shared" si="37"/>
        <v>1000x5h</v>
      </c>
      <c r="AJ38" s="29" t="str">
        <f t="shared" ref="AJ38:AM39" si="38">AJ37</f>
        <v>1000x5h</v>
      </c>
      <c r="AK38" s="29" t="str">
        <f t="shared" si="38"/>
        <v>st1000x5h_pv1.09</v>
      </c>
      <c r="AL38" s="29">
        <f t="shared" si="38"/>
        <v>0</v>
      </c>
      <c r="AM38" s="29">
        <f t="shared" si="38"/>
        <v>0</v>
      </c>
      <c r="AN38" s="7"/>
      <c r="AO38" s="96">
        <f>p_down_up</f>
        <v>0.19999999999999996</v>
      </c>
      <c r="AP38" s="97">
        <f>add_down_up</f>
        <v>0.17</v>
      </c>
      <c r="AQ38" s="156">
        <f>(1-disc_rate)^op_factor*AU38</f>
        <v>0</v>
      </c>
      <c r="AR38" s="97" t="str">
        <f t="shared" ref="AR38:AR42" si="39">AJ38</f>
        <v>1000x5h</v>
      </c>
      <c r="AS38" s="97">
        <f t="shared" si="36"/>
        <v>1.26</v>
      </c>
      <c r="AT38" s="98" t="str">
        <f>dec_abbrev&amp;AR38&amp;"_"&amp;chance_abbrev&amp;AS38</f>
        <v>st1000x5h_pv1.26</v>
      </c>
      <c r="AU38" s="99">
        <f>AV38</f>
        <v>0</v>
      </c>
      <c r="AV38" s="99">
        <f>AW38*op_factor</f>
        <v>0</v>
      </c>
      <c r="AW38" s="112">
        <f>VLOOKUP(AT38,op_cost_table,op_cost_total_col_num,FALSE)</f>
        <v>0</v>
      </c>
      <c r="AY38" s="154" t="str">
        <f>IF(p2_picked,p1_choice,"")</f>
        <v>P1 Flex</v>
      </c>
      <c r="AZ38" s="142">
        <f>IF(p2_picked,p1_prob*p2_prob,"")</f>
        <v>9.9999999999999978E-2</v>
      </c>
      <c r="BA38" s="155">
        <f>IF(p2_picked,SUM(F38,M38,Q38,AA38,AH38,AL38,AV38),"")</f>
        <v>1550960.8036775447</v>
      </c>
    </row>
    <row r="39" spans="1:53" s="20" customFormat="1" ht="17" thickBot="1" x14ac:dyDescent="0.25">
      <c r="A39" s="51" t="s">
        <v>54</v>
      </c>
      <c r="B39" s="31">
        <v>0</v>
      </c>
      <c r="C39" s="128">
        <f t="shared" si="6"/>
        <v>0.76</v>
      </c>
      <c r="F39" s="145">
        <f t="shared" si="7"/>
        <v>0</v>
      </c>
      <c r="I39" s="21"/>
      <c r="J39" s="31" t="b">
        <f t="shared" ref="J39:J48" si="40">J38</f>
        <v>1</v>
      </c>
      <c r="L39" s="145" t="str">
        <f t="shared" ref="L39:L50" si="41">L38</f>
        <v>P1 Flex</v>
      </c>
      <c r="M39" s="145">
        <f t="shared" ref="M39:N50" si="42">M38</f>
        <v>550960.8036775447</v>
      </c>
      <c r="N39" s="32" t="str">
        <f t="shared" si="42"/>
        <v>1000x1h</v>
      </c>
      <c r="O39" s="29" t="str">
        <f>N39</f>
        <v>1000x1h</v>
      </c>
      <c r="P39" s="29" t="str">
        <f>O39</f>
        <v>1000x1h</v>
      </c>
      <c r="Q39" s="145">
        <f t="shared" ref="Q39:Q50" si="43">Q38</f>
        <v>0</v>
      </c>
      <c r="S39" s="21"/>
      <c r="T39" s="32">
        <f t="shared" ref="T39" si="44">T38</f>
        <v>0.5</v>
      </c>
      <c r="U39" s="32">
        <f>U38</f>
        <v>0.33</v>
      </c>
      <c r="W39" s="32" t="str">
        <f t="shared" si="34"/>
        <v>1000x1h</v>
      </c>
      <c r="X39" s="32">
        <f t="shared" si="35"/>
        <v>1.0900000000000001</v>
      </c>
      <c r="AA39" s="145">
        <f t="shared" ref="AA39:AA42" si="45">AA38</f>
        <v>0</v>
      </c>
      <c r="AD39" s="21"/>
      <c r="AE39" s="22"/>
      <c r="AF39" s="24"/>
      <c r="AG39" s="24"/>
      <c r="AH39" s="101">
        <f t="shared" si="37"/>
        <v>1000000</v>
      </c>
      <c r="AI39" s="101" t="str">
        <f t="shared" si="37"/>
        <v>1000x5h</v>
      </c>
      <c r="AJ39" s="101" t="str">
        <f t="shared" si="38"/>
        <v>1000x5h</v>
      </c>
      <c r="AK39" s="101" t="str">
        <f t="shared" si="38"/>
        <v>st1000x5h_pv1.09</v>
      </c>
      <c r="AL39" s="101">
        <f t="shared" si="38"/>
        <v>0</v>
      </c>
      <c r="AM39" s="101">
        <f t="shared" si="38"/>
        <v>0</v>
      </c>
      <c r="AN39" s="25"/>
      <c r="AR39" s="20" t="str">
        <f t="shared" si="39"/>
        <v>1000x5h</v>
      </c>
      <c r="AS39" s="20">
        <f t="shared" si="36"/>
        <v>1.0900000000000001</v>
      </c>
      <c r="AY39" s="19"/>
      <c r="BA39" s="21"/>
    </row>
    <row r="40" spans="1:53" s="5" customFormat="1" ht="17" thickBot="1" x14ac:dyDescent="0.25">
      <c r="B40" s="30">
        <v>0</v>
      </c>
      <c r="C40" s="127">
        <f t="shared" si="6"/>
        <v>0.76</v>
      </c>
      <c r="D40" s="6"/>
      <c r="F40" s="144">
        <f t="shared" si="7"/>
        <v>0</v>
      </c>
      <c r="I40" s="7"/>
      <c r="J40" s="30" t="b">
        <f t="shared" si="40"/>
        <v>1</v>
      </c>
      <c r="K40" s="8"/>
      <c r="L40" s="144" t="str">
        <f t="shared" si="41"/>
        <v>P1 Flex</v>
      </c>
      <c r="M40" s="144">
        <f t="shared" si="42"/>
        <v>550960.8036775447</v>
      </c>
      <c r="N40" s="29" t="str">
        <f t="shared" si="42"/>
        <v>1000x1h</v>
      </c>
      <c r="O40" s="29" t="str">
        <f t="shared" ref="O40:P40" si="46">N40</f>
        <v>1000x1h</v>
      </c>
      <c r="P40" s="29" t="str">
        <f t="shared" si="46"/>
        <v>1000x1h</v>
      </c>
      <c r="Q40" s="144">
        <f t="shared" si="43"/>
        <v>0</v>
      </c>
      <c r="S40" s="7"/>
      <c r="T40" s="29">
        <f t="shared" ref="T40" si="47">T39</f>
        <v>0.5</v>
      </c>
      <c r="U40" s="29">
        <f>U39</f>
        <v>0.33</v>
      </c>
      <c r="W40" s="29" t="str">
        <f t="shared" si="34"/>
        <v>1000x1h</v>
      </c>
      <c r="X40" s="29">
        <f t="shared" si="35"/>
        <v>1.0900000000000001</v>
      </c>
      <c r="Y40" s="6"/>
      <c r="AA40" s="144">
        <f t="shared" si="45"/>
        <v>0</v>
      </c>
      <c r="AD40" s="7"/>
      <c r="AE40" s="15" t="b">
        <f>AD37=AF40</f>
        <v>0</v>
      </c>
      <c r="AF40" s="18">
        <f>SUM(AH40,AL40,AN40)</f>
        <v>1852648.2100132019</v>
      </c>
      <c r="AG40" s="65" t="s">
        <v>65</v>
      </c>
      <c r="AH40" s="108">
        <f>IF(EXACT("Stay",LEFT(AG40,LEN("Stay"))),0,VLOOKUP(AG40,decision_cost_table,decision_total_col_num,FALSE))</f>
        <v>0</v>
      </c>
      <c r="AI40" s="85" t="str">
        <f>IF(EXACT("Stay",LEFT(AG40,LEN("Stay"))),W40,VLOOKUP(AG40,decision_cost_table,decision_code_col_num,FALSE))</f>
        <v>1000x1h</v>
      </c>
      <c r="AJ40" s="16" t="str">
        <f>AI40</f>
        <v>1000x1h</v>
      </c>
      <c r="AK40" s="17" t="str">
        <f>dec_abbrev&amp;AJ40&amp;"_"&amp;chance_abbrev&amp;X40</f>
        <v>st1000x1h_pv1.09</v>
      </c>
      <c r="AL40" s="18">
        <f>AM40*op_factor</f>
        <v>0</v>
      </c>
      <c r="AM40" s="108">
        <f>VLOOKUP(AK40,op_cost_table,op_cost_total_col_num,FALSE)</f>
        <v>0</v>
      </c>
      <c r="AN40" s="59">
        <f>SUMPRODUCT(AO40:AO42,AQ40:AQ42)</f>
        <v>1852648.2100132019</v>
      </c>
      <c r="AO40" s="96">
        <f>p_up_up</f>
        <v>0.8</v>
      </c>
      <c r="AP40" s="97">
        <f>add_up_up</f>
        <v>0.42</v>
      </c>
      <c r="AQ40" s="156">
        <f>(1-disc_rate)^op_factor*AU40</f>
        <v>2216607.0957474797</v>
      </c>
      <c r="AR40" s="97" t="str">
        <f t="shared" si="39"/>
        <v>1000x1h</v>
      </c>
      <c r="AS40" s="97">
        <f t="shared" si="36"/>
        <v>1.51</v>
      </c>
      <c r="AT40" s="98" t="str">
        <f>dec_abbrev&amp;AR40&amp;"_"&amp;chance_abbrev&amp;AS40</f>
        <v>st1000x1h_pv1.51</v>
      </c>
      <c r="AU40" s="99">
        <f>AV40</f>
        <v>2609779.3293558285</v>
      </c>
      <c r="AV40" s="99">
        <f>AW40*op_factor</f>
        <v>2609779.3293558285</v>
      </c>
      <c r="AW40" s="112">
        <f>VLOOKUP(AT40,op_cost_table,op_cost_total_col_num,FALSE)</f>
        <v>173985.28862372189</v>
      </c>
      <c r="AY40" s="154" t="str">
        <f>IF(p2_picked,p1_choice,"")</f>
        <v/>
      </c>
      <c r="AZ40" s="142" t="str">
        <f>IF(p2_picked,p1_prob*p2_prob,"")</f>
        <v/>
      </c>
      <c r="BA40" s="155" t="str">
        <f>IF(p2_picked,SUM(F40,M40,Q40,AA40,AH40,AL40,AV40),"")</f>
        <v/>
      </c>
    </row>
    <row r="41" spans="1:53" s="5" customFormat="1" ht="17" thickBot="1" x14ac:dyDescent="0.25">
      <c r="B41" s="30">
        <v>0</v>
      </c>
      <c r="C41" s="127">
        <f t="shared" si="6"/>
        <v>0.76</v>
      </c>
      <c r="F41" s="144">
        <f t="shared" si="7"/>
        <v>0</v>
      </c>
      <c r="I41" s="7"/>
      <c r="J41" s="30" t="b">
        <f t="shared" si="40"/>
        <v>1</v>
      </c>
      <c r="L41" s="144" t="str">
        <f t="shared" si="41"/>
        <v>P1 Flex</v>
      </c>
      <c r="M41" s="144">
        <f t="shared" si="42"/>
        <v>550960.8036775447</v>
      </c>
      <c r="N41" s="29" t="str">
        <f t="shared" si="42"/>
        <v>1000x1h</v>
      </c>
      <c r="O41" s="29" t="str">
        <f t="shared" ref="O41:P41" si="48">N41</f>
        <v>1000x1h</v>
      </c>
      <c r="P41" s="29" t="str">
        <f t="shared" si="48"/>
        <v>1000x1h</v>
      </c>
      <c r="Q41" s="144">
        <f t="shared" si="43"/>
        <v>0</v>
      </c>
      <c r="S41" s="7"/>
      <c r="T41" s="29">
        <f t="shared" ref="T41" si="49">T40</f>
        <v>0.5</v>
      </c>
      <c r="U41" s="29">
        <f>U40</f>
        <v>0.33</v>
      </c>
      <c r="W41" s="29" t="str">
        <f t="shared" si="34"/>
        <v>1000x1h</v>
      </c>
      <c r="X41" s="29">
        <f t="shared" si="35"/>
        <v>1.0900000000000001</v>
      </c>
      <c r="AA41" s="144">
        <f t="shared" si="45"/>
        <v>0</v>
      </c>
      <c r="AD41" s="7"/>
      <c r="AE41" s="30" t="b">
        <f>AE40</f>
        <v>0</v>
      </c>
      <c r="AH41" s="29">
        <f t="shared" ref="AH41:AI41" si="50">AH40</f>
        <v>0</v>
      </c>
      <c r="AI41" s="29" t="str">
        <f t="shared" si="50"/>
        <v>1000x1h</v>
      </c>
      <c r="AJ41" s="29" t="str">
        <f t="shared" ref="AJ41:AM42" si="51">AJ40</f>
        <v>1000x1h</v>
      </c>
      <c r="AK41" s="29" t="str">
        <f t="shared" si="51"/>
        <v>st1000x1h_pv1.09</v>
      </c>
      <c r="AL41" s="29">
        <f t="shared" si="51"/>
        <v>0</v>
      </c>
      <c r="AM41" s="29">
        <f t="shared" si="51"/>
        <v>0</v>
      </c>
      <c r="AN41" s="7"/>
      <c r="AO41" s="96">
        <f>p_down_up</f>
        <v>0.19999999999999996</v>
      </c>
      <c r="AP41" s="97">
        <f>add_down_up</f>
        <v>0.17</v>
      </c>
      <c r="AQ41" s="156">
        <f>(1-disc_rate)^op_factor*AU41</f>
        <v>396812.66707609082</v>
      </c>
      <c r="AR41" s="97" t="str">
        <f t="shared" si="39"/>
        <v>1000x1h</v>
      </c>
      <c r="AS41" s="97">
        <f t="shared" si="36"/>
        <v>1.26</v>
      </c>
      <c r="AT41" s="98" t="str">
        <f>dec_abbrev&amp;AR41&amp;"_"&amp;chance_abbrev&amp;AS41</f>
        <v>st1000x1h_pv1.26</v>
      </c>
      <c r="AU41" s="99">
        <f>AV41</f>
        <v>467197.59137670591</v>
      </c>
      <c r="AV41" s="99">
        <f>AW41*op_factor</f>
        <v>467197.59137670591</v>
      </c>
      <c r="AW41" s="112">
        <f>VLOOKUP(AT41,op_cost_table,op_cost_total_col_num,FALSE)</f>
        <v>31146.506091780393</v>
      </c>
      <c r="AY41" s="154" t="str">
        <f>IF(p2_picked,p1_choice,"")</f>
        <v/>
      </c>
      <c r="AZ41" s="142" t="str">
        <f>IF(p2_picked,p1_prob*p2_prob,"")</f>
        <v/>
      </c>
      <c r="BA41" s="155" t="str">
        <f>IF(p2_picked,SUM(F41,M41,Q41,AA41,AH41,AL41,AV41),"")</f>
        <v/>
      </c>
    </row>
    <row r="42" spans="1:53" s="20" customFormat="1" ht="17" thickBot="1" x14ac:dyDescent="0.25">
      <c r="A42" s="51" t="s">
        <v>54</v>
      </c>
      <c r="B42" s="31">
        <v>0</v>
      </c>
      <c r="C42" s="128">
        <f t="shared" si="6"/>
        <v>0.76</v>
      </c>
      <c r="F42" s="145">
        <f t="shared" si="7"/>
        <v>0</v>
      </c>
      <c r="I42" s="21"/>
      <c r="J42" s="31" t="b">
        <f t="shared" si="40"/>
        <v>1</v>
      </c>
      <c r="L42" s="145" t="str">
        <f t="shared" si="41"/>
        <v>P1 Flex</v>
      </c>
      <c r="M42" s="145">
        <f t="shared" si="42"/>
        <v>550960.8036775447</v>
      </c>
      <c r="N42" s="32" t="str">
        <f t="shared" si="42"/>
        <v>1000x1h</v>
      </c>
      <c r="O42" s="32" t="str">
        <f t="shared" ref="O42:P42" si="52">N42</f>
        <v>1000x1h</v>
      </c>
      <c r="P42" s="32" t="str">
        <f t="shared" si="52"/>
        <v>1000x1h</v>
      </c>
      <c r="Q42" s="145">
        <f t="shared" si="43"/>
        <v>0</v>
      </c>
      <c r="S42" s="21"/>
      <c r="T42" s="32">
        <f t="shared" ref="T42" si="53">T41</f>
        <v>0.5</v>
      </c>
      <c r="U42" s="32">
        <f>U41</f>
        <v>0.33</v>
      </c>
      <c r="W42" s="32" t="str">
        <f t="shared" si="34"/>
        <v>1000x1h</v>
      </c>
      <c r="X42" s="32">
        <f t="shared" si="35"/>
        <v>1.0900000000000001</v>
      </c>
      <c r="AA42" s="145">
        <f t="shared" si="45"/>
        <v>0</v>
      </c>
      <c r="AD42" s="21"/>
      <c r="AE42" s="22"/>
      <c r="AF42" s="24"/>
      <c r="AG42" s="24"/>
      <c r="AH42" s="101">
        <f t="shared" ref="AH42:AI42" si="54">AH41</f>
        <v>0</v>
      </c>
      <c r="AI42" s="101" t="str">
        <f t="shared" si="54"/>
        <v>1000x1h</v>
      </c>
      <c r="AJ42" s="101" t="str">
        <f t="shared" si="51"/>
        <v>1000x1h</v>
      </c>
      <c r="AK42" s="101" t="str">
        <f t="shared" si="51"/>
        <v>st1000x1h_pv1.09</v>
      </c>
      <c r="AL42" s="101">
        <f t="shared" si="51"/>
        <v>0</v>
      </c>
      <c r="AM42" s="101">
        <f t="shared" si="51"/>
        <v>0</v>
      </c>
      <c r="AN42" s="25"/>
      <c r="AR42" s="20" t="str">
        <f t="shared" si="39"/>
        <v>1000x1h</v>
      </c>
      <c r="AS42" s="20">
        <f t="shared" si="36"/>
        <v>1.0900000000000001</v>
      </c>
      <c r="AY42" s="19"/>
      <c r="BA42" s="21"/>
    </row>
    <row r="43" spans="1:53" s="11" customFormat="1" ht="17" thickBot="1" x14ac:dyDescent="0.25">
      <c r="A43" s="52" t="s">
        <v>51</v>
      </c>
      <c r="B43" s="33">
        <f>B42</f>
        <v>0</v>
      </c>
      <c r="C43" s="129">
        <f t="shared" si="6"/>
        <v>0.76</v>
      </c>
      <c r="F43" s="146">
        <f t="shared" si="7"/>
        <v>0</v>
      </c>
      <c r="I43" s="12"/>
      <c r="J43" s="33" t="b">
        <f t="shared" si="40"/>
        <v>1</v>
      </c>
      <c r="L43" s="146" t="str">
        <f t="shared" si="41"/>
        <v>P1 Flex</v>
      </c>
      <c r="M43" s="146">
        <f t="shared" si="42"/>
        <v>550960.8036775447</v>
      </c>
      <c r="N43" s="34" t="str">
        <f t="shared" si="42"/>
        <v>1000x1h</v>
      </c>
      <c r="O43" s="34" t="str">
        <f t="shared" ref="O43:P43" si="55">N43</f>
        <v>1000x1h</v>
      </c>
      <c r="P43" s="34" t="str">
        <f t="shared" si="55"/>
        <v>1000x1h</v>
      </c>
      <c r="Q43" s="146">
        <f t="shared" si="43"/>
        <v>0</v>
      </c>
      <c r="S43" s="12"/>
      <c r="T43" s="71"/>
      <c r="U43" s="13"/>
      <c r="W43" s="13"/>
      <c r="X43" s="13"/>
      <c r="Y43" s="13"/>
      <c r="Z43" s="13"/>
      <c r="AA43" s="13"/>
      <c r="AB43" s="13"/>
      <c r="AC43" s="13"/>
      <c r="AD43" s="14"/>
      <c r="AK43" s="45"/>
      <c r="AY43" s="10"/>
      <c r="BA43" s="12"/>
    </row>
    <row r="44" spans="1:53" s="5" customFormat="1" ht="17" thickBot="1" x14ac:dyDescent="0.25">
      <c r="B44" s="30">
        <v>0</v>
      </c>
      <c r="C44" s="127">
        <f t="shared" si="6"/>
        <v>0.76</v>
      </c>
      <c r="F44" s="144">
        <f t="shared" si="7"/>
        <v>0</v>
      </c>
      <c r="I44" s="7"/>
      <c r="J44" s="30" t="b">
        <f t="shared" si="40"/>
        <v>1</v>
      </c>
      <c r="L44" s="144" t="str">
        <f t="shared" si="41"/>
        <v>P1 Flex</v>
      </c>
      <c r="M44" s="144">
        <f t="shared" si="42"/>
        <v>550960.8036775447</v>
      </c>
      <c r="N44" s="29" t="str">
        <f t="shared" si="42"/>
        <v>1000x1h</v>
      </c>
      <c r="O44" s="29" t="str">
        <f t="shared" ref="O44:P44" si="56">N44</f>
        <v>1000x1h</v>
      </c>
      <c r="P44" s="29" t="str">
        <f t="shared" si="56"/>
        <v>1000x1h</v>
      </c>
      <c r="Q44" s="144">
        <f t="shared" si="43"/>
        <v>0</v>
      </c>
      <c r="S44" s="7"/>
      <c r="T44" s="70">
        <f>p_down_up</f>
        <v>0.5</v>
      </c>
      <c r="U44" s="16">
        <f>add_down_up</f>
        <v>0.1</v>
      </c>
      <c r="V44" s="143">
        <f>(1-disc_rate)^op_factor*Z44</f>
        <v>67406.294749100605</v>
      </c>
      <c r="W44" s="16" t="str">
        <f t="shared" ref="W44:W49" si="57">O44</f>
        <v>1000x1h</v>
      </c>
      <c r="X44" s="16">
        <f t="shared" ref="X44:X49" si="58">C44+U44</f>
        <v>0.86</v>
      </c>
      <c r="Y44" s="17" t="str">
        <f>dec_abbrev&amp;W44&amp;"_"&amp;chance_abbrev&amp;X44</f>
        <v>st1000x1h_pv0.86</v>
      </c>
      <c r="Z44" s="18">
        <f>AA44+AD44</f>
        <v>79362.533415218175</v>
      </c>
      <c r="AA44" s="18">
        <f>AB44*op_factor</f>
        <v>0</v>
      </c>
      <c r="AB44" s="108">
        <f>VLOOKUP(Y44,op_cost_table,op_cost_total_col_num,FALSE)</f>
        <v>0</v>
      </c>
      <c r="AC44" s="58" t="str">
        <f>VLOOKUP(AD44,AF44:AG50,2,FALSE)</f>
        <v>Stay Small</v>
      </c>
      <c r="AD44" s="59">
        <f>MIN(AF44:AF50)</f>
        <v>79362.533415218175</v>
      </c>
      <c r="AE44" s="15" t="b">
        <f>AD44=AF44</f>
        <v>0</v>
      </c>
      <c r="AF44" s="18">
        <f>SUM(AH44,AL44,AN44)</f>
        <v>1000000</v>
      </c>
      <c r="AG44" s="65" t="s">
        <v>175</v>
      </c>
      <c r="AH44" s="108">
        <f>IF(EXACT("Stay",LEFT(AG44,LEN("Stay"))),0,VLOOKUP(AG44,decision_cost_table,decision_total_col_num,FALSE))</f>
        <v>1000000</v>
      </c>
      <c r="AI44" s="85" t="str">
        <f>IF(EXACT("Stay",LEFT(AG44,LEN("Stay"))),W44,VLOOKUP(AG44,decision_cost_table,decision_code_col_num,FALSE))</f>
        <v>1000x5h</v>
      </c>
      <c r="AJ44" s="16" t="str">
        <f>AI44</f>
        <v>1000x5h</v>
      </c>
      <c r="AK44" s="17" t="str">
        <f>dec_abbrev&amp;AJ44&amp;"_"&amp;chance_abbrev&amp;X44</f>
        <v>st1000x5h_pv0.86</v>
      </c>
      <c r="AL44" s="18">
        <f>AM44*op_factor</f>
        <v>0</v>
      </c>
      <c r="AM44" s="108">
        <f>VLOOKUP(AK44,op_cost_table,op_cost_total_col_num,FALSE)</f>
        <v>0</v>
      </c>
      <c r="AN44" s="59">
        <f>SUMPRODUCT(AO44:AO46,AQ44:AQ46)</f>
        <v>0</v>
      </c>
      <c r="AO44" s="100">
        <f>p_up_down</f>
        <v>0.2</v>
      </c>
      <c r="AP44" s="97">
        <f>add_up_down</f>
        <v>0.4</v>
      </c>
      <c r="AQ44" s="156">
        <f>(1-disc_rate)^op_factor*AU44</f>
        <v>0</v>
      </c>
      <c r="AR44" s="97" t="str">
        <f>AJ44</f>
        <v>1000x5h</v>
      </c>
      <c r="AS44" s="97">
        <f t="shared" ref="AS44:AS49" si="59">X44+AP44</f>
        <v>1.26</v>
      </c>
      <c r="AT44" s="98" t="str">
        <f>dec_abbrev&amp;AR44&amp;"_"&amp;chance_abbrev&amp;AS44</f>
        <v>st1000x5h_pv1.26</v>
      </c>
      <c r="AU44" s="99">
        <f>AV44</f>
        <v>0</v>
      </c>
      <c r="AV44" s="99">
        <f>AW44*op_factor</f>
        <v>0</v>
      </c>
      <c r="AW44" s="112">
        <f>VLOOKUP(AT44,op_cost_table,op_cost_total_col_num,FALSE)</f>
        <v>0</v>
      </c>
      <c r="AY44" s="154" t="str">
        <f>IF(p2_picked,p1_choice,"")</f>
        <v/>
      </c>
      <c r="AZ44" s="142" t="str">
        <f>IF(p2_picked,p1_prob*p2_prob,"")</f>
        <v/>
      </c>
      <c r="BA44" s="155" t="str">
        <f>IF(p2_picked,SUM(F44,M44,Q44,AA44,AH44,AL44,AV44),"")</f>
        <v/>
      </c>
    </row>
    <row r="45" spans="1:53" s="5" customFormat="1" ht="17" thickBot="1" x14ac:dyDescent="0.25">
      <c r="B45" s="30">
        <v>0</v>
      </c>
      <c r="C45" s="127">
        <f t="shared" si="6"/>
        <v>0.76</v>
      </c>
      <c r="F45" s="144">
        <f t="shared" si="7"/>
        <v>0</v>
      </c>
      <c r="I45" s="7"/>
      <c r="J45" s="30" t="b">
        <f t="shared" si="40"/>
        <v>1</v>
      </c>
      <c r="L45" s="144" t="str">
        <f t="shared" si="41"/>
        <v>P1 Flex</v>
      </c>
      <c r="M45" s="144">
        <f t="shared" si="42"/>
        <v>550960.8036775447</v>
      </c>
      <c r="N45" s="29" t="str">
        <f t="shared" si="42"/>
        <v>1000x1h</v>
      </c>
      <c r="O45" s="29" t="str">
        <f t="shared" ref="O45:P45" si="60">N45</f>
        <v>1000x1h</v>
      </c>
      <c r="P45" s="29" t="str">
        <f t="shared" si="60"/>
        <v>1000x1h</v>
      </c>
      <c r="Q45" s="144">
        <f t="shared" si="43"/>
        <v>0</v>
      </c>
      <c r="S45" s="7"/>
      <c r="T45" s="29">
        <f>T44</f>
        <v>0.5</v>
      </c>
      <c r="U45" s="29">
        <f>U44</f>
        <v>0.1</v>
      </c>
      <c r="W45" s="29" t="str">
        <f t="shared" si="57"/>
        <v>1000x1h</v>
      </c>
      <c r="X45" s="29">
        <f t="shared" si="58"/>
        <v>0.86</v>
      </c>
      <c r="AA45" s="144">
        <f>AA44</f>
        <v>0</v>
      </c>
      <c r="AD45" s="7"/>
      <c r="AE45" s="30" t="b">
        <f>AE44</f>
        <v>0</v>
      </c>
      <c r="AH45" s="29">
        <f t="shared" ref="AH45:AI45" si="61">AH44</f>
        <v>1000000</v>
      </c>
      <c r="AI45" s="29" t="str">
        <f t="shared" si="61"/>
        <v>1000x5h</v>
      </c>
      <c r="AJ45" s="29" t="str">
        <f t="shared" ref="AJ45:AM46" si="62">AJ44</f>
        <v>1000x5h</v>
      </c>
      <c r="AK45" s="29" t="str">
        <f t="shared" si="62"/>
        <v>st1000x5h_pv0.86</v>
      </c>
      <c r="AL45" s="29">
        <f t="shared" si="62"/>
        <v>0</v>
      </c>
      <c r="AM45" s="29">
        <f t="shared" si="62"/>
        <v>0</v>
      </c>
      <c r="AN45" s="7"/>
      <c r="AO45" s="100">
        <f>p_down_down</f>
        <v>0.8</v>
      </c>
      <c r="AP45" s="97">
        <f>add_down_down</f>
        <v>0.25</v>
      </c>
      <c r="AQ45" s="156">
        <f>(1-disc_rate)^op_factor*AU45</f>
        <v>0</v>
      </c>
      <c r="AR45" s="97" t="str">
        <f t="shared" ref="AR45:AR49" si="63">AJ45</f>
        <v>1000x5h</v>
      </c>
      <c r="AS45" s="97">
        <f t="shared" si="59"/>
        <v>1.1099999999999999</v>
      </c>
      <c r="AT45" s="98" t="str">
        <f>dec_abbrev&amp;AR45&amp;"_"&amp;chance_abbrev&amp;AS45</f>
        <v>st1000x5h_pv1.11</v>
      </c>
      <c r="AU45" s="99">
        <f>AV45</f>
        <v>0</v>
      </c>
      <c r="AV45" s="99">
        <f>AW45*op_factor</f>
        <v>0</v>
      </c>
      <c r="AW45" s="112">
        <f>VLOOKUP(AT45,op_cost_table,op_cost_total_col_num,FALSE)</f>
        <v>0</v>
      </c>
      <c r="AY45" s="154" t="str">
        <f>IF(p2_picked,p1_choice,"")</f>
        <v/>
      </c>
      <c r="AZ45" s="142" t="str">
        <f>IF(p2_picked,p1_prob*p2_prob,"")</f>
        <v/>
      </c>
      <c r="BA45" s="155" t="str">
        <f>IF(p2_picked,SUM(F45,M45,Q45,AA45,AH45,AL45,AV45),"")</f>
        <v/>
      </c>
    </row>
    <row r="46" spans="1:53" s="20" customFormat="1" ht="17" thickBot="1" x14ac:dyDescent="0.25">
      <c r="A46" s="51" t="s">
        <v>54</v>
      </c>
      <c r="B46" s="31">
        <v>0</v>
      </c>
      <c r="C46" s="128">
        <f t="shared" si="6"/>
        <v>0.76</v>
      </c>
      <c r="F46" s="145">
        <f t="shared" si="7"/>
        <v>0</v>
      </c>
      <c r="I46" s="21"/>
      <c r="J46" s="31" t="b">
        <f t="shared" si="40"/>
        <v>1</v>
      </c>
      <c r="L46" s="145" t="str">
        <f t="shared" si="41"/>
        <v>P1 Flex</v>
      </c>
      <c r="M46" s="145">
        <f t="shared" si="42"/>
        <v>550960.8036775447</v>
      </c>
      <c r="N46" s="32" t="str">
        <f t="shared" si="42"/>
        <v>1000x1h</v>
      </c>
      <c r="O46" s="32" t="str">
        <f t="shared" ref="O46:P46" si="64">N46</f>
        <v>1000x1h</v>
      </c>
      <c r="P46" s="32" t="str">
        <f t="shared" si="64"/>
        <v>1000x1h</v>
      </c>
      <c r="Q46" s="145">
        <f t="shared" si="43"/>
        <v>0</v>
      </c>
      <c r="S46" s="21"/>
      <c r="T46" s="32">
        <f t="shared" ref="T46" si="65">T45</f>
        <v>0.5</v>
      </c>
      <c r="U46" s="32">
        <f>U45</f>
        <v>0.1</v>
      </c>
      <c r="W46" s="32" t="str">
        <f t="shared" si="57"/>
        <v>1000x1h</v>
      </c>
      <c r="X46" s="32">
        <f t="shared" si="58"/>
        <v>0.86</v>
      </c>
      <c r="AA46" s="145">
        <f t="shared" ref="AA46:AA49" si="66">AA45</f>
        <v>0</v>
      </c>
      <c r="AD46" s="21"/>
      <c r="AE46" s="22"/>
      <c r="AF46" s="24"/>
      <c r="AG46" s="24"/>
      <c r="AH46" s="101">
        <f t="shared" ref="AH46:AI46" si="67">AH45</f>
        <v>1000000</v>
      </c>
      <c r="AI46" s="101" t="str">
        <f t="shared" si="67"/>
        <v>1000x5h</v>
      </c>
      <c r="AJ46" s="101" t="str">
        <f t="shared" si="62"/>
        <v>1000x5h</v>
      </c>
      <c r="AK46" s="101" t="str">
        <f t="shared" si="62"/>
        <v>st1000x5h_pv0.86</v>
      </c>
      <c r="AL46" s="101">
        <f t="shared" si="62"/>
        <v>0</v>
      </c>
      <c r="AM46" s="101">
        <f t="shared" si="62"/>
        <v>0</v>
      </c>
      <c r="AN46" s="25"/>
      <c r="AR46" s="20" t="str">
        <f t="shared" si="63"/>
        <v>1000x5h</v>
      </c>
      <c r="AS46" s="20">
        <f t="shared" si="59"/>
        <v>0.86</v>
      </c>
      <c r="AY46" s="19"/>
      <c r="BA46" s="21"/>
    </row>
    <row r="47" spans="1:53" s="5" customFormat="1" ht="17" thickBot="1" x14ac:dyDescent="0.25">
      <c r="B47" s="30">
        <v>0</v>
      </c>
      <c r="C47" s="127">
        <f t="shared" si="6"/>
        <v>0.76</v>
      </c>
      <c r="D47" s="6"/>
      <c r="F47" s="144">
        <f t="shared" si="7"/>
        <v>0</v>
      </c>
      <c r="I47" s="7"/>
      <c r="J47" s="30" t="b">
        <f t="shared" si="40"/>
        <v>1</v>
      </c>
      <c r="K47" s="8"/>
      <c r="L47" s="144" t="str">
        <f t="shared" si="41"/>
        <v>P1 Flex</v>
      </c>
      <c r="M47" s="144">
        <f t="shared" si="42"/>
        <v>550960.8036775447</v>
      </c>
      <c r="N47" s="29" t="str">
        <f t="shared" si="42"/>
        <v>1000x1h</v>
      </c>
      <c r="O47" s="29" t="str">
        <f t="shared" ref="O47:P47" si="68">N47</f>
        <v>1000x1h</v>
      </c>
      <c r="P47" s="29" t="str">
        <f t="shared" si="68"/>
        <v>1000x1h</v>
      </c>
      <c r="Q47" s="144">
        <f t="shared" si="43"/>
        <v>0</v>
      </c>
      <c r="S47" s="7"/>
      <c r="T47" s="29">
        <f t="shared" ref="T47" si="69">T46</f>
        <v>0.5</v>
      </c>
      <c r="U47" s="29">
        <f>U46</f>
        <v>0.1</v>
      </c>
      <c r="W47" s="29" t="str">
        <f t="shared" si="57"/>
        <v>1000x1h</v>
      </c>
      <c r="X47" s="29">
        <f t="shared" si="58"/>
        <v>0.86</v>
      </c>
      <c r="Y47" s="6"/>
      <c r="AA47" s="144">
        <f t="shared" si="66"/>
        <v>0</v>
      </c>
      <c r="AD47" s="7"/>
      <c r="AE47" s="15" t="b">
        <f>AD44=AF47</f>
        <v>1</v>
      </c>
      <c r="AF47" s="18">
        <f>SUM(AH47,AL47,AN47)</f>
        <v>79362.533415218175</v>
      </c>
      <c r="AG47" s="65" t="s">
        <v>65</v>
      </c>
      <c r="AH47" s="108">
        <f>IF(EXACT("Stay",LEFT(AG47,LEN("Stay"))),0,VLOOKUP(AG47,decision_cost_table,decision_total_col_num,FALSE))</f>
        <v>0</v>
      </c>
      <c r="AI47" s="85" t="str">
        <f>IF(EXACT("Stay",LEFT(AG47,LEN("Stay"))),W47,VLOOKUP(AG47,decision_cost_table,decision_code_col_num,FALSE))</f>
        <v>1000x1h</v>
      </c>
      <c r="AJ47" s="16" t="str">
        <f>AI47</f>
        <v>1000x1h</v>
      </c>
      <c r="AK47" s="17" t="str">
        <f>dec_abbrev&amp;AJ47&amp;"_"&amp;chance_abbrev&amp;X47</f>
        <v>st1000x1h_pv0.86</v>
      </c>
      <c r="AL47" s="18">
        <f>AM47*op_factor</f>
        <v>0</v>
      </c>
      <c r="AM47" s="108">
        <f>VLOOKUP(AK47,op_cost_table,op_cost_total_col_num,FALSE)</f>
        <v>0</v>
      </c>
      <c r="AN47" s="59">
        <f>SUMPRODUCT(AO47:AO49,AQ47:AQ49)</f>
        <v>79362.533415218175</v>
      </c>
      <c r="AO47" s="100">
        <f>p_up_down</f>
        <v>0.2</v>
      </c>
      <c r="AP47" s="97">
        <f>add_up_down</f>
        <v>0.4</v>
      </c>
      <c r="AQ47" s="156">
        <f>(1-disc_rate)^op_factor*AU47</f>
        <v>396812.66707609082</v>
      </c>
      <c r="AR47" s="97" t="str">
        <f t="shared" si="63"/>
        <v>1000x1h</v>
      </c>
      <c r="AS47" s="97">
        <f t="shared" si="59"/>
        <v>1.26</v>
      </c>
      <c r="AT47" s="98" t="str">
        <f>dec_abbrev&amp;AR47&amp;"_"&amp;chance_abbrev&amp;AS47</f>
        <v>st1000x1h_pv1.26</v>
      </c>
      <c r="AU47" s="99">
        <f>AV47</f>
        <v>467197.59137670591</v>
      </c>
      <c r="AV47" s="99">
        <f>AW47*op_factor</f>
        <v>467197.59137670591</v>
      </c>
      <c r="AW47" s="112">
        <f>VLOOKUP(AT47,op_cost_table,op_cost_total_col_num,FALSE)</f>
        <v>31146.506091780393</v>
      </c>
      <c r="AY47" s="154" t="str">
        <f>IF(p2_picked,p1_choice,"")</f>
        <v>P1 Flex</v>
      </c>
      <c r="AZ47" s="142">
        <f>IF(p2_picked,p1_prob*p2_prob,"")</f>
        <v>0.1</v>
      </c>
      <c r="BA47" s="155">
        <f>IF(p2_picked,SUM(F47,M47,Q47,AA47,AH47,AL47,AV47),"")</f>
        <v>1018158.3950542506</v>
      </c>
    </row>
    <row r="48" spans="1:53" s="5" customFormat="1" ht="17" thickBot="1" x14ac:dyDescent="0.25">
      <c r="B48" s="30">
        <v>0</v>
      </c>
      <c r="C48" s="127">
        <f t="shared" si="6"/>
        <v>0.76</v>
      </c>
      <c r="F48" s="144">
        <f t="shared" si="7"/>
        <v>0</v>
      </c>
      <c r="I48" s="7"/>
      <c r="J48" s="30" t="b">
        <f t="shared" si="40"/>
        <v>1</v>
      </c>
      <c r="L48" s="144" t="str">
        <f t="shared" si="41"/>
        <v>P1 Flex</v>
      </c>
      <c r="M48" s="144">
        <f t="shared" si="42"/>
        <v>550960.8036775447</v>
      </c>
      <c r="N48" s="29" t="str">
        <f t="shared" si="42"/>
        <v>1000x1h</v>
      </c>
      <c r="O48" s="29" t="str">
        <f t="shared" ref="O48:P48" si="70">N48</f>
        <v>1000x1h</v>
      </c>
      <c r="P48" s="29" t="str">
        <f t="shared" si="70"/>
        <v>1000x1h</v>
      </c>
      <c r="Q48" s="144">
        <f t="shared" si="43"/>
        <v>0</v>
      </c>
      <c r="S48" s="7"/>
      <c r="T48" s="29">
        <f t="shared" ref="T48" si="71">T47</f>
        <v>0.5</v>
      </c>
      <c r="U48" s="29">
        <f>U47</f>
        <v>0.1</v>
      </c>
      <c r="W48" s="29" t="str">
        <f t="shared" si="57"/>
        <v>1000x1h</v>
      </c>
      <c r="X48" s="29">
        <f t="shared" si="58"/>
        <v>0.86</v>
      </c>
      <c r="AA48" s="144">
        <f t="shared" si="66"/>
        <v>0</v>
      </c>
      <c r="AD48" s="7"/>
      <c r="AE48" s="30" t="b">
        <f>AE47</f>
        <v>1</v>
      </c>
      <c r="AH48" s="29">
        <f t="shared" ref="AH48:AI48" si="72">AH47</f>
        <v>0</v>
      </c>
      <c r="AI48" s="29" t="str">
        <f t="shared" si="72"/>
        <v>1000x1h</v>
      </c>
      <c r="AJ48" s="29" t="str">
        <f t="shared" ref="AJ48:AJ49" si="73">AJ47</f>
        <v>1000x1h</v>
      </c>
      <c r="AK48" s="6"/>
      <c r="AN48" s="7"/>
      <c r="AO48" s="100">
        <f>p_down_down</f>
        <v>0.8</v>
      </c>
      <c r="AP48" s="97">
        <f>add_down_down</f>
        <v>0.25</v>
      </c>
      <c r="AQ48" s="156">
        <f>(1-disc_rate)^op_factor*AU48</f>
        <v>0</v>
      </c>
      <c r="AR48" s="97" t="str">
        <f t="shared" si="63"/>
        <v>1000x1h</v>
      </c>
      <c r="AS48" s="97">
        <f t="shared" si="59"/>
        <v>1.1099999999999999</v>
      </c>
      <c r="AT48" s="98" t="str">
        <f>dec_abbrev&amp;AR48&amp;"_"&amp;chance_abbrev&amp;AS48</f>
        <v>st1000x1h_pv1.11</v>
      </c>
      <c r="AU48" s="99">
        <f>AV48</f>
        <v>0</v>
      </c>
      <c r="AV48" s="99">
        <f>AW48*op_factor</f>
        <v>0</v>
      </c>
      <c r="AW48" s="112">
        <f>VLOOKUP(AT48,op_cost_table,op_cost_total_col_num,FALSE)</f>
        <v>0</v>
      </c>
      <c r="AY48" s="154" t="str">
        <f>IF(p2_picked,p1_choice,"")</f>
        <v>P1 Flex</v>
      </c>
      <c r="AZ48" s="142">
        <f>IF(p2_picked,p1_prob*p2_prob,"")</f>
        <v>0.4</v>
      </c>
      <c r="BA48" s="155">
        <f>IF(p2_picked,SUM(F48,M48,Q48,AA48,AH48,AL48,AV48),"")</f>
        <v>550960.8036775447</v>
      </c>
    </row>
    <row r="49" spans="1:53" s="20" customFormat="1" ht="17" thickBot="1" x14ac:dyDescent="0.25">
      <c r="A49" s="51" t="s">
        <v>54</v>
      </c>
      <c r="B49" s="31">
        <v>0</v>
      </c>
      <c r="C49" s="128">
        <f t="shared" si="6"/>
        <v>0.76</v>
      </c>
      <c r="F49" s="145">
        <f t="shared" si="7"/>
        <v>0</v>
      </c>
      <c r="I49" s="21"/>
      <c r="J49" s="19"/>
      <c r="L49" s="145" t="str">
        <f t="shared" si="41"/>
        <v>P1 Flex</v>
      </c>
      <c r="M49" s="145">
        <f t="shared" si="42"/>
        <v>550960.8036775447</v>
      </c>
      <c r="N49" s="32" t="str">
        <f t="shared" si="42"/>
        <v>1000x1h</v>
      </c>
      <c r="O49" s="32" t="str">
        <f t="shared" ref="O49:P49" si="74">N49</f>
        <v>1000x1h</v>
      </c>
      <c r="P49" s="32" t="str">
        <f t="shared" si="74"/>
        <v>1000x1h</v>
      </c>
      <c r="Q49" s="145">
        <f t="shared" si="43"/>
        <v>0</v>
      </c>
      <c r="S49" s="21"/>
      <c r="T49" s="32">
        <f t="shared" ref="T49" si="75">T48</f>
        <v>0.5</v>
      </c>
      <c r="U49" s="32">
        <f>U48</f>
        <v>0.1</v>
      </c>
      <c r="W49" s="32" t="str">
        <f t="shared" si="57"/>
        <v>1000x1h</v>
      </c>
      <c r="X49" s="32">
        <f t="shared" si="58"/>
        <v>0.86</v>
      </c>
      <c r="AA49" s="145">
        <f t="shared" si="66"/>
        <v>0</v>
      </c>
      <c r="AD49" s="21"/>
      <c r="AE49" s="22"/>
      <c r="AF49" s="24"/>
      <c r="AG49" s="24"/>
      <c r="AH49" s="101">
        <f t="shared" ref="AH49:AI49" si="76">AH48</f>
        <v>0</v>
      </c>
      <c r="AI49" s="101" t="str">
        <f t="shared" si="76"/>
        <v>1000x1h</v>
      </c>
      <c r="AJ49" s="101" t="str">
        <f t="shared" si="73"/>
        <v>1000x1h</v>
      </c>
      <c r="AK49" s="23"/>
      <c r="AL49" s="24"/>
      <c r="AM49" s="24"/>
      <c r="AN49" s="25"/>
      <c r="AR49" s="20" t="str">
        <f t="shared" si="63"/>
        <v>1000x1h</v>
      </c>
      <c r="AS49" s="20">
        <f t="shared" si="59"/>
        <v>0.86</v>
      </c>
      <c r="AY49" s="19"/>
      <c r="BA49" s="21"/>
    </row>
    <row r="50" spans="1:53" s="11" customFormat="1" ht="17" thickBot="1" x14ac:dyDescent="0.25">
      <c r="A50" s="52" t="s">
        <v>51</v>
      </c>
      <c r="B50" s="33">
        <f>B49</f>
        <v>0</v>
      </c>
      <c r="C50" s="129">
        <f t="shared" si="6"/>
        <v>0.76</v>
      </c>
      <c r="F50" s="146">
        <f t="shared" si="7"/>
        <v>0</v>
      </c>
      <c r="I50" s="12"/>
      <c r="J50" s="10"/>
      <c r="L50" s="146" t="str">
        <f t="shared" si="41"/>
        <v>P1 Flex</v>
      </c>
      <c r="M50" s="146">
        <f t="shared" si="42"/>
        <v>550960.8036775447</v>
      </c>
      <c r="N50" s="146" t="str">
        <f t="shared" si="42"/>
        <v>1000x1h</v>
      </c>
      <c r="O50" s="146" t="str">
        <f t="shared" ref="O50" si="77">O49</f>
        <v>1000x1h</v>
      </c>
      <c r="P50" s="146" t="str">
        <f t="shared" ref="P50" si="78">P49</f>
        <v>1000x1h</v>
      </c>
      <c r="Q50" s="146">
        <f t="shared" si="43"/>
        <v>0</v>
      </c>
      <c r="S50" s="12"/>
      <c r="T50" s="71"/>
      <c r="U50" s="13"/>
      <c r="W50" s="13"/>
      <c r="X50" s="13"/>
      <c r="Y50" s="13"/>
      <c r="Z50" s="13"/>
      <c r="AA50" s="13"/>
      <c r="AB50" s="13"/>
      <c r="AC50" s="13"/>
      <c r="AD50" s="14"/>
      <c r="AK50" s="45"/>
      <c r="AY50" s="71"/>
      <c r="AZ50" s="13"/>
      <c r="BA50" s="14"/>
    </row>
    <row r="51" spans="1:53" s="48" customFormat="1" ht="17" thickBot="1" x14ac:dyDescent="0.25">
      <c r="A51" s="53" t="s">
        <v>53</v>
      </c>
      <c r="B51" s="46">
        <f>B50</f>
        <v>0</v>
      </c>
      <c r="C51" s="130">
        <f t="shared" si="6"/>
        <v>0.76</v>
      </c>
      <c r="F51" s="147">
        <f t="shared" si="7"/>
        <v>0</v>
      </c>
      <c r="I51" s="49"/>
      <c r="J51" s="66"/>
      <c r="K51" s="67"/>
      <c r="L51" s="67"/>
      <c r="M51" s="67"/>
      <c r="N51" s="67"/>
      <c r="O51" s="67"/>
      <c r="P51" s="68"/>
      <c r="Q51" s="67"/>
      <c r="R51" s="67"/>
      <c r="S51" s="69"/>
      <c r="AK51" s="50"/>
    </row>
    <row r="52" spans="1:53" s="5" customFormat="1" ht="17" thickBot="1" x14ac:dyDescent="0.25">
      <c r="B52" s="30">
        <v>0</v>
      </c>
      <c r="C52" s="127">
        <f t="shared" si="6"/>
        <v>0.76</v>
      </c>
      <c r="D52" s="27"/>
      <c r="E52" s="8"/>
      <c r="F52" s="144">
        <f t="shared" si="7"/>
        <v>0</v>
      </c>
      <c r="G52" s="8"/>
      <c r="H52" s="8"/>
      <c r="I52" s="60"/>
      <c r="J52" s="26" t="b">
        <f>I$22=K52</f>
        <v>0</v>
      </c>
      <c r="K52" s="8">
        <f>SUM(M52,Q52,S52)</f>
        <v>1112793.2285837468</v>
      </c>
      <c r="L52" s="79" t="s">
        <v>62</v>
      </c>
      <c r="M52" s="108">
        <f>VLOOKUP(L52,decision_cost_table,decision_total_col_num,FALSE)</f>
        <v>398821.79163117806</v>
      </c>
      <c r="N52" s="85" t="str">
        <f>VLOOKUP(L52,decision_cost_table,decision_code_col_num,FALSE)</f>
        <v>200x5h</v>
      </c>
      <c r="O52" s="16" t="str">
        <f>N52</f>
        <v>200x5h</v>
      </c>
      <c r="P52" s="17" t="str">
        <f>dec_abbrev&amp;O52&amp;"_"&amp;chance_abbrev&amp;C52</f>
        <v>st200x5h_pv0.76</v>
      </c>
      <c r="Q52" s="18">
        <f>R52*op_factor</f>
        <v>0</v>
      </c>
      <c r="R52" s="108">
        <f>VLOOKUP(P52,op_cost_table,op_cost_total_col_num,FALSE)</f>
        <v>0</v>
      </c>
      <c r="S52" s="59">
        <f>SUMPRODUCT(T52:T66,V52:V66)</f>
        <v>713971.43695256882</v>
      </c>
      <c r="T52" s="86">
        <f>p_up_up</f>
        <v>0.5</v>
      </c>
      <c r="U52" s="16">
        <f>add_up_up</f>
        <v>0.33</v>
      </c>
      <c r="V52" s="143">
        <f>(1-disc_rate)^op_factor*Z52</f>
        <v>1323703.1036401154</v>
      </c>
      <c r="W52" s="16" t="str">
        <f t="shared" ref="W52:W57" si="79">O52</f>
        <v>200x5h</v>
      </c>
      <c r="X52" s="16">
        <f t="shared" ref="X52:X57" si="80">C52+U52</f>
        <v>1.0900000000000001</v>
      </c>
      <c r="Y52" s="17" t="str">
        <f>dec_abbrev&amp;W52&amp;"_"&amp;chance_abbrev&amp;X52</f>
        <v>st200x5h_pv1.09</v>
      </c>
      <c r="Z52" s="18">
        <f>AA52+AD52</f>
        <v>1558495.8672701463</v>
      </c>
      <c r="AA52" s="18">
        <f>AB52*op_factor</f>
        <v>2312.7076533090049</v>
      </c>
      <c r="AB52" s="108">
        <f>VLOOKUP(Y52,op_cost_table,op_cost_total_col_num,FALSE)</f>
        <v>770.90255110300166</v>
      </c>
      <c r="AC52" s="58" t="str">
        <f>VLOOKUP(AD52,AF52:AG58,2,FALSE)</f>
        <v>Replace with Large</v>
      </c>
      <c r="AD52" s="59">
        <f>MIN(AF52:AF58)</f>
        <v>1556183.1596168373</v>
      </c>
      <c r="AE52" s="15" t="b">
        <f>AD52=AF52</f>
        <v>1</v>
      </c>
      <c r="AF52" s="18">
        <f>SUM(AH52,AL52,AN52)</f>
        <v>1556183.1596168373</v>
      </c>
      <c r="AG52" s="65" t="s">
        <v>164</v>
      </c>
      <c r="AH52" s="108">
        <f>IF(EXACT("Stay",LEFT(AG52,LEN("Stay"))),0,VLOOKUP(AG52,decision_cost_table,decision_total_col_num,FALSE))</f>
        <v>1388960.8036775447</v>
      </c>
      <c r="AI52" s="85" t="str">
        <f>IF(EXACT("Stay",LEFT(AG52,LEN("Stay"))),W52,VLOOKUP(AG52,decision_cost_table,decision_code_col_num,FALSE))</f>
        <v>1000x5h</v>
      </c>
      <c r="AJ52" s="16" t="str">
        <f>AI52</f>
        <v>1000x5h</v>
      </c>
      <c r="AK52" s="17" t="str">
        <f>dec_abbrev&amp;AJ52&amp;"_"&amp;chance_abbrev&amp;X52</f>
        <v>st1000x5h_pv1.09</v>
      </c>
      <c r="AL52" s="18">
        <f>AM52*op_factor</f>
        <v>0</v>
      </c>
      <c r="AM52" s="108">
        <f>VLOOKUP(AK52,op_cost_table,op_cost_total_col_num,FALSE)</f>
        <v>0</v>
      </c>
      <c r="AN52" s="59">
        <f>SUMPRODUCT(AO52:AO54,AQ52:AQ54)</f>
        <v>167222.35593929258</v>
      </c>
      <c r="AO52" s="96">
        <f>p_up_up</f>
        <v>0.8</v>
      </c>
      <c r="AP52" s="97">
        <f>add_up_up</f>
        <v>0.42</v>
      </c>
      <c r="AQ52" s="156">
        <f>(1-disc_rate)^op_factor*AU52</f>
        <v>209027.9449241157</v>
      </c>
      <c r="AR52" s="97" t="str">
        <f>AJ52</f>
        <v>1000x5h</v>
      </c>
      <c r="AS52" s="97">
        <f t="shared" ref="AS52:AS57" si="81">X52+AP52</f>
        <v>1.51</v>
      </c>
      <c r="AT52" s="98" t="str">
        <f>dec_abbrev&amp;AR52&amp;"_"&amp;chance_abbrev&amp;AS52</f>
        <v>st1000x5h_pv1.51</v>
      </c>
      <c r="AU52" s="99">
        <f>AV52</f>
        <v>246104.42282136955</v>
      </c>
      <c r="AV52" s="99">
        <f>AW52*op_factor</f>
        <v>246104.42282136955</v>
      </c>
      <c r="AW52" s="112">
        <f>VLOOKUP(AT52,op_cost_table,op_cost_total_col_num,FALSE)</f>
        <v>16406.961521424637</v>
      </c>
      <c r="AY52" s="15" t="str">
        <f>IF(p2_picked,p1_choice,"")</f>
        <v>P1 Small</v>
      </c>
      <c r="AZ52" s="152">
        <f>IF(p2_picked,p1_prob*p2_prob,"")</f>
        <v>0.4</v>
      </c>
      <c r="BA52" s="153">
        <f>IF(p2_picked,SUM(F52,M52,Q52,AA52,AH52,AL52,AV52),"")</f>
        <v>2036199.7257834012</v>
      </c>
    </row>
    <row r="53" spans="1:53" s="5" customFormat="1" ht="17" thickBot="1" x14ac:dyDescent="0.25">
      <c r="B53" s="30">
        <v>0</v>
      </c>
      <c r="C53" s="127">
        <f t="shared" si="6"/>
        <v>0.76</v>
      </c>
      <c r="D53" s="26"/>
      <c r="E53" s="26"/>
      <c r="F53" s="144">
        <f t="shared" si="7"/>
        <v>0</v>
      </c>
      <c r="G53" s="26"/>
      <c r="H53" s="26"/>
      <c r="I53" s="28"/>
      <c r="J53" s="30" t="b">
        <f>J52</f>
        <v>0</v>
      </c>
      <c r="K53" s="26"/>
      <c r="L53" s="144" t="str">
        <f>L52</f>
        <v>P1 Small</v>
      </c>
      <c r="M53" s="144">
        <f>M52</f>
        <v>398821.79163117806</v>
      </c>
      <c r="N53" s="29" t="str">
        <f>N52</f>
        <v>200x5h</v>
      </c>
      <c r="O53" s="29" t="str">
        <f>N53</f>
        <v>200x5h</v>
      </c>
      <c r="P53" s="29" t="str">
        <f>O53</f>
        <v>200x5h</v>
      </c>
      <c r="Q53" s="144">
        <f>Q52</f>
        <v>0</v>
      </c>
      <c r="S53" s="7"/>
      <c r="T53" s="29">
        <f>T52</f>
        <v>0.5</v>
      </c>
      <c r="U53" s="29">
        <f>U52</f>
        <v>0.33</v>
      </c>
      <c r="W53" s="29" t="str">
        <f t="shared" si="79"/>
        <v>200x5h</v>
      </c>
      <c r="X53" s="29">
        <f t="shared" si="80"/>
        <v>1.0900000000000001</v>
      </c>
      <c r="AA53" s="144">
        <f>AA52</f>
        <v>2312.7076533090049</v>
      </c>
      <c r="AD53" s="7"/>
      <c r="AE53" s="30" t="b">
        <f>AE52</f>
        <v>1</v>
      </c>
      <c r="AH53" s="29">
        <f t="shared" ref="AH53:AI54" si="82">AH52</f>
        <v>1388960.8036775447</v>
      </c>
      <c r="AI53" s="29" t="str">
        <f t="shared" si="82"/>
        <v>1000x5h</v>
      </c>
      <c r="AJ53" s="29" t="str">
        <f t="shared" ref="AJ53:AM54" si="83">AJ52</f>
        <v>1000x5h</v>
      </c>
      <c r="AK53" s="29" t="str">
        <f t="shared" si="83"/>
        <v>st1000x5h_pv1.09</v>
      </c>
      <c r="AL53" s="29">
        <f t="shared" si="83"/>
        <v>0</v>
      </c>
      <c r="AM53" s="29">
        <f t="shared" si="83"/>
        <v>0</v>
      </c>
      <c r="AN53" s="7"/>
      <c r="AO53" s="96">
        <f>p_down_up</f>
        <v>0.19999999999999996</v>
      </c>
      <c r="AP53" s="97">
        <f>add_down_up</f>
        <v>0.17</v>
      </c>
      <c r="AQ53" s="156">
        <f>(1-disc_rate)^op_factor*AU53</f>
        <v>0</v>
      </c>
      <c r="AR53" s="97" t="str">
        <f t="shared" ref="AR53:AR57" si="84">AJ53</f>
        <v>1000x5h</v>
      </c>
      <c r="AS53" s="97">
        <f t="shared" si="81"/>
        <v>1.26</v>
      </c>
      <c r="AT53" s="98" t="str">
        <f>dec_abbrev&amp;AR53&amp;"_"&amp;chance_abbrev&amp;AS53</f>
        <v>st1000x5h_pv1.26</v>
      </c>
      <c r="AU53" s="99">
        <f>AV53</f>
        <v>0</v>
      </c>
      <c r="AV53" s="99">
        <f>AW53*op_factor</f>
        <v>0</v>
      </c>
      <c r="AW53" s="112">
        <f>VLOOKUP(AT53,op_cost_table,op_cost_total_col_num,FALSE)</f>
        <v>0</v>
      </c>
      <c r="AY53" s="154" t="str">
        <f>IF(p2_picked,p1_choice,"")</f>
        <v>P1 Small</v>
      </c>
      <c r="AZ53" s="142">
        <f>IF(p2_picked,p1_prob*p2_prob,"")</f>
        <v>9.9999999999999978E-2</v>
      </c>
      <c r="BA53" s="155">
        <f>IF(p2_picked,SUM(F53,M53,Q53,AA53,AH53,AL53,AV53),"")</f>
        <v>1790095.3029620317</v>
      </c>
    </row>
    <row r="54" spans="1:53" s="77" customFormat="1" ht="17" thickBot="1" x14ac:dyDescent="0.25">
      <c r="A54" s="51" t="s">
        <v>54</v>
      </c>
      <c r="B54" s="31">
        <v>0</v>
      </c>
      <c r="C54" s="128">
        <f t="shared" si="6"/>
        <v>0.76</v>
      </c>
      <c r="D54" s="20"/>
      <c r="E54" s="20"/>
      <c r="F54" s="145">
        <f t="shared" si="7"/>
        <v>0</v>
      </c>
      <c r="G54" s="20"/>
      <c r="H54" s="20"/>
      <c r="I54" s="21"/>
      <c r="J54" s="31" t="b">
        <f t="shared" ref="J54:J63" si="85">J53</f>
        <v>0</v>
      </c>
      <c r="K54" s="20"/>
      <c r="L54" s="145" t="str">
        <f t="shared" ref="L54:L65" si="86">L53</f>
        <v>P1 Small</v>
      </c>
      <c r="M54" s="145">
        <f t="shared" ref="M54:N65" si="87">M53</f>
        <v>398821.79163117806</v>
      </c>
      <c r="N54" s="32" t="str">
        <f t="shared" si="87"/>
        <v>200x5h</v>
      </c>
      <c r="O54" s="29" t="str">
        <f>N54</f>
        <v>200x5h</v>
      </c>
      <c r="P54" s="29" t="str">
        <f>O54</f>
        <v>200x5h</v>
      </c>
      <c r="Q54" s="145">
        <f t="shared" ref="Q54:Q65" si="88">Q53</f>
        <v>0</v>
      </c>
      <c r="R54" s="20"/>
      <c r="S54" s="21"/>
      <c r="T54" s="32">
        <f t="shared" ref="T54" si="89">T53</f>
        <v>0.5</v>
      </c>
      <c r="U54" s="32">
        <f>U53</f>
        <v>0.33</v>
      </c>
      <c r="W54" s="32" t="str">
        <f t="shared" si="79"/>
        <v>200x5h</v>
      </c>
      <c r="X54" s="32">
        <f t="shared" si="80"/>
        <v>1.0900000000000001</v>
      </c>
      <c r="Y54" s="20"/>
      <c r="Z54" s="20"/>
      <c r="AA54" s="145">
        <f t="shared" ref="AA54:AA57" si="90">AA53</f>
        <v>2312.7076533090049</v>
      </c>
      <c r="AB54" s="20"/>
      <c r="AC54" s="20"/>
      <c r="AD54" s="21"/>
      <c r="AE54" s="22"/>
      <c r="AF54" s="24"/>
      <c r="AG54" s="24"/>
      <c r="AH54" s="101">
        <f t="shared" si="82"/>
        <v>1388960.8036775447</v>
      </c>
      <c r="AI54" s="101" t="str">
        <f t="shared" si="82"/>
        <v>1000x5h</v>
      </c>
      <c r="AJ54" s="101" t="str">
        <f t="shared" si="83"/>
        <v>1000x5h</v>
      </c>
      <c r="AK54" s="101" t="str">
        <f t="shared" si="83"/>
        <v>st1000x5h_pv1.09</v>
      </c>
      <c r="AL54" s="101">
        <f t="shared" si="83"/>
        <v>0</v>
      </c>
      <c r="AM54" s="101">
        <f t="shared" si="83"/>
        <v>0</v>
      </c>
      <c r="AN54" s="25"/>
      <c r="AO54" s="20"/>
      <c r="AP54" s="20"/>
      <c r="AR54" s="20" t="str">
        <f t="shared" si="84"/>
        <v>1000x5h</v>
      </c>
      <c r="AS54" s="20">
        <f t="shared" si="81"/>
        <v>1.0900000000000001</v>
      </c>
      <c r="AT54" s="20"/>
      <c r="AU54" s="20"/>
      <c r="AV54" s="20"/>
      <c r="AW54" s="20"/>
      <c r="AX54" s="20"/>
      <c r="AY54" s="19"/>
      <c r="AZ54" s="20"/>
      <c r="BA54" s="21"/>
    </row>
    <row r="55" spans="1:53" s="5" customFormat="1" ht="17" thickBot="1" x14ac:dyDescent="0.25">
      <c r="B55" s="30">
        <v>0</v>
      </c>
      <c r="C55" s="127">
        <f t="shared" si="6"/>
        <v>0.76</v>
      </c>
      <c r="D55" s="27"/>
      <c r="E55" s="26"/>
      <c r="F55" s="144">
        <f t="shared" si="7"/>
        <v>0</v>
      </c>
      <c r="G55" s="26"/>
      <c r="H55" s="26"/>
      <c r="I55" s="28"/>
      <c r="J55" s="30" t="b">
        <f t="shared" si="85"/>
        <v>0</v>
      </c>
      <c r="K55" s="8"/>
      <c r="L55" s="144" t="str">
        <f t="shared" si="86"/>
        <v>P1 Small</v>
      </c>
      <c r="M55" s="144">
        <f t="shared" si="87"/>
        <v>398821.79163117806</v>
      </c>
      <c r="N55" s="29" t="str">
        <f t="shared" si="87"/>
        <v>200x5h</v>
      </c>
      <c r="O55" s="29" t="str">
        <f t="shared" ref="O55:P55" si="91">N55</f>
        <v>200x5h</v>
      </c>
      <c r="P55" s="29" t="str">
        <f t="shared" si="91"/>
        <v>200x5h</v>
      </c>
      <c r="Q55" s="144">
        <f t="shared" si="88"/>
        <v>0</v>
      </c>
      <c r="S55" s="7"/>
      <c r="T55" s="29">
        <f t="shared" ref="T55" si="92">T54</f>
        <v>0.5</v>
      </c>
      <c r="U55" s="29">
        <f>U54</f>
        <v>0.33</v>
      </c>
      <c r="W55" s="29" t="str">
        <f t="shared" si="79"/>
        <v>200x5h</v>
      </c>
      <c r="X55" s="29">
        <f t="shared" si="80"/>
        <v>1.0900000000000001</v>
      </c>
      <c r="Y55" s="6"/>
      <c r="AA55" s="144">
        <f t="shared" si="90"/>
        <v>2312.7076533090049</v>
      </c>
      <c r="AD55" s="7"/>
      <c r="AE55" s="15" t="b">
        <f>AD52=AF55</f>
        <v>0</v>
      </c>
      <c r="AF55" s="18">
        <f>SUM(AH55,AL55,AN55)</f>
        <v>2009744.8666271402</v>
      </c>
      <c r="AG55" s="65" t="s">
        <v>65</v>
      </c>
      <c r="AH55" s="108">
        <f>IF(EXACT("Stay",LEFT(AG55,LEN("Stay"))),0,VLOOKUP(AG55,decision_cost_table,decision_total_col_num,FALSE))</f>
        <v>0</v>
      </c>
      <c r="AI55" s="85" t="str">
        <f>IF(EXACT("Stay",LEFT(AG55,LEN("Stay"))),W55,VLOOKUP(AG55,decision_cost_table,decision_code_col_num,FALSE))</f>
        <v>200x5h</v>
      </c>
      <c r="AJ55" s="16" t="str">
        <f>AI55</f>
        <v>200x5h</v>
      </c>
      <c r="AK55" s="17" t="str">
        <f>dec_abbrev&amp;AJ55&amp;"_"&amp;chance_abbrev&amp;X55</f>
        <v>st200x5h_pv1.09</v>
      </c>
      <c r="AL55" s="18">
        <f>AM55*op_factor</f>
        <v>770.90255110300166</v>
      </c>
      <c r="AM55" s="108">
        <f>VLOOKUP(AK55,op_cost_table,op_cost_total_col_num,FALSE)</f>
        <v>770.90255110300166</v>
      </c>
      <c r="AN55" s="59">
        <f>SUMPRODUCT(AO55:AO57,AQ55:AQ57)</f>
        <v>2008973.9640760373</v>
      </c>
      <c r="AO55" s="96">
        <f>p_up_up</f>
        <v>0.8</v>
      </c>
      <c r="AP55" s="97">
        <f>add_up_up</f>
        <v>0.42</v>
      </c>
      <c r="AQ55" s="156">
        <f>(1-disc_rate)^op_factor*AU55</f>
        <v>2387459.2937965477</v>
      </c>
      <c r="AR55" s="97" t="str">
        <f t="shared" si="84"/>
        <v>200x5h</v>
      </c>
      <c r="AS55" s="97">
        <f t="shared" si="81"/>
        <v>1.51</v>
      </c>
      <c r="AT55" s="98" t="str">
        <f>dec_abbrev&amp;AR55&amp;"_"&amp;chance_abbrev&amp;AS55</f>
        <v>st200x5h_pv1.51</v>
      </c>
      <c r="AU55" s="99">
        <f>AV55</f>
        <v>2810936.5555051495</v>
      </c>
      <c r="AV55" s="99">
        <f>AW55*op_factor</f>
        <v>2810936.5555051495</v>
      </c>
      <c r="AW55" s="112">
        <f>VLOOKUP(AT55,op_cost_table,op_cost_total_col_num,FALSE)</f>
        <v>187395.77036700997</v>
      </c>
      <c r="AY55" s="154" t="str">
        <f>IF(p2_picked,p1_choice,"")</f>
        <v/>
      </c>
      <c r="AZ55" s="142" t="str">
        <f>IF(p2_picked,p1_prob*p2_prob,"")</f>
        <v/>
      </c>
      <c r="BA55" s="155" t="str">
        <f>IF(p2_picked,SUM(F55,M55,Q55,AA55,AH55,AL55,AV55),"")</f>
        <v/>
      </c>
    </row>
    <row r="56" spans="1:53" s="5" customFormat="1" ht="17" thickBot="1" x14ac:dyDescent="0.25">
      <c r="B56" s="30">
        <v>0</v>
      </c>
      <c r="C56" s="127">
        <f t="shared" si="6"/>
        <v>0.76</v>
      </c>
      <c r="D56" s="26"/>
      <c r="E56" s="26"/>
      <c r="F56" s="144">
        <f t="shared" si="7"/>
        <v>0</v>
      </c>
      <c r="G56" s="26"/>
      <c r="H56" s="26"/>
      <c r="I56" s="28"/>
      <c r="J56" s="30" t="b">
        <f t="shared" si="85"/>
        <v>0</v>
      </c>
      <c r="K56" s="26"/>
      <c r="L56" s="144" t="str">
        <f t="shared" si="86"/>
        <v>P1 Small</v>
      </c>
      <c r="M56" s="144">
        <f t="shared" si="87"/>
        <v>398821.79163117806</v>
      </c>
      <c r="N56" s="29" t="str">
        <f t="shared" si="87"/>
        <v>200x5h</v>
      </c>
      <c r="O56" s="29" t="str">
        <f t="shared" ref="O56:P56" si="93">N56</f>
        <v>200x5h</v>
      </c>
      <c r="P56" s="29" t="str">
        <f t="shared" si="93"/>
        <v>200x5h</v>
      </c>
      <c r="Q56" s="144">
        <f t="shared" si="88"/>
        <v>0</v>
      </c>
      <c r="S56" s="7"/>
      <c r="T56" s="29">
        <f t="shared" ref="T56" si="94">T55</f>
        <v>0.5</v>
      </c>
      <c r="U56" s="29">
        <f>U55</f>
        <v>0.33</v>
      </c>
      <c r="W56" s="29" t="str">
        <f t="shared" si="79"/>
        <v>200x5h</v>
      </c>
      <c r="X56" s="29">
        <f t="shared" si="80"/>
        <v>1.0900000000000001</v>
      </c>
      <c r="AA56" s="144">
        <f t="shared" si="90"/>
        <v>2312.7076533090049</v>
      </c>
      <c r="AD56" s="7"/>
      <c r="AE56" s="30" t="b">
        <f>AE55</f>
        <v>0</v>
      </c>
      <c r="AH56" s="29">
        <f t="shared" ref="AH56:AI56" si="95">AH55</f>
        <v>0</v>
      </c>
      <c r="AI56" s="29" t="str">
        <f t="shared" si="95"/>
        <v>200x5h</v>
      </c>
      <c r="AJ56" s="29" t="str">
        <f t="shared" ref="AJ56:AM57" si="96">AJ55</f>
        <v>200x5h</v>
      </c>
      <c r="AK56" s="29" t="str">
        <f t="shared" si="96"/>
        <v>st200x5h_pv1.09</v>
      </c>
      <c r="AL56" s="29">
        <f t="shared" si="96"/>
        <v>770.90255110300166</v>
      </c>
      <c r="AM56" s="29">
        <f t="shared" si="96"/>
        <v>770.90255110300166</v>
      </c>
      <c r="AN56" s="7"/>
      <c r="AO56" s="96">
        <f>p_down_up</f>
        <v>0.19999999999999996</v>
      </c>
      <c r="AP56" s="97">
        <f>add_down_up</f>
        <v>0.17</v>
      </c>
      <c r="AQ56" s="156">
        <f>(1-disc_rate)^op_factor*AU56</f>
        <v>495032.64519399474</v>
      </c>
      <c r="AR56" s="97" t="str">
        <f t="shared" si="84"/>
        <v>200x5h</v>
      </c>
      <c r="AS56" s="97">
        <f t="shared" si="81"/>
        <v>1.26</v>
      </c>
      <c r="AT56" s="98" t="str">
        <f>dec_abbrev&amp;AR56&amp;"_"&amp;chance_abbrev&amp;AS56</f>
        <v>st200x5h_pv1.26</v>
      </c>
      <c r="AU56" s="99">
        <f>AV56</f>
        <v>582839.40679526003</v>
      </c>
      <c r="AV56" s="99">
        <f>AW56*op_factor</f>
        <v>582839.40679526003</v>
      </c>
      <c r="AW56" s="112">
        <f>VLOOKUP(AT56,op_cost_table,op_cost_total_col_num,FALSE)</f>
        <v>38855.960453017338</v>
      </c>
      <c r="AY56" s="154" t="str">
        <f>IF(p2_picked,p1_choice,"")</f>
        <v/>
      </c>
      <c r="AZ56" s="142" t="str">
        <f>IF(p2_picked,p1_prob*p2_prob,"")</f>
        <v/>
      </c>
      <c r="BA56" s="155" t="str">
        <f>IF(p2_picked,SUM(F56,M56,Q56,AA56,AH56,AL56,AV56),"")</f>
        <v/>
      </c>
    </row>
    <row r="57" spans="1:53" s="77" customFormat="1" ht="17" thickBot="1" x14ac:dyDescent="0.25">
      <c r="A57" s="51" t="s">
        <v>54</v>
      </c>
      <c r="B57" s="31">
        <v>0</v>
      </c>
      <c r="C57" s="128">
        <f t="shared" si="6"/>
        <v>0.76</v>
      </c>
      <c r="D57" s="20"/>
      <c r="E57" s="20"/>
      <c r="F57" s="145">
        <f t="shared" si="7"/>
        <v>0</v>
      </c>
      <c r="G57" s="20"/>
      <c r="H57" s="20"/>
      <c r="I57" s="21"/>
      <c r="J57" s="31" t="b">
        <f t="shared" si="85"/>
        <v>0</v>
      </c>
      <c r="K57" s="20"/>
      <c r="L57" s="145" t="str">
        <f t="shared" si="86"/>
        <v>P1 Small</v>
      </c>
      <c r="M57" s="145">
        <f t="shared" si="87"/>
        <v>398821.79163117806</v>
      </c>
      <c r="N57" s="32" t="str">
        <f t="shared" si="87"/>
        <v>200x5h</v>
      </c>
      <c r="O57" s="32" t="str">
        <f t="shared" ref="O57:P57" si="97">N57</f>
        <v>200x5h</v>
      </c>
      <c r="P57" s="32" t="str">
        <f t="shared" si="97"/>
        <v>200x5h</v>
      </c>
      <c r="Q57" s="145">
        <f t="shared" si="88"/>
        <v>0</v>
      </c>
      <c r="R57" s="20"/>
      <c r="S57" s="21"/>
      <c r="T57" s="32">
        <f t="shared" ref="T57" si="98">T56</f>
        <v>0.5</v>
      </c>
      <c r="U57" s="32">
        <f>U56</f>
        <v>0.33</v>
      </c>
      <c r="W57" s="32" t="str">
        <f t="shared" si="79"/>
        <v>200x5h</v>
      </c>
      <c r="X57" s="32">
        <f t="shared" si="80"/>
        <v>1.0900000000000001</v>
      </c>
      <c r="Y57" s="20"/>
      <c r="Z57" s="20"/>
      <c r="AA57" s="145">
        <f t="shared" si="90"/>
        <v>2312.7076533090049</v>
      </c>
      <c r="AB57" s="20"/>
      <c r="AC57" s="20"/>
      <c r="AD57" s="21"/>
      <c r="AE57" s="22"/>
      <c r="AF57" s="24"/>
      <c r="AG57" s="24"/>
      <c r="AH57" s="101">
        <f t="shared" ref="AH57:AI57" si="99">AH56</f>
        <v>0</v>
      </c>
      <c r="AI57" s="101" t="str">
        <f t="shared" si="99"/>
        <v>200x5h</v>
      </c>
      <c r="AJ57" s="101" t="str">
        <f t="shared" si="96"/>
        <v>200x5h</v>
      </c>
      <c r="AK57" s="101" t="str">
        <f t="shared" si="96"/>
        <v>st200x5h_pv1.09</v>
      </c>
      <c r="AL57" s="101">
        <f t="shared" si="96"/>
        <v>770.90255110300166</v>
      </c>
      <c r="AM57" s="101">
        <f t="shared" si="96"/>
        <v>770.90255110300166</v>
      </c>
      <c r="AN57" s="25"/>
      <c r="AO57" s="20"/>
      <c r="AP57" s="20"/>
      <c r="AR57" s="20" t="str">
        <f t="shared" si="84"/>
        <v>200x5h</v>
      </c>
      <c r="AS57" s="20">
        <f t="shared" si="81"/>
        <v>1.0900000000000001</v>
      </c>
      <c r="AT57" s="20"/>
      <c r="AU57" s="20"/>
      <c r="AV57" s="20"/>
      <c r="AW57" s="20"/>
      <c r="AX57" s="20"/>
      <c r="AY57" s="19"/>
      <c r="AZ57" s="20"/>
      <c r="BA57" s="21"/>
    </row>
    <row r="58" spans="1:53" s="55" customFormat="1" ht="17" thickBot="1" x14ac:dyDescent="0.25">
      <c r="A58" s="54" t="s">
        <v>51</v>
      </c>
      <c r="B58" s="33">
        <f>B57</f>
        <v>0</v>
      </c>
      <c r="C58" s="129">
        <f t="shared" si="6"/>
        <v>0.76</v>
      </c>
      <c r="F58" s="148">
        <f t="shared" si="7"/>
        <v>0</v>
      </c>
      <c r="I58" s="61"/>
      <c r="J58" s="33" t="b">
        <f t="shared" si="85"/>
        <v>0</v>
      </c>
      <c r="L58" s="146" t="str">
        <f t="shared" si="86"/>
        <v>P1 Small</v>
      </c>
      <c r="M58" s="146">
        <f t="shared" si="87"/>
        <v>398821.79163117806</v>
      </c>
      <c r="N58" s="34" t="str">
        <f t="shared" si="87"/>
        <v>200x5h</v>
      </c>
      <c r="O58" s="34" t="str">
        <f t="shared" ref="O58:P58" si="100">N58</f>
        <v>200x5h</v>
      </c>
      <c r="P58" s="34" t="str">
        <f t="shared" si="100"/>
        <v>200x5h</v>
      </c>
      <c r="Q58" s="146">
        <f t="shared" si="88"/>
        <v>0</v>
      </c>
      <c r="R58" s="11"/>
      <c r="S58" s="12"/>
      <c r="T58" s="71"/>
      <c r="U58" s="13"/>
      <c r="W58" s="13"/>
      <c r="X58" s="13"/>
      <c r="Y58" s="13"/>
      <c r="Z58" s="13"/>
      <c r="AA58" s="13"/>
      <c r="AB58" s="13"/>
      <c r="AC58" s="13"/>
      <c r="AD58" s="14"/>
      <c r="AE58" s="11"/>
      <c r="AF58" s="11"/>
      <c r="AG58" s="11"/>
      <c r="AH58" s="11"/>
      <c r="AI58" s="11"/>
      <c r="AJ58" s="11"/>
      <c r="AK58" s="45"/>
      <c r="AL58" s="11"/>
      <c r="AM58" s="11"/>
      <c r="AN58" s="11"/>
      <c r="AO58" s="11"/>
      <c r="AP58" s="11"/>
      <c r="AR58" s="11"/>
      <c r="AS58" s="11"/>
      <c r="AT58" s="11"/>
      <c r="AU58" s="11"/>
      <c r="AV58" s="11"/>
      <c r="AW58" s="11"/>
      <c r="AY58" s="10"/>
      <c r="AZ58" s="11"/>
      <c r="BA58" s="12"/>
    </row>
    <row r="59" spans="1:53" s="5" customFormat="1" ht="17" thickBot="1" x14ac:dyDescent="0.25">
      <c r="B59" s="30">
        <v>0</v>
      </c>
      <c r="C59" s="127">
        <f t="shared" si="6"/>
        <v>0.76</v>
      </c>
      <c r="F59" s="144">
        <f t="shared" si="7"/>
        <v>0</v>
      </c>
      <c r="I59" s="7"/>
      <c r="J59" s="30" t="b">
        <f t="shared" si="85"/>
        <v>0</v>
      </c>
      <c r="L59" s="144" t="str">
        <f t="shared" si="86"/>
        <v>P1 Small</v>
      </c>
      <c r="M59" s="144">
        <f t="shared" si="87"/>
        <v>398821.79163117806</v>
      </c>
      <c r="N59" s="29" t="str">
        <f t="shared" si="87"/>
        <v>200x5h</v>
      </c>
      <c r="O59" s="29" t="str">
        <f t="shared" ref="O59:P59" si="101">N59</f>
        <v>200x5h</v>
      </c>
      <c r="P59" s="29" t="str">
        <f t="shared" si="101"/>
        <v>200x5h</v>
      </c>
      <c r="Q59" s="144">
        <f t="shared" si="88"/>
        <v>0</v>
      </c>
      <c r="S59" s="7"/>
      <c r="T59" s="70">
        <f>p_down_up</f>
        <v>0.5</v>
      </c>
      <c r="U59" s="16">
        <f>add_down_up</f>
        <v>0.1</v>
      </c>
      <c r="V59" s="143">
        <f>(1-disc_rate)^op_factor*Z59</f>
        <v>104239.77026502241</v>
      </c>
      <c r="W59" s="16" t="str">
        <f t="shared" ref="W59:W64" si="102">O59</f>
        <v>200x5h</v>
      </c>
      <c r="X59" s="16">
        <f t="shared" ref="X59:X64" si="103">C59+U59</f>
        <v>0.86</v>
      </c>
      <c r="Y59" s="17" t="str">
        <f>dec_abbrev&amp;W59&amp;"_"&amp;chance_abbrev&amp;X59</f>
        <v>st200x5h_pv0.86</v>
      </c>
      <c r="Z59" s="18">
        <f>AA59+AD59</f>
        <v>122729.37240720962</v>
      </c>
      <c r="AA59" s="18">
        <f>AB59*op_factor</f>
        <v>0</v>
      </c>
      <c r="AB59" s="108">
        <f>VLOOKUP(Y59,op_cost_table,op_cost_total_col_num,FALSE)</f>
        <v>0</v>
      </c>
      <c r="AC59" s="58" t="str">
        <f>VLOOKUP(AD59,AF59:AG65,2,FALSE)</f>
        <v>Stay Small</v>
      </c>
      <c r="AD59" s="59">
        <f>MIN(AF59:AF65)</f>
        <v>122729.37240720962</v>
      </c>
      <c r="AE59" s="15" t="b">
        <f>AD59=AF59</f>
        <v>0</v>
      </c>
      <c r="AF59" s="18">
        <f>SUM(AH59,AL59,AN59)</f>
        <v>1388960.8036775447</v>
      </c>
      <c r="AG59" s="65" t="s">
        <v>164</v>
      </c>
      <c r="AH59" s="108">
        <f>IF(EXACT("Stay",LEFT(AG59,LEN("Stay"))),0,VLOOKUP(AG59,decision_cost_table,decision_total_col_num,FALSE))</f>
        <v>1388960.8036775447</v>
      </c>
      <c r="AI59" s="85" t="str">
        <f>IF(EXACT("Stay",LEFT(AG59,LEN("Stay"))),W59,VLOOKUP(AG59,decision_cost_table,decision_code_col_num,FALSE))</f>
        <v>1000x5h</v>
      </c>
      <c r="AJ59" s="16" t="str">
        <f>AI59</f>
        <v>1000x5h</v>
      </c>
      <c r="AK59" s="17" t="str">
        <f>dec_abbrev&amp;AJ59&amp;"_"&amp;chance_abbrev&amp;X59</f>
        <v>st1000x5h_pv0.86</v>
      </c>
      <c r="AL59" s="18">
        <f>AM59*op_factor</f>
        <v>0</v>
      </c>
      <c r="AM59" s="108">
        <f>VLOOKUP(AK59,op_cost_table,op_cost_total_col_num,FALSE)</f>
        <v>0</v>
      </c>
      <c r="AN59" s="59">
        <f>SUMPRODUCT(AO59:AO61,AQ59:AQ61)</f>
        <v>0</v>
      </c>
      <c r="AO59" s="100">
        <f>p_up_down</f>
        <v>0.2</v>
      </c>
      <c r="AP59" s="97">
        <f>add_up_down</f>
        <v>0.4</v>
      </c>
      <c r="AQ59" s="156">
        <f>(1-disc_rate)^op_factor*AU59</f>
        <v>0</v>
      </c>
      <c r="AR59" s="97" t="str">
        <f>AJ59</f>
        <v>1000x5h</v>
      </c>
      <c r="AS59" s="97">
        <f>X59+AP59</f>
        <v>1.26</v>
      </c>
      <c r="AT59" s="98" t="str">
        <f>dec_abbrev&amp;AR59&amp;"_"&amp;chance_abbrev&amp;AS59</f>
        <v>st1000x5h_pv1.26</v>
      </c>
      <c r="AU59" s="99">
        <f>AV59</f>
        <v>0</v>
      </c>
      <c r="AV59" s="99">
        <f>AW59*op_factor</f>
        <v>0</v>
      </c>
      <c r="AW59" s="112">
        <f>VLOOKUP(AT59,op_cost_table,op_cost_total_col_num,FALSE)</f>
        <v>0</v>
      </c>
      <c r="AY59" s="154" t="str">
        <f>IF(p2_picked,p1_choice,"")</f>
        <v/>
      </c>
      <c r="AZ59" s="142" t="str">
        <f>IF(p2_picked,p1_prob*p2_prob,"")</f>
        <v/>
      </c>
      <c r="BA59" s="155" t="str">
        <f>IF(p2_picked,SUM(F59,M59,Q59,AA59,AH59,AL59,AV59),"")</f>
        <v/>
      </c>
    </row>
    <row r="60" spans="1:53" s="5" customFormat="1" ht="17" thickBot="1" x14ac:dyDescent="0.25">
      <c r="B60" s="30">
        <v>0</v>
      </c>
      <c r="C60" s="127">
        <f t="shared" si="6"/>
        <v>0.76</v>
      </c>
      <c r="F60" s="144">
        <f t="shared" si="7"/>
        <v>0</v>
      </c>
      <c r="I60" s="7"/>
      <c r="J60" s="30" t="b">
        <f t="shared" si="85"/>
        <v>0</v>
      </c>
      <c r="L60" s="144" t="str">
        <f t="shared" si="86"/>
        <v>P1 Small</v>
      </c>
      <c r="M60" s="144">
        <f t="shared" si="87"/>
        <v>398821.79163117806</v>
      </c>
      <c r="N60" s="29" t="str">
        <f t="shared" si="87"/>
        <v>200x5h</v>
      </c>
      <c r="O60" s="29" t="str">
        <f t="shared" ref="O60:P60" si="104">N60</f>
        <v>200x5h</v>
      </c>
      <c r="P60" s="29" t="str">
        <f t="shared" si="104"/>
        <v>200x5h</v>
      </c>
      <c r="Q60" s="144">
        <f t="shared" si="88"/>
        <v>0</v>
      </c>
      <c r="S60" s="7"/>
      <c r="T60" s="29">
        <f>T59</f>
        <v>0.5</v>
      </c>
      <c r="U60" s="29">
        <f>U59</f>
        <v>0.1</v>
      </c>
      <c r="W60" s="29" t="str">
        <f t="shared" si="102"/>
        <v>200x5h</v>
      </c>
      <c r="X60" s="29">
        <f t="shared" si="103"/>
        <v>0.86</v>
      </c>
      <c r="AA60" s="144">
        <f>AA59</f>
        <v>0</v>
      </c>
      <c r="AD60" s="7"/>
      <c r="AE60" s="30" t="b">
        <f>AE59</f>
        <v>0</v>
      </c>
      <c r="AH60" s="29">
        <f t="shared" ref="AH60:AI60" si="105">AH59</f>
        <v>1388960.8036775447</v>
      </c>
      <c r="AI60" s="29" t="str">
        <f t="shared" si="105"/>
        <v>1000x5h</v>
      </c>
      <c r="AJ60" s="29" t="str">
        <f t="shared" ref="AJ60:AM61" si="106">AJ59</f>
        <v>1000x5h</v>
      </c>
      <c r="AK60" s="29" t="str">
        <f t="shared" si="106"/>
        <v>st1000x5h_pv0.86</v>
      </c>
      <c r="AL60" s="29">
        <f t="shared" si="106"/>
        <v>0</v>
      </c>
      <c r="AM60" s="29">
        <f t="shared" si="106"/>
        <v>0</v>
      </c>
      <c r="AN60" s="7"/>
      <c r="AO60" s="100">
        <f>p_down_down</f>
        <v>0.8</v>
      </c>
      <c r="AP60" s="97">
        <f>add_down_down</f>
        <v>0.25</v>
      </c>
      <c r="AQ60" s="156">
        <f>(1-disc_rate)^op_factor*AU60</f>
        <v>0</v>
      </c>
      <c r="AR60" s="97" t="str">
        <f t="shared" ref="AR60:AR64" si="107">AJ60</f>
        <v>1000x5h</v>
      </c>
      <c r="AS60" s="97">
        <f>X60+AP60</f>
        <v>1.1099999999999999</v>
      </c>
      <c r="AT60" s="98" t="str">
        <f>dec_abbrev&amp;AR60&amp;"_"&amp;chance_abbrev&amp;AS60</f>
        <v>st1000x5h_pv1.11</v>
      </c>
      <c r="AU60" s="99">
        <f>AV60</f>
        <v>0</v>
      </c>
      <c r="AV60" s="99">
        <f>AW60*op_factor</f>
        <v>0</v>
      </c>
      <c r="AW60" s="112">
        <f>VLOOKUP(AT60,op_cost_table,op_cost_total_col_num,FALSE)</f>
        <v>0</v>
      </c>
      <c r="AY60" s="154" t="str">
        <f>IF(p2_picked,p1_choice,"")</f>
        <v/>
      </c>
      <c r="AZ60" s="142" t="str">
        <f>IF(p2_picked,p1_prob*p2_prob,"")</f>
        <v/>
      </c>
      <c r="BA60" s="155" t="str">
        <f>IF(p2_picked,SUM(F60,M60,Q60,AA60,AH60,AL60,AV60),"")</f>
        <v/>
      </c>
    </row>
    <row r="61" spans="1:53" s="20" customFormat="1" ht="17" thickBot="1" x14ac:dyDescent="0.25">
      <c r="A61" s="51" t="s">
        <v>54</v>
      </c>
      <c r="B61" s="31">
        <v>0</v>
      </c>
      <c r="C61" s="128">
        <f t="shared" si="6"/>
        <v>0.76</v>
      </c>
      <c r="F61" s="145">
        <f t="shared" si="7"/>
        <v>0</v>
      </c>
      <c r="I61" s="21"/>
      <c r="J61" s="31" t="b">
        <f t="shared" si="85"/>
        <v>0</v>
      </c>
      <c r="L61" s="145" t="str">
        <f t="shared" si="86"/>
        <v>P1 Small</v>
      </c>
      <c r="M61" s="145">
        <f t="shared" si="87"/>
        <v>398821.79163117806</v>
      </c>
      <c r="N61" s="32" t="str">
        <f t="shared" si="87"/>
        <v>200x5h</v>
      </c>
      <c r="O61" s="32" t="str">
        <f t="shared" ref="O61:P61" si="108">N61</f>
        <v>200x5h</v>
      </c>
      <c r="P61" s="32" t="str">
        <f t="shared" si="108"/>
        <v>200x5h</v>
      </c>
      <c r="Q61" s="145">
        <f t="shared" si="88"/>
        <v>0</v>
      </c>
      <c r="S61" s="21"/>
      <c r="T61" s="32">
        <f t="shared" ref="T61" si="109">T60</f>
        <v>0.5</v>
      </c>
      <c r="U61" s="32">
        <f>U60</f>
        <v>0.1</v>
      </c>
      <c r="W61" s="32" t="str">
        <f t="shared" si="102"/>
        <v>200x5h</v>
      </c>
      <c r="X61" s="32">
        <f t="shared" si="103"/>
        <v>0.86</v>
      </c>
      <c r="AA61" s="145">
        <f t="shared" ref="AA61:AA64" si="110">AA60</f>
        <v>0</v>
      </c>
      <c r="AD61" s="21"/>
      <c r="AE61" s="22"/>
      <c r="AF61" s="24"/>
      <c r="AG61" s="24"/>
      <c r="AH61" s="101">
        <f t="shared" ref="AH61:AI61" si="111">AH60</f>
        <v>1388960.8036775447</v>
      </c>
      <c r="AI61" s="101" t="str">
        <f t="shared" si="111"/>
        <v>1000x5h</v>
      </c>
      <c r="AJ61" s="101" t="str">
        <f t="shared" si="106"/>
        <v>1000x5h</v>
      </c>
      <c r="AK61" s="101" t="str">
        <f t="shared" si="106"/>
        <v>st1000x5h_pv0.86</v>
      </c>
      <c r="AL61" s="101">
        <f t="shared" si="106"/>
        <v>0</v>
      </c>
      <c r="AM61" s="101">
        <f t="shared" si="106"/>
        <v>0</v>
      </c>
      <c r="AN61" s="25"/>
      <c r="AR61" s="20" t="str">
        <f t="shared" si="107"/>
        <v>1000x5h</v>
      </c>
      <c r="AS61" s="20">
        <f>X61+AP61</f>
        <v>0.86</v>
      </c>
      <c r="AY61" s="19"/>
      <c r="BA61" s="21"/>
    </row>
    <row r="62" spans="1:53" s="5" customFormat="1" ht="17" thickBot="1" x14ac:dyDescent="0.25">
      <c r="B62" s="30">
        <v>0</v>
      </c>
      <c r="C62" s="127">
        <f t="shared" si="6"/>
        <v>0.76</v>
      </c>
      <c r="D62" s="6"/>
      <c r="F62" s="144">
        <f t="shared" si="7"/>
        <v>0</v>
      </c>
      <c r="I62" s="7"/>
      <c r="J62" s="30" t="b">
        <f t="shared" si="85"/>
        <v>0</v>
      </c>
      <c r="K62" s="8"/>
      <c r="L62" s="144" t="str">
        <f t="shared" si="86"/>
        <v>P1 Small</v>
      </c>
      <c r="M62" s="144">
        <f t="shared" si="87"/>
        <v>398821.79163117806</v>
      </c>
      <c r="N62" s="29" t="str">
        <f t="shared" si="87"/>
        <v>200x5h</v>
      </c>
      <c r="O62" s="29" t="str">
        <f t="shared" ref="O62:P62" si="112">N62</f>
        <v>200x5h</v>
      </c>
      <c r="P62" s="29" t="str">
        <f t="shared" si="112"/>
        <v>200x5h</v>
      </c>
      <c r="Q62" s="144">
        <f t="shared" si="88"/>
        <v>0</v>
      </c>
      <c r="S62" s="7"/>
      <c r="T62" s="29">
        <f t="shared" ref="T62" si="113">T61</f>
        <v>0.5</v>
      </c>
      <c r="U62" s="29">
        <f>U61</f>
        <v>0.1</v>
      </c>
      <c r="W62" s="29" t="str">
        <f t="shared" si="102"/>
        <v>200x5h</v>
      </c>
      <c r="X62" s="29">
        <f t="shared" si="103"/>
        <v>0.86</v>
      </c>
      <c r="Y62" s="6"/>
      <c r="AA62" s="144">
        <f t="shared" si="110"/>
        <v>0</v>
      </c>
      <c r="AD62" s="7"/>
      <c r="AE62" s="15" t="b">
        <f>AD59=AF62</f>
        <v>1</v>
      </c>
      <c r="AF62" s="18">
        <f>SUM(AH62,AL62,AN62)</f>
        <v>122729.37240720962</v>
      </c>
      <c r="AG62" s="65" t="s">
        <v>65</v>
      </c>
      <c r="AH62" s="108">
        <f>IF(EXACT("Stay",LEFT(AG62,LEN("Stay"))),0,VLOOKUP(AG62,decision_cost_table,decision_total_col_num,FALSE))</f>
        <v>0</v>
      </c>
      <c r="AI62" s="85" t="str">
        <f>IF(EXACT("Stay",LEFT(AG62,LEN("Stay"))),W62,VLOOKUP(AG62,decision_cost_table,decision_code_col_num,FALSE))</f>
        <v>200x5h</v>
      </c>
      <c r="AJ62" s="16" t="str">
        <f>AI62</f>
        <v>200x5h</v>
      </c>
      <c r="AK62" s="17" t="str">
        <f>dec_abbrev&amp;AJ62&amp;"_"&amp;chance_abbrev&amp;X62</f>
        <v>st200x5h_pv0.86</v>
      </c>
      <c r="AL62" s="18">
        <f>AM62*op_factor</f>
        <v>0</v>
      </c>
      <c r="AM62" s="108">
        <f>VLOOKUP(AK62,op_cost_table,op_cost_total_col_num,FALSE)</f>
        <v>0</v>
      </c>
      <c r="AN62" s="59">
        <f>SUMPRODUCT(AO62:AO64,AQ62:AQ64)</f>
        <v>122729.37240720962</v>
      </c>
      <c r="AO62" s="100">
        <f>p_up_down</f>
        <v>0.2</v>
      </c>
      <c r="AP62" s="97">
        <f>add_up_down</f>
        <v>0.4</v>
      </c>
      <c r="AQ62" s="156">
        <f>(1-disc_rate)^op_factor*AU62</f>
        <v>495032.64519399474</v>
      </c>
      <c r="AR62" s="97" t="str">
        <f t="shared" si="107"/>
        <v>200x5h</v>
      </c>
      <c r="AS62" s="97">
        <f>X62+AP62</f>
        <v>1.26</v>
      </c>
      <c r="AT62" s="98" t="str">
        <f>dec_abbrev&amp;AR62&amp;"_"&amp;chance_abbrev&amp;AS62</f>
        <v>st200x5h_pv1.26</v>
      </c>
      <c r="AU62" s="99">
        <f>AV62</f>
        <v>582839.40679526003</v>
      </c>
      <c r="AV62" s="99">
        <f>AW62*op_factor</f>
        <v>582839.40679526003</v>
      </c>
      <c r="AW62" s="112">
        <f>VLOOKUP(AT62,op_cost_table,op_cost_total_col_num,FALSE)</f>
        <v>38855.960453017338</v>
      </c>
      <c r="AY62" s="154" t="str">
        <f>IF(p2_picked,p1_choice,"")</f>
        <v>P1 Small</v>
      </c>
      <c r="AZ62" s="142">
        <f>IF(p2_picked,p1_prob*p2_prob,"")</f>
        <v>0.1</v>
      </c>
      <c r="BA62" s="155">
        <f>IF(p2_picked,SUM(F62,M62,Q62,AA62,AH62,AL62,AV62),"")</f>
        <v>981661.19842643803</v>
      </c>
    </row>
    <row r="63" spans="1:53" s="5" customFormat="1" ht="17" thickBot="1" x14ac:dyDescent="0.25">
      <c r="B63" s="30">
        <v>0</v>
      </c>
      <c r="C63" s="127">
        <f t="shared" si="6"/>
        <v>0.76</v>
      </c>
      <c r="F63" s="144">
        <f t="shared" si="7"/>
        <v>0</v>
      </c>
      <c r="I63" s="7"/>
      <c r="J63" s="30" t="b">
        <f t="shared" si="85"/>
        <v>0</v>
      </c>
      <c r="L63" s="144" t="str">
        <f t="shared" si="86"/>
        <v>P1 Small</v>
      </c>
      <c r="M63" s="144">
        <f t="shared" si="87"/>
        <v>398821.79163117806</v>
      </c>
      <c r="N63" s="29" t="str">
        <f t="shared" si="87"/>
        <v>200x5h</v>
      </c>
      <c r="O63" s="29" t="str">
        <f t="shared" ref="O63:P63" si="114">N63</f>
        <v>200x5h</v>
      </c>
      <c r="P63" s="29" t="str">
        <f t="shared" si="114"/>
        <v>200x5h</v>
      </c>
      <c r="Q63" s="144">
        <f t="shared" si="88"/>
        <v>0</v>
      </c>
      <c r="S63" s="7"/>
      <c r="T63" s="29">
        <f t="shared" ref="T63" si="115">T62</f>
        <v>0.5</v>
      </c>
      <c r="U63" s="29">
        <f>U62</f>
        <v>0.1</v>
      </c>
      <c r="W63" s="29" t="str">
        <f t="shared" si="102"/>
        <v>200x5h</v>
      </c>
      <c r="X63" s="29">
        <f t="shared" si="103"/>
        <v>0.86</v>
      </c>
      <c r="AA63" s="144">
        <f t="shared" si="110"/>
        <v>0</v>
      </c>
      <c r="AD63" s="7"/>
      <c r="AE63" s="30" t="b">
        <f>AE62</f>
        <v>1</v>
      </c>
      <c r="AH63" s="29">
        <f t="shared" ref="AH63:AI63" si="116">AH62</f>
        <v>0</v>
      </c>
      <c r="AI63" s="29" t="str">
        <f t="shared" si="116"/>
        <v>200x5h</v>
      </c>
      <c r="AJ63" s="29" t="str">
        <f t="shared" ref="AJ63:AJ64" si="117">AJ62</f>
        <v>200x5h</v>
      </c>
      <c r="AK63" s="6"/>
      <c r="AN63" s="7"/>
      <c r="AO63" s="100">
        <f>p_down_down</f>
        <v>0.8</v>
      </c>
      <c r="AP63" s="97">
        <f>add_down_down</f>
        <v>0.25</v>
      </c>
      <c r="AQ63" s="156">
        <f>(1-disc_rate)^op_factor*AU63</f>
        <v>29653.554210513339</v>
      </c>
      <c r="AR63" s="97" t="str">
        <f t="shared" si="107"/>
        <v>200x5h</v>
      </c>
      <c r="AS63" s="97">
        <f>X63+AP63</f>
        <v>1.1099999999999999</v>
      </c>
      <c r="AT63" s="98" t="str">
        <f>dec_abbrev&amp;AR63&amp;"_"&amp;chance_abbrev&amp;AS63</f>
        <v>st200x5h_pv1.11</v>
      </c>
      <c r="AU63" s="99">
        <f>AV63</f>
        <v>34913.374124354305</v>
      </c>
      <c r="AV63" s="99">
        <f>AW63*op_factor</f>
        <v>34913.374124354305</v>
      </c>
      <c r="AW63" s="112">
        <f>VLOOKUP(AT63,op_cost_table,op_cost_total_col_num,FALSE)</f>
        <v>2327.5582749569535</v>
      </c>
      <c r="AY63" s="154" t="str">
        <f>IF(p2_picked,p1_choice,"")</f>
        <v>P1 Small</v>
      </c>
      <c r="AZ63" s="142">
        <f>IF(p2_picked,p1_prob*p2_prob,"")</f>
        <v>0.4</v>
      </c>
      <c r="BA63" s="155">
        <f>IF(p2_picked,SUM(F63,M63,Q63,AA63,AH63,AL63,AV63),"")</f>
        <v>433735.16575553233</v>
      </c>
    </row>
    <row r="64" spans="1:53" s="20" customFormat="1" ht="17" thickBot="1" x14ac:dyDescent="0.25">
      <c r="A64" s="51" t="s">
        <v>54</v>
      </c>
      <c r="B64" s="31">
        <v>0</v>
      </c>
      <c r="C64" s="128">
        <f t="shared" si="6"/>
        <v>0.76</v>
      </c>
      <c r="F64" s="145">
        <f t="shared" si="7"/>
        <v>0</v>
      </c>
      <c r="I64" s="21"/>
      <c r="J64" s="19"/>
      <c r="L64" s="145" t="str">
        <f t="shared" si="86"/>
        <v>P1 Small</v>
      </c>
      <c r="M64" s="145">
        <f t="shared" si="87"/>
        <v>398821.79163117806</v>
      </c>
      <c r="N64" s="32" t="str">
        <f t="shared" si="87"/>
        <v>200x5h</v>
      </c>
      <c r="O64" s="32" t="str">
        <f t="shared" ref="O64:P64" si="118">N64</f>
        <v>200x5h</v>
      </c>
      <c r="P64" s="32" t="str">
        <f t="shared" si="118"/>
        <v>200x5h</v>
      </c>
      <c r="Q64" s="145">
        <f t="shared" si="88"/>
        <v>0</v>
      </c>
      <c r="S64" s="21"/>
      <c r="T64" s="32">
        <f t="shared" ref="T64" si="119">T63</f>
        <v>0.5</v>
      </c>
      <c r="U64" s="32">
        <f>U63</f>
        <v>0.1</v>
      </c>
      <c r="W64" s="32" t="str">
        <f t="shared" si="102"/>
        <v>200x5h</v>
      </c>
      <c r="X64" s="32">
        <f t="shared" si="103"/>
        <v>0.86</v>
      </c>
      <c r="AA64" s="145">
        <f t="shared" si="110"/>
        <v>0</v>
      </c>
      <c r="AD64" s="21"/>
      <c r="AE64" s="22"/>
      <c r="AF64" s="24"/>
      <c r="AG64" s="24"/>
      <c r="AH64" s="101">
        <f t="shared" ref="AH64:AI64" si="120">AH63</f>
        <v>0</v>
      </c>
      <c r="AI64" s="101" t="str">
        <f t="shared" si="120"/>
        <v>200x5h</v>
      </c>
      <c r="AJ64" s="101" t="str">
        <f t="shared" si="117"/>
        <v>200x5h</v>
      </c>
      <c r="AK64" s="23"/>
      <c r="AL64" s="24"/>
      <c r="AM64" s="24"/>
      <c r="AN64" s="25"/>
      <c r="AR64" s="20" t="str">
        <f t="shared" si="107"/>
        <v>200x5h</v>
      </c>
      <c r="AS64" s="20">
        <f>X64+AQ64</f>
        <v>0.86</v>
      </c>
      <c r="AY64" s="19"/>
      <c r="BA64" s="21"/>
    </row>
    <row r="65" spans="1:53" s="11" customFormat="1" ht="17" thickBot="1" x14ac:dyDescent="0.25">
      <c r="A65" s="52" t="s">
        <v>51</v>
      </c>
      <c r="B65" s="33">
        <f>B64</f>
        <v>0</v>
      </c>
      <c r="C65" s="129">
        <f t="shared" si="6"/>
        <v>0.76</v>
      </c>
      <c r="F65" s="146">
        <f t="shared" si="7"/>
        <v>0</v>
      </c>
      <c r="I65" s="12"/>
      <c r="J65" s="10"/>
      <c r="L65" s="146" t="str">
        <f t="shared" si="86"/>
        <v>P1 Small</v>
      </c>
      <c r="M65" s="146">
        <f t="shared" si="87"/>
        <v>398821.79163117806</v>
      </c>
      <c r="N65" s="146" t="str">
        <f t="shared" si="87"/>
        <v>200x5h</v>
      </c>
      <c r="O65" s="146" t="str">
        <f t="shared" ref="O65" si="121">O64</f>
        <v>200x5h</v>
      </c>
      <c r="P65" s="146" t="str">
        <f t="shared" ref="P65" si="122">P64</f>
        <v>200x5h</v>
      </c>
      <c r="Q65" s="146">
        <f t="shared" si="88"/>
        <v>0</v>
      </c>
      <c r="S65" s="12"/>
      <c r="T65" s="71"/>
      <c r="U65" s="13"/>
      <c r="W65" s="13"/>
      <c r="X65" s="13"/>
      <c r="Y65" s="13"/>
      <c r="Z65" s="13"/>
      <c r="AA65" s="13"/>
      <c r="AB65" s="13"/>
      <c r="AC65" s="13"/>
      <c r="AD65" s="14"/>
      <c r="AK65" s="45"/>
      <c r="AY65" s="71"/>
      <c r="AZ65" s="13"/>
      <c r="BA65" s="14"/>
    </row>
    <row r="66" spans="1:53" s="48" customFormat="1" ht="17" thickBot="1" x14ac:dyDescent="0.25">
      <c r="A66" s="53" t="s">
        <v>53</v>
      </c>
      <c r="B66" s="46">
        <f>B65</f>
        <v>0</v>
      </c>
      <c r="C66" s="47">
        <f>C65</f>
        <v>0.76</v>
      </c>
      <c r="F66" s="147">
        <f t="shared" si="7"/>
        <v>0</v>
      </c>
      <c r="I66" s="49"/>
      <c r="J66" s="66"/>
      <c r="K66" s="67"/>
      <c r="L66" s="67"/>
      <c r="M66" s="67"/>
      <c r="N66" s="67"/>
      <c r="O66" s="67"/>
      <c r="P66" s="68"/>
      <c r="Q66" s="67"/>
      <c r="R66" s="67"/>
      <c r="S66" s="69"/>
      <c r="AK66" s="50"/>
    </row>
    <row r="67" spans="1:53" s="44" customFormat="1" ht="17" thickBot="1" x14ac:dyDescent="0.25">
      <c r="A67" s="56" t="s">
        <v>52</v>
      </c>
      <c r="B67" s="62"/>
      <c r="C67" s="63"/>
      <c r="D67" s="63"/>
      <c r="E67" s="63"/>
      <c r="F67" s="149">
        <f t="shared" si="7"/>
        <v>0</v>
      </c>
      <c r="G67" s="63"/>
      <c r="H67" s="63"/>
      <c r="I67" s="64"/>
      <c r="AK67" s="57"/>
    </row>
  </sheetData>
  <mergeCells count="10">
    <mergeCell ref="AY20:BA20"/>
    <mergeCell ref="B20:G20"/>
    <mergeCell ref="H20:N20"/>
    <mergeCell ref="O20:R20"/>
    <mergeCell ref="S20:V20"/>
    <mergeCell ref="AR20:AW20"/>
    <mergeCell ref="AN20:AQ20"/>
    <mergeCell ref="W20:AB20"/>
    <mergeCell ref="AC20:AI20"/>
    <mergeCell ref="AJ20:AM2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63"/>
  <sheetViews>
    <sheetView topLeftCell="H6" workbookViewId="0">
      <selection activeCell="U23" sqref="U23"/>
    </sheetView>
  </sheetViews>
  <sheetFormatPr baseColWidth="10" defaultRowHeight="16" outlineLevelRow="1" x14ac:dyDescent="0.2"/>
  <cols>
    <col min="1" max="1" width="12.83203125" style="157" customWidth="1"/>
    <col min="2" max="2" width="14.1640625" style="157" bestFit="1" customWidth="1"/>
    <col min="3" max="3" width="12" style="157" bestFit="1" customWidth="1"/>
    <col min="4" max="4" width="14.1640625" style="157" bestFit="1" customWidth="1"/>
    <col min="5" max="8" width="11.5" style="157" bestFit="1" customWidth="1"/>
    <col min="9" max="9" width="12.1640625" style="157" bestFit="1" customWidth="1"/>
    <col min="10" max="10" width="11.5" style="157" bestFit="1" customWidth="1"/>
    <col min="11" max="13" width="10.83203125" style="157"/>
    <col min="14" max="14" width="11.5" style="157" customWidth="1"/>
    <col min="15" max="15" width="17" style="157" customWidth="1"/>
    <col min="16" max="21" width="10.83203125" style="157"/>
    <col min="22" max="22" width="9.1640625" style="157" bestFit="1" customWidth="1"/>
    <col min="23" max="23" width="13.83203125" style="157" customWidth="1"/>
    <col min="24" max="16384" width="10.83203125" style="157"/>
  </cols>
  <sheetData>
    <row r="3" spans="1:23" x14ac:dyDescent="0.2">
      <c r="A3" s="160" t="s">
        <v>205</v>
      </c>
    </row>
    <row r="4" spans="1:23" x14ac:dyDescent="0.2">
      <c r="C4" s="183" t="s">
        <v>203</v>
      </c>
      <c r="D4" s="183"/>
      <c r="E4" s="158"/>
      <c r="F4" s="158" t="s">
        <v>204</v>
      </c>
    </row>
    <row r="5" spans="1:23" x14ac:dyDescent="0.2">
      <c r="B5" s="159" t="s">
        <v>201</v>
      </c>
      <c r="C5" s="157">
        <v>2</v>
      </c>
      <c r="D5" s="157">
        <v>1</v>
      </c>
      <c r="E5" s="157">
        <v>2</v>
      </c>
      <c r="F5" s="157">
        <v>2</v>
      </c>
    </row>
    <row r="6" spans="1:23" x14ac:dyDescent="0.2">
      <c r="B6" s="157" t="s">
        <v>202</v>
      </c>
      <c r="C6" s="157" t="str">
        <f ca="1">OFFSET(p1_decision_table_ul,0,C5)</f>
        <v>Choice Name</v>
      </c>
      <c r="D6" s="157" t="str">
        <f ca="1">OFFSET(p1_decision_table_ul,0,D5)</f>
        <v>Dec+Future</v>
      </c>
      <c r="E6" s="157" t="str">
        <f ca="1">OFFSET(varg_table_ul,0,E5)</f>
        <v>Cost</v>
      </c>
      <c r="F6" s="157" t="str">
        <f ca="1">OFFSET(varg_table_ul,0,F5)</f>
        <v>Cost</v>
      </c>
    </row>
    <row r="7" spans="1:23" x14ac:dyDescent="0.2">
      <c r="A7" s="157" t="s">
        <v>200</v>
      </c>
      <c r="B7" s="157">
        <f>ROW(Decision_Tree!L37)-ROW(Decision_Tree!L22)</f>
        <v>15</v>
      </c>
      <c r="H7" s="183" t="s">
        <v>206</v>
      </c>
      <c r="I7" s="183"/>
      <c r="J7" s="183"/>
      <c r="N7" s="159" t="s">
        <v>239</v>
      </c>
      <c r="O7" s="175">
        <f>cost_backfeed</f>
        <v>0.27</v>
      </c>
    </row>
    <row r="8" spans="1:23" x14ac:dyDescent="0.2">
      <c r="A8" s="157" t="s">
        <v>199</v>
      </c>
      <c r="C8" s="160" t="s">
        <v>169</v>
      </c>
      <c r="D8" s="160" t="s">
        <v>60</v>
      </c>
      <c r="E8" s="160" t="s">
        <v>198</v>
      </c>
      <c r="F8" s="160" t="s">
        <v>197</v>
      </c>
      <c r="L8" s="159" t="s">
        <v>213</v>
      </c>
      <c r="M8" s="157">
        <f>'Decision Cost'!F6</f>
        <v>250</v>
      </c>
      <c r="N8" s="159" t="s">
        <v>215</v>
      </c>
      <c r="O8" s="157">
        <f>disc_rate</f>
        <v>0.04</v>
      </c>
    </row>
    <row r="9" spans="1:23" x14ac:dyDescent="0.2">
      <c r="A9" s="157">
        <f>1</f>
        <v>1</v>
      </c>
      <c r="C9" s="157" t="str">
        <f t="shared" ref="C9:D11" ca="1" si="0">OFFSET(p1_decision_table_ul,$A9,C$5)</f>
        <v>P1 Large</v>
      </c>
      <c r="D9" s="166">
        <f t="shared" ca="1" si="0"/>
        <v>1978744.161438162</v>
      </c>
      <c r="E9" s="166">
        <f ca="1">MIN(OFFSET(varg_table_ul,$A9,E$5,$B$7))</f>
        <v>1758960.8036775447</v>
      </c>
      <c r="F9" s="166">
        <f ca="1">MAX(OFFSET(varg_table_ul,$A9,F$5,$B$7))</f>
        <v>2226158.3950542505</v>
      </c>
      <c r="G9" s="165"/>
      <c r="H9" s="165">
        <f t="shared" ref="H9:I11" ca="1" si="1">D9-D$10</f>
        <v>898392.06400000025</v>
      </c>
      <c r="I9" s="165">
        <f t="shared" ca="1" si="1"/>
        <v>1208000</v>
      </c>
      <c r="J9" s="165">
        <f ca="1">F9-F$10</f>
        <v>429093.16855533631</v>
      </c>
      <c r="L9" s="159" t="s">
        <v>214</v>
      </c>
      <c r="M9" s="157">
        <f>'Decision Cost'!C6</f>
        <v>90</v>
      </c>
      <c r="N9" s="159" t="s">
        <v>238</v>
      </c>
      <c r="O9" s="157">
        <f>Decision_Tree!V7</f>
        <v>4</v>
      </c>
    </row>
    <row r="10" spans="1:23" x14ac:dyDescent="0.2">
      <c r="A10" s="157">
        <f>A9+$B$7</f>
        <v>16</v>
      </c>
      <c r="C10" s="157" t="str">
        <f t="shared" ca="1" si="0"/>
        <v>P1 Flex</v>
      </c>
      <c r="D10" s="166">
        <f t="shared" ca="1" si="0"/>
        <v>1080352.0974381617</v>
      </c>
      <c r="E10" s="166">
        <f ca="1">MIN(OFFSET(varg_table_ul,$A10,E$5,$B$7))</f>
        <v>550960.8036775447</v>
      </c>
      <c r="F10" s="166">
        <f ca="1">MAX(OFFSET(varg_table_ul,$A10,F$5,$B$7))</f>
        <v>1797065.2264989142</v>
      </c>
      <c r="G10" s="165"/>
      <c r="H10" s="165">
        <f t="shared" ca="1" si="1"/>
        <v>0</v>
      </c>
      <c r="I10" s="165">
        <f t="shared" ca="1" si="1"/>
        <v>0</v>
      </c>
      <c r="J10" s="165">
        <f ca="1">F10-F$10</f>
        <v>0</v>
      </c>
      <c r="L10" s="159" t="s">
        <v>211</v>
      </c>
      <c r="M10" s="169">
        <f>Decision_Tree!C10</f>
        <v>0.8</v>
      </c>
      <c r="N10" s="157" t="s">
        <v>216</v>
      </c>
      <c r="O10" s="157">
        <f>'Decision Cost'!B18</f>
        <v>1000</v>
      </c>
    </row>
    <row r="11" spans="1:23" x14ac:dyDescent="0.2">
      <c r="A11" s="157">
        <f>A10+$B$7</f>
        <v>31</v>
      </c>
      <c r="C11" s="157" t="str">
        <f t="shared" ca="1" si="0"/>
        <v>P1 Small</v>
      </c>
      <c r="D11" s="166">
        <f t="shared" ca="1" si="0"/>
        <v>1112793.2285837468</v>
      </c>
      <c r="E11" s="166">
        <f ca="1">MIN(OFFSET(varg_table_ul,$A11,E$5,$B$7))</f>
        <v>433735.16575553233</v>
      </c>
      <c r="F11" s="166">
        <f ca="1">MAX(OFFSET(varg_table_ul,$A11,F$5,$B$7))</f>
        <v>2036199.7257834012</v>
      </c>
      <c r="G11" s="165"/>
      <c r="H11" s="165">
        <f t="shared" ca="1" si="1"/>
        <v>32441.131145585096</v>
      </c>
      <c r="I11" s="165">
        <f t="shared" ca="1" si="1"/>
        <v>-117225.63792201236</v>
      </c>
      <c r="J11" s="165">
        <f ca="1">F11-F$10</f>
        <v>239134.49928448698</v>
      </c>
      <c r="L11" s="159" t="s">
        <v>212</v>
      </c>
      <c r="M11" s="169">
        <f>Decision_Tree!C14</f>
        <v>0.2</v>
      </c>
      <c r="N11" s="159" t="s">
        <v>217</v>
      </c>
      <c r="O11" s="157">
        <f>'Decision Cost'!C18</f>
        <v>5000</v>
      </c>
    </row>
    <row r="15" spans="1:23" s="168" customFormat="1" x14ac:dyDescent="0.2">
      <c r="A15" s="167" t="s">
        <v>209</v>
      </c>
    </row>
    <row r="16" spans="1:23" x14ac:dyDescent="0.2">
      <c r="A16" s="160" t="s">
        <v>208</v>
      </c>
      <c r="O16" s="161" t="s">
        <v>236</v>
      </c>
      <c r="P16" s="161" t="s">
        <v>210</v>
      </c>
      <c r="Q16" s="161" t="s">
        <v>223</v>
      </c>
      <c r="R16" s="161" t="s">
        <v>224</v>
      </c>
      <c r="S16" s="161" t="s">
        <v>225</v>
      </c>
      <c r="T16" s="161" t="s">
        <v>226</v>
      </c>
      <c r="U16" s="161" t="s">
        <v>180</v>
      </c>
      <c r="V16" s="161" t="s">
        <v>242</v>
      </c>
      <c r="W16" s="171" t="s">
        <v>230</v>
      </c>
    </row>
    <row r="17" spans="1:24" x14ac:dyDescent="0.2">
      <c r="F17" s="157" t="s">
        <v>206</v>
      </c>
      <c r="L17" s="159" t="s">
        <v>239</v>
      </c>
      <c r="M17" s="176">
        <v>0.27</v>
      </c>
      <c r="O17" s="172" t="s">
        <v>227</v>
      </c>
      <c r="P17" s="173" t="s">
        <v>227</v>
      </c>
      <c r="Q17" s="174">
        <v>0.8</v>
      </c>
      <c r="R17" s="174">
        <v>0.8</v>
      </c>
      <c r="S17" s="174">
        <v>0.04</v>
      </c>
      <c r="T17" s="173" t="s">
        <v>229</v>
      </c>
      <c r="U17" s="173" t="s">
        <v>84</v>
      </c>
      <c r="V17" s="177">
        <v>0.27</v>
      </c>
      <c r="W17" s="170">
        <f>F21</f>
        <v>32441.131145585096</v>
      </c>
    </row>
    <row r="18" spans="1:24" x14ac:dyDescent="0.2">
      <c r="A18" s="161" t="s">
        <v>169</v>
      </c>
      <c r="B18" s="161" t="s">
        <v>60</v>
      </c>
      <c r="C18" s="161" t="s">
        <v>198</v>
      </c>
      <c r="D18" s="161" t="s">
        <v>197</v>
      </c>
      <c r="J18" s="157" t="s">
        <v>213</v>
      </c>
      <c r="K18" s="157">
        <v>250</v>
      </c>
      <c r="L18" s="157" t="s">
        <v>215</v>
      </c>
      <c r="M18" s="157">
        <v>0.04</v>
      </c>
      <c r="O18" s="172" t="s">
        <v>237</v>
      </c>
      <c r="P18" s="173" t="s">
        <v>228</v>
      </c>
      <c r="Q18" s="174">
        <v>0.8</v>
      </c>
      <c r="R18" s="174">
        <v>0.8</v>
      </c>
      <c r="S18" s="174">
        <v>0.04</v>
      </c>
      <c r="T18" s="173" t="s">
        <v>229</v>
      </c>
      <c r="U18" s="173" t="s">
        <v>84</v>
      </c>
      <c r="V18" s="177">
        <v>0.27</v>
      </c>
      <c r="W18" s="170">
        <f>F28</f>
        <v>51789.970704049105</v>
      </c>
      <c r="X18" s="178">
        <f>W18/$W17</f>
        <v>1.5964292512376588</v>
      </c>
    </row>
    <row r="19" spans="1:24" x14ac:dyDescent="0.2">
      <c r="A19" s="162" t="s">
        <v>64</v>
      </c>
      <c r="B19" s="163">
        <v>1978744.161438162</v>
      </c>
      <c r="C19" s="163">
        <v>1758960.8036775447</v>
      </c>
      <c r="D19" s="163">
        <v>2226158.3950542505</v>
      </c>
      <c r="F19" s="165">
        <v>898392.06400000025</v>
      </c>
      <c r="G19" s="165">
        <v>1208000</v>
      </c>
      <c r="H19" s="165">
        <v>429093.16855533631</v>
      </c>
      <c r="J19" s="157" t="s">
        <v>214</v>
      </c>
      <c r="K19" s="157">
        <v>90</v>
      </c>
      <c r="L19" s="157" t="s">
        <v>238</v>
      </c>
      <c r="M19" s="157">
        <v>4</v>
      </c>
      <c r="O19" s="172" t="s">
        <v>233</v>
      </c>
      <c r="P19" s="173" t="s">
        <v>227</v>
      </c>
      <c r="Q19" s="174">
        <v>0.8</v>
      </c>
      <c r="R19" s="174">
        <v>0.8</v>
      </c>
      <c r="S19" s="174">
        <v>0.04</v>
      </c>
      <c r="T19" s="173" t="s">
        <v>234</v>
      </c>
      <c r="U19" s="173" t="s">
        <v>82</v>
      </c>
      <c r="V19" s="177">
        <v>0.27</v>
      </c>
      <c r="W19" s="170">
        <f>F56</f>
        <v>-84233.88755251281</v>
      </c>
      <c r="X19" s="178">
        <f t="shared" ref="X19:X22" si="2">W19/$W18</f>
        <v>-1.6264517320131857</v>
      </c>
    </row>
    <row r="20" spans="1:24" x14ac:dyDescent="0.2">
      <c r="A20" s="162" t="s">
        <v>63</v>
      </c>
      <c r="B20" s="163">
        <v>1080352.0974381617</v>
      </c>
      <c r="C20" s="163">
        <v>550960.8036775447</v>
      </c>
      <c r="D20" s="163">
        <v>1797065.2264989142</v>
      </c>
      <c r="F20" s="165">
        <v>0</v>
      </c>
      <c r="G20" s="165">
        <v>0</v>
      </c>
      <c r="H20" s="165">
        <v>0</v>
      </c>
      <c r="J20" s="157" t="s">
        <v>211</v>
      </c>
      <c r="K20" s="169">
        <v>0.8</v>
      </c>
      <c r="L20" s="157" t="s">
        <v>216</v>
      </c>
      <c r="M20" s="157">
        <v>1000</v>
      </c>
      <c r="O20" s="172" t="s">
        <v>231</v>
      </c>
      <c r="P20" s="173" t="s">
        <v>227</v>
      </c>
      <c r="Q20" s="174">
        <v>0.47</v>
      </c>
      <c r="R20" s="174">
        <v>0.47</v>
      </c>
      <c r="S20" s="174">
        <v>0.04</v>
      </c>
      <c r="T20" s="173" t="s">
        <v>229</v>
      </c>
      <c r="U20" s="173" t="s">
        <v>82</v>
      </c>
      <c r="V20" s="177">
        <v>0.27</v>
      </c>
      <c r="W20" s="170">
        <f>F49</f>
        <v>-1249.4509530325886</v>
      </c>
      <c r="X20" s="178">
        <f t="shared" si="2"/>
        <v>1.4833115143280786E-2</v>
      </c>
    </row>
    <row r="21" spans="1:24" x14ac:dyDescent="0.2">
      <c r="A21" s="162" t="s">
        <v>62</v>
      </c>
      <c r="B21" s="163">
        <v>1112793.2285837468</v>
      </c>
      <c r="C21" s="163">
        <v>433735.16575553233</v>
      </c>
      <c r="D21" s="163">
        <v>2036199.7257834012</v>
      </c>
      <c r="F21" s="165">
        <v>32441.131145585096</v>
      </c>
      <c r="G21" s="165">
        <v>-117225.63792201236</v>
      </c>
      <c r="H21" s="165">
        <v>239134.49928448698</v>
      </c>
      <c r="J21" s="157" t="s">
        <v>212</v>
      </c>
      <c r="K21" s="169">
        <v>0.2</v>
      </c>
      <c r="L21" s="157" t="s">
        <v>217</v>
      </c>
      <c r="M21" s="157">
        <v>5000</v>
      </c>
      <c r="O21" s="172" t="s">
        <v>232</v>
      </c>
      <c r="P21" s="173" t="s">
        <v>227</v>
      </c>
      <c r="Q21" s="174">
        <v>0.8</v>
      </c>
      <c r="R21" s="174">
        <v>0.8</v>
      </c>
      <c r="S21" s="174">
        <v>0.09</v>
      </c>
      <c r="T21" s="173" t="s">
        <v>229</v>
      </c>
      <c r="U21" s="173" t="s">
        <v>82</v>
      </c>
      <c r="V21" s="177">
        <v>0.27</v>
      </c>
      <c r="W21" s="170">
        <f>F35</f>
        <v>-5975.8565754564479</v>
      </c>
      <c r="X21" s="178">
        <f t="shared" si="2"/>
        <v>4.7827860397018593</v>
      </c>
    </row>
    <row r="22" spans="1:24" x14ac:dyDescent="0.2">
      <c r="B22" s="165"/>
      <c r="C22" s="165"/>
      <c r="D22" s="165"/>
      <c r="F22" s="165"/>
      <c r="G22" s="165"/>
      <c r="H22" s="165"/>
      <c r="K22" s="169"/>
      <c r="O22" s="172" t="s">
        <v>241</v>
      </c>
      <c r="P22" s="173" t="s">
        <v>227</v>
      </c>
      <c r="Q22" s="174">
        <v>0.8</v>
      </c>
      <c r="R22" s="174">
        <v>0.8</v>
      </c>
      <c r="S22" s="174">
        <v>0.04</v>
      </c>
      <c r="T22" s="173" t="s">
        <v>229</v>
      </c>
      <c r="U22" s="173" t="s">
        <v>82</v>
      </c>
      <c r="V22" s="177">
        <v>0.19</v>
      </c>
      <c r="W22" s="170">
        <f>F63</f>
        <v>-12534.134312369861</v>
      </c>
      <c r="X22" s="178">
        <f t="shared" si="2"/>
        <v>2.0974623728168171</v>
      </c>
    </row>
    <row r="23" spans="1:24" x14ac:dyDescent="0.2">
      <c r="A23" s="160" t="s">
        <v>207</v>
      </c>
    </row>
    <row r="24" spans="1:24" x14ac:dyDescent="0.2">
      <c r="F24" s="157" t="s">
        <v>206</v>
      </c>
      <c r="L24" s="159" t="s">
        <v>239</v>
      </c>
      <c r="M24" s="176">
        <v>0.27</v>
      </c>
      <c r="O24" s="157" t="s">
        <v>231</v>
      </c>
      <c r="P24" s="157" t="s">
        <v>227</v>
      </c>
      <c r="Q24" s="169">
        <v>0.4</v>
      </c>
      <c r="R24" s="169">
        <v>0.4</v>
      </c>
      <c r="S24" s="169">
        <v>0.04</v>
      </c>
      <c r="T24" s="157" t="s">
        <v>229</v>
      </c>
      <c r="U24" s="157" t="s">
        <v>82</v>
      </c>
      <c r="V24" s="176">
        <v>0.27</v>
      </c>
      <c r="W24" s="165">
        <v>-49253.779416049598</v>
      </c>
    </row>
    <row r="25" spans="1:24" x14ac:dyDescent="0.2">
      <c r="A25" s="160" t="s">
        <v>169</v>
      </c>
      <c r="B25" s="160" t="s">
        <v>60</v>
      </c>
      <c r="C25" s="160" t="s">
        <v>198</v>
      </c>
      <c r="D25" s="160" t="s">
        <v>197</v>
      </c>
      <c r="J25" s="157" t="s">
        <v>213</v>
      </c>
      <c r="K25" s="157">
        <v>352</v>
      </c>
      <c r="L25" s="157" t="s">
        <v>215</v>
      </c>
      <c r="M25" s="157">
        <v>0.04</v>
      </c>
    </row>
    <row r="26" spans="1:24" x14ac:dyDescent="0.2">
      <c r="A26" s="157" t="s">
        <v>64</v>
      </c>
      <c r="B26" s="166">
        <v>1944090.8217901618</v>
      </c>
      <c r="C26" s="166">
        <v>1677360.8036775447</v>
      </c>
      <c r="D26" s="166">
        <v>2205065.2264989144</v>
      </c>
      <c r="F26" s="166">
        <v>690472.02611199976</v>
      </c>
      <c r="G26" s="166">
        <v>1126400</v>
      </c>
      <c r="H26" s="166">
        <v>0</v>
      </c>
      <c r="J26" s="157" t="s">
        <v>214</v>
      </c>
      <c r="K26" s="157">
        <v>150</v>
      </c>
      <c r="L26" s="157" t="s">
        <v>238</v>
      </c>
      <c r="M26" s="157">
        <v>4</v>
      </c>
    </row>
    <row r="27" spans="1:24" x14ac:dyDescent="0.2">
      <c r="A27" s="157" t="s">
        <v>63</v>
      </c>
      <c r="B27" s="166">
        <v>1253618.795678162</v>
      </c>
      <c r="C27" s="166">
        <v>550960.8036775447</v>
      </c>
      <c r="D27" s="166">
        <v>2205065.2264989144</v>
      </c>
      <c r="F27" s="166">
        <v>0</v>
      </c>
      <c r="G27" s="166">
        <v>0</v>
      </c>
      <c r="H27" s="166">
        <v>0</v>
      </c>
      <c r="J27" s="157" t="s">
        <v>211</v>
      </c>
      <c r="K27" s="169">
        <v>0.8</v>
      </c>
      <c r="L27" s="157" t="s">
        <v>216</v>
      </c>
      <c r="M27" s="157">
        <v>1000</v>
      </c>
    </row>
    <row r="28" spans="1:24" x14ac:dyDescent="0.2">
      <c r="A28" s="157" t="s">
        <v>62</v>
      </c>
      <c r="B28" s="166">
        <v>1305408.7663822111</v>
      </c>
      <c r="C28" s="166">
        <v>433735.16575553233</v>
      </c>
      <c r="D28" s="166">
        <v>3212841.9573407397</v>
      </c>
      <c r="F28" s="166">
        <v>51789.970704049105</v>
      </c>
      <c r="G28" s="166">
        <v>-117225.63792201236</v>
      </c>
      <c r="H28" s="166">
        <v>1007776.7308418253</v>
      </c>
      <c r="J28" s="157" t="s">
        <v>212</v>
      </c>
      <c r="K28" s="169">
        <v>0.2</v>
      </c>
      <c r="L28" s="157" t="s">
        <v>217</v>
      </c>
      <c r="M28" s="157">
        <v>5000</v>
      </c>
    </row>
    <row r="30" spans="1:24" x14ac:dyDescent="0.2">
      <c r="A30" s="160" t="s">
        <v>218</v>
      </c>
    </row>
    <row r="31" spans="1:24" x14ac:dyDescent="0.2">
      <c r="F31" s="157" t="s">
        <v>206</v>
      </c>
      <c r="L31" s="159" t="s">
        <v>239</v>
      </c>
      <c r="M31" s="176">
        <v>0.27</v>
      </c>
    </row>
    <row r="32" spans="1:24" x14ac:dyDescent="0.2">
      <c r="A32" s="157" t="s">
        <v>169</v>
      </c>
      <c r="B32" s="157" t="s">
        <v>60</v>
      </c>
      <c r="C32" s="157" t="s">
        <v>198</v>
      </c>
      <c r="D32" s="157" t="s">
        <v>197</v>
      </c>
      <c r="J32" s="157" t="s">
        <v>213</v>
      </c>
      <c r="K32" s="157">
        <v>250</v>
      </c>
      <c r="L32" s="157" t="s">
        <v>215</v>
      </c>
      <c r="M32" s="157">
        <v>0.09</v>
      </c>
    </row>
    <row r="33" spans="1:13" x14ac:dyDescent="0.2">
      <c r="A33" s="157" t="s">
        <v>64</v>
      </c>
      <c r="B33" s="165">
        <v>1958648.4182572123</v>
      </c>
      <c r="C33" s="165">
        <v>1758960.8036775447</v>
      </c>
      <c r="D33" s="165">
        <v>2226158.3950542505</v>
      </c>
      <c r="F33" s="165">
        <v>996550.23399999994</v>
      </c>
      <c r="G33" s="165">
        <v>1208000</v>
      </c>
      <c r="H33" s="165">
        <v>429093.16855533631</v>
      </c>
      <c r="J33" s="157" t="s">
        <v>214</v>
      </c>
      <c r="K33" s="157">
        <v>90</v>
      </c>
      <c r="L33" s="157" t="s">
        <v>238</v>
      </c>
      <c r="M33" s="157">
        <v>4</v>
      </c>
    </row>
    <row r="34" spans="1:13" x14ac:dyDescent="0.2">
      <c r="A34" s="157" t="s">
        <v>63</v>
      </c>
      <c r="B34" s="165">
        <v>962098.18425721233</v>
      </c>
      <c r="C34" s="165">
        <v>550960.8036775447</v>
      </c>
      <c r="D34" s="165">
        <v>1797065.2264989142</v>
      </c>
      <c r="F34" s="165">
        <v>0</v>
      </c>
      <c r="G34" s="165">
        <v>0</v>
      </c>
      <c r="H34" s="165">
        <v>0</v>
      </c>
      <c r="J34" s="157" t="s">
        <v>211</v>
      </c>
      <c r="K34" s="169">
        <v>0.8</v>
      </c>
      <c r="L34" s="157" t="s">
        <v>216</v>
      </c>
      <c r="M34" s="157">
        <v>1000</v>
      </c>
    </row>
    <row r="35" spans="1:13" x14ac:dyDescent="0.2">
      <c r="A35" s="157" t="s">
        <v>62</v>
      </c>
      <c r="B35" s="165">
        <v>956122.32768175588</v>
      </c>
      <c r="C35" s="165">
        <v>433735.16575553233</v>
      </c>
      <c r="D35" s="165">
        <v>2036199.7257834012</v>
      </c>
      <c r="F35" s="165">
        <v>-5975.8565754564479</v>
      </c>
      <c r="G35" s="165">
        <v>-117225.63792201236</v>
      </c>
      <c r="H35" s="165">
        <v>239134.49928448698</v>
      </c>
      <c r="J35" s="157" t="s">
        <v>212</v>
      </c>
      <c r="K35" s="169">
        <v>0.2</v>
      </c>
      <c r="L35" s="157" t="s">
        <v>217</v>
      </c>
      <c r="M35" s="157">
        <v>5000</v>
      </c>
    </row>
    <row r="37" spans="1:13" outlineLevel="1" x14ac:dyDescent="0.2">
      <c r="A37" s="160" t="s">
        <v>243</v>
      </c>
    </row>
    <row r="38" spans="1:13" outlineLevel="1" x14ac:dyDescent="0.2">
      <c r="F38" s="157" t="s">
        <v>206</v>
      </c>
      <c r="L38" s="159" t="s">
        <v>239</v>
      </c>
      <c r="M38" s="176">
        <v>0.27</v>
      </c>
    </row>
    <row r="39" spans="1:13" outlineLevel="1" x14ac:dyDescent="0.2">
      <c r="A39" s="157" t="s">
        <v>169</v>
      </c>
      <c r="B39" s="157" t="s">
        <v>60</v>
      </c>
      <c r="C39" s="157" t="s">
        <v>198</v>
      </c>
      <c r="D39" s="157" t="s">
        <v>197</v>
      </c>
      <c r="J39" s="157" t="s">
        <v>213</v>
      </c>
      <c r="K39" s="157">
        <v>250</v>
      </c>
      <c r="L39" s="157" t="s">
        <v>215</v>
      </c>
      <c r="M39" s="157">
        <v>0.04</v>
      </c>
    </row>
    <row r="40" spans="1:13" outlineLevel="1" x14ac:dyDescent="0.2">
      <c r="A40" s="157" t="s">
        <v>64</v>
      </c>
      <c r="B40" s="165">
        <v>1994468.236870578</v>
      </c>
      <c r="C40" s="165">
        <v>1958960.8036775447</v>
      </c>
      <c r="D40" s="165">
        <v>2205065.2264989144</v>
      </c>
      <c r="F40" s="165">
        <v>882217.27787634917</v>
      </c>
      <c r="G40" s="165">
        <v>1408000</v>
      </c>
      <c r="H40" s="165">
        <v>408000.00000000023</v>
      </c>
      <c r="J40" s="157" t="s">
        <v>214</v>
      </c>
      <c r="K40" s="157">
        <v>90</v>
      </c>
      <c r="L40" s="157" t="s">
        <v>238</v>
      </c>
      <c r="M40" s="157">
        <v>4</v>
      </c>
    </row>
    <row r="41" spans="1:13" outlineLevel="1" x14ac:dyDescent="0.2">
      <c r="A41" s="157" t="s">
        <v>63</v>
      </c>
      <c r="B41" s="165">
        <v>1112250.9589942289</v>
      </c>
      <c r="C41" s="165">
        <v>550960.8036775447</v>
      </c>
      <c r="D41" s="165">
        <v>1797065.2264989142</v>
      </c>
      <c r="F41" s="165">
        <v>0</v>
      </c>
      <c r="G41" s="165">
        <v>0</v>
      </c>
      <c r="H41" s="165">
        <v>0</v>
      </c>
      <c r="J41" s="157" t="s">
        <v>211</v>
      </c>
      <c r="K41" s="169">
        <v>0.4</v>
      </c>
      <c r="L41" s="157" t="s">
        <v>216</v>
      </c>
      <c r="M41" s="157">
        <v>1000</v>
      </c>
    </row>
    <row r="42" spans="1:13" outlineLevel="1" x14ac:dyDescent="0.2">
      <c r="A42" s="157" t="s">
        <v>62</v>
      </c>
      <c r="B42" s="165">
        <v>1062997.1795781793</v>
      </c>
      <c r="C42" s="165">
        <v>433735.16575553233</v>
      </c>
      <c r="D42" s="165">
        <v>3212841.9573407397</v>
      </c>
      <c r="F42" s="165">
        <v>-49253.779416049598</v>
      </c>
      <c r="G42" s="165">
        <v>-117225.63792201236</v>
      </c>
      <c r="H42" s="165">
        <v>1415776.7308418255</v>
      </c>
      <c r="J42" s="157" t="s">
        <v>212</v>
      </c>
      <c r="K42" s="169">
        <v>0.6</v>
      </c>
      <c r="L42" s="157" t="s">
        <v>217</v>
      </c>
      <c r="M42" s="157">
        <v>5000</v>
      </c>
    </row>
    <row r="43" spans="1:13" outlineLevel="1" x14ac:dyDescent="0.2"/>
    <row r="44" spans="1:13" x14ac:dyDescent="0.2">
      <c r="A44" s="160" t="s">
        <v>244</v>
      </c>
    </row>
    <row r="45" spans="1:13" x14ac:dyDescent="0.2">
      <c r="F45" s="157" t="s">
        <v>206</v>
      </c>
      <c r="L45" s="157" t="s">
        <v>239</v>
      </c>
      <c r="M45" s="176">
        <v>0.27</v>
      </c>
    </row>
    <row r="46" spans="1:13" x14ac:dyDescent="0.2">
      <c r="A46" s="157" t="s">
        <v>169</v>
      </c>
      <c r="B46" s="157" t="s">
        <v>60</v>
      </c>
      <c r="C46" s="157" t="s">
        <v>198</v>
      </c>
      <c r="D46" s="157" t="s">
        <v>197</v>
      </c>
      <c r="J46" s="157" t="s">
        <v>213</v>
      </c>
      <c r="K46" s="157">
        <v>250</v>
      </c>
      <c r="L46" s="157" t="s">
        <v>215</v>
      </c>
      <c r="M46" s="157">
        <v>0.04</v>
      </c>
    </row>
    <row r="47" spans="1:13" x14ac:dyDescent="0.2">
      <c r="A47" s="157" t="s">
        <v>64</v>
      </c>
      <c r="B47" s="165">
        <v>2000682.0376793589</v>
      </c>
      <c r="C47" s="165">
        <v>1958960.8036775447</v>
      </c>
      <c r="D47" s="165">
        <v>2205065.2264989144</v>
      </c>
      <c r="F47" s="165">
        <v>894013.37945744162</v>
      </c>
      <c r="G47" s="165">
        <v>1408000</v>
      </c>
      <c r="H47" s="165">
        <v>408000.00000000023</v>
      </c>
      <c r="J47" s="157" t="s">
        <v>214</v>
      </c>
      <c r="K47" s="157">
        <v>90</v>
      </c>
      <c r="L47" s="157" t="s">
        <v>238</v>
      </c>
      <c r="M47" s="157">
        <v>4</v>
      </c>
    </row>
    <row r="48" spans="1:13" x14ac:dyDescent="0.2">
      <c r="A48" s="157" t="s">
        <v>63</v>
      </c>
      <c r="B48" s="165">
        <v>1106668.6582219172</v>
      </c>
      <c r="C48" s="165">
        <v>550960.8036775447</v>
      </c>
      <c r="D48" s="165">
        <v>1797065.2264989142</v>
      </c>
      <c r="F48" s="165">
        <v>0</v>
      </c>
      <c r="G48" s="165">
        <v>0</v>
      </c>
      <c r="H48" s="165">
        <v>0</v>
      </c>
      <c r="J48" s="157" t="s">
        <v>211</v>
      </c>
      <c r="K48" s="169">
        <v>0.47</v>
      </c>
      <c r="L48" s="157" t="s">
        <v>216</v>
      </c>
      <c r="M48" s="157">
        <v>1000</v>
      </c>
    </row>
    <row r="49" spans="1:13" x14ac:dyDescent="0.2">
      <c r="A49" s="157" t="s">
        <v>62</v>
      </c>
      <c r="B49" s="165">
        <v>1105419.2072688846</v>
      </c>
      <c r="C49" s="165">
        <v>433735.16575553233</v>
      </c>
      <c r="D49" s="165">
        <v>3212841.9573407397</v>
      </c>
      <c r="F49" s="165">
        <v>-1249.4509530325886</v>
      </c>
      <c r="G49" s="165">
        <v>-117225.63792201236</v>
      </c>
      <c r="H49" s="165">
        <v>1415776.7308418255</v>
      </c>
      <c r="J49" s="157" t="s">
        <v>212</v>
      </c>
      <c r="K49" s="169">
        <v>0.53</v>
      </c>
      <c r="L49" s="157" t="s">
        <v>217</v>
      </c>
      <c r="M49" s="157">
        <v>5000</v>
      </c>
    </row>
    <row r="51" spans="1:13" x14ac:dyDescent="0.2">
      <c r="A51" s="160" t="s">
        <v>235</v>
      </c>
    </row>
    <row r="52" spans="1:13" x14ac:dyDescent="0.2">
      <c r="F52" s="157" t="s">
        <v>206</v>
      </c>
      <c r="L52" s="159" t="s">
        <v>239</v>
      </c>
      <c r="M52" s="176">
        <v>0.27</v>
      </c>
    </row>
    <row r="53" spans="1:13" x14ac:dyDescent="0.2">
      <c r="A53" s="157" t="s">
        <v>169</v>
      </c>
      <c r="B53" s="157" t="s">
        <v>60</v>
      </c>
      <c r="C53" s="157" t="s">
        <v>198</v>
      </c>
      <c r="D53" s="157" t="s">
        <v>197</v>
      </c>
      <c r="J53" s="157" t="s">
        <v>213</v>
      </c>
      <c r="K53" s="157">
        <v>250</v>
      </c>
      <c r="L53" s="157" t="s">
        <v>215</v>
      </c>
      <c r="M53" s="157">
        <v>0.04</v>
      </c>
    </row>
    <row r="54" spans="1:13" x14ac:dyDescent="0.2">
      <c r="A54" s="157" t="s">
        <v>64</v>
      </c>
      <c r="B54" s="165">
        <v>1978744.161438162</v>
      </c>
      <c r="C54" s="165">
        <v>1758960.8036775447</v>
      </c>
      <c r="D54" s="165">
        <v>2226158.3950542505</v>
      </c>
      <c r="F54" s="165">
        <v>898392.06400000025</v>
      </c>
      <c r="G54" s="165">
        <v>1208000</v>
      </c>
      <c r="H54" s="165">
        <v>429093.16855533631</v>
      </c>
      <c r="J54" s="157" t="s">
        <v>214</v>
      </c>
      <c r="K54" s="157">
        <v>90</v>
      </c>
      <c r="L54" s="157" t="s">
        <v>238</v>
      </c>
      <c r="M54" s="157">
        <v>4</v>
      </c>
    </row>
    <row r="55" spans="1:13" x14ac:dyDescent="0.2">
      <c r="A55" s="157" t="s">
        <v>63</v>
      </c>
      <c r="B55" s="165">
        <v>1080352.0974381617</v>
      </c>
      <c r="C55" s="165">
        <v>550960.8036775447</v>
      </c>
      <c r="D55" s="165">
        <v>1797065.2264989142</v>
      </c>
      <c r="F55" s="165">
        <v>0</v>
      </c>
      <c r="G55" s="165">
        <v>0</v>
      </c>
      <c r="H55" s="165">
        <v>0</v>
      </c>
      <c r="J55" s="157" t="s">
        <v>211</v>
      </c>
      <c r="K55" s="169">
        <v>0.8</v>
      </c>
      <c r="L55" s="157" t="s">
        <v>216</v>
      </c>
      <c r="M55" s="157">
        <v>800</v>
      </c>
    </row>
    <row r="56" spans="1:13" x14ac:dyDescent="0.2">
      <c r="A56" s="157" t="s">
        <v>62</v>
      </c>
      <c r="B56" s="165">
        <v>996118.20988564892</v>
      </c>
      <c r="C56" s="165">
        <v>433735.16575553233</v>
      </c>
      <c r="D56" s="165">
        <v>1761459.0623300804</v>
      </c>
      <c r="F56" s="165">
        <v>-84233.88755251281</v>
      </c>
      <c r="G56" s="165">
        <v>-117225.63792201236</v>
      </c>
      <c r="H56" s="165">
        <v>-35606.164168833755</v>
      </c>
      <c r="J56" s="157" t="s">
        <v>212</v>
      </c>
      <c r="K56" s="169">
        <v>0.2</v>
      </c>
      <c r="L56" s="157" t="s">
        <v>217</v>
      </c>
      <c r="M56" s="157">
        <v>4000</v>
      </c>
    </row>
    <row r="58" spans="1:13" x14ac:dyDescent="0.2">
      <c r="A58" s="160" t="s">
        <v>240</v>
      </c>
    </row>
    <row r="59" spans="1:13" x14ac:dyDescent="0.2">
      <c r="F59" s="157" t="s">
        <v>206</v>
      </c>
      <c r="L59" s="159" t="s">
        <v>239</v>
      </c>
      <c r="M59" s="176">
        <v>0.19</v>
      </c>
    </row>
    <row r="60" spans="1:13" x14ac:dyDescent="0.2">
      <c r="A60" s="157" t="s">
        <v>169</v>
      </c>
      <c r="B60" s="157" t="s">
        <v>60</v>
      </c>
      <c r="C60" s="157" t="s">
        <v>198</v>
      </c>
      <c r="D60" s="157" t="s">
        <v>197</v>
      </c>
      <c r="J60" s="157" t="s">
        <v>213</v>
      </c>
      <c r="K60" s="157">
        <v>250</v>
      </c>
      <c r="L60" s="157" t="s">
        <v>215</v>
      </c>
      <c r="M60" s="157">
        <v>0.04</v>
      </c>
    </row>
    <row r="61" spans="1:13" x14ac:dyDescent="0.2">
      <c r="A61" s="157" t="s">
        <v>64</v>
      </c>
      <c r="B61" s="165">
        <v>1947716.6018053864</v>
      </c>
      <c r="C61" s="165">
        <v>1758960.8036775447</v>
      </c>
      <c r="D61" s="165">
        <v>2132145.3975148047</v>
      </c>
      <c r="F61" s="165">
        <v>898392.06400000001</v>
      </c>
      <c r="G61" s="165">
        <v>1208000</v>
      </c>
      <c r="H61" s="165">
        <v>408000</v>
      </c>
      <c r="J61" s="157" t="s">
        <v>214</v>
      </c>
      <c r="K61" s="157">
        <v>90</v>
      </c>
      <c r="L61" s="157" t="s">
        <v>238</v>
      </c>
      <c r="M61" s="157">
        <v>4</v>
      </c>
    </row>
    <row r="62" spans="1:13" x14ac:dyDescent="0.2">
      <c r="A62" s="157" t="s">
        <v>63</v>
      </c>
      <c r="B62" s="165">
        <v>1049324.5378053864</v>
      </c>
      <c r="C62" s="165">
        <v>550960.8036775447</v>
      </c>
      <c r="D62" s="165">
        <v>1724145.3975148047</v>
      </c>
      <c r="F62" s="165">
        <v>0</v>
      </c>
      <c r="G62" s="165">
        <v>0</v>
      </c>
      <c r="H62" s="165">
        <v>0</v>
      </c>
      <c r="J62" s="157" t="s">
        <v>211</v>
      </c>
      <c r="K62" s="169">
        <v>0.8</v>
      </c>
      <c r="L62" s="157" t="s">
        <v>216</v>
      </c>
      <c r="M62" s="157">
        <v>1000</v>
      </c>
    </row>
    <row r="63" spans="1:13" x14ac:dyDescent="0.2">
      <c r="A63" s="157" t="s">
        <v>62</v>
      </c>
      <c r="B63" s="165">
        <v>1036790.4034930165</v>
      </c>
      <c r="C63" s="165">
        <v>423390.46231127926</v>
      </c>
      <c r="D63" s="165">
        <v>2379058.2045379071</v>
      </c>
      <c r="F63" s="165">
        <v>-12534.134312369861</v>
      </c>
      <c r="G63" s="165">
        <v>-127570.34136626543</v>
      </c>
      <c r="H63" s="165">
        <v>654912.80702310242</v>
      </c>
      <c r="J63" s="157" t="s">
        <v>212</v>
      </c>
      <c r="K63" s="169">
        <v>0.2</v>
      </c>
      <c r="L63" s="157" t="s">
        <v>217</v>
      </c>
      <c r="M63" s="157">
        <v>5000</v>
      </c>
    </row>
  </sheetData>
  <mergeCells count="2">
    <mergeCell ref="C4:D4"/>
    <mergeCell ref="H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>
      <selection activeCell="B4" sqref="B4:F6"/>
    </sheetView>
  </sheetViews>
  <sheetFormatPr baseColWidth="10" defaultRowHeight="16" x14ac:dyDescent="0.2"/>
  <cols>
    <col min="1" max="1" width="16.6640625" bestFit="1" customWidth="1"/>
    <col min="2" max="2" width="16.6640625" customWidth="1"/>
    <col min="3" max="3" width="11.5" bestFit="1" customWidth="1"/>
    <col min="7" max="7" width="11.5" bestFit="1" customWidth="1"/>
    <col min="9" max="9" width="14.83203125" bestFit="1" customWidth="1"/>
    <col min="10" max="10" width="3.5" style="136" bestFit="1" customWidth="1"/>
    <col min="11" max="11" width="12.1640625" bestFit="1" customWidth="1"/>
    <col min="12" max="13" width="11.5" bestFit="1" customWidth="1"/>
  </cols>
  <sheetData>
    <row r="1" spans="1:14" ht="19" x14ac:dyDescent="0.25">
      <c r="A1" s="82" t="s">
        <v>171</v>
      </c>
      <c r="B1" s="82"/>
    </row>
    <row r="2" spans="1:14" ht="19" x14ac:dyDescent="0.25">
      <c r="A2" s="82"/>
      <c r="B2" s="82"/>
    </row>
    <row r="3" spans="1:14" x14ac:dyDescent="0.2">
      <c r="A3" s="104" t="s">
        <v>150</v>
      </c>
      <c r="B3" s="104"/>
      <c r="D3" s="2"/>
      <c r="E3" s="2"/>
      <c r="F3" s="2"/>
    </row>
    <row r="4" spans="1:14" ht="32" x14ac:dyDescent="0.2">
      <c r="A4" t="s">
        <v>158</v>
      </c>
      <c r="B4" s="2" t="s">
        <v>172</v>
      </c>
      <c r="C4" s="133" t="s">
        <v>159</v>
      </c>
      <c r="D4" s="133" t="s">
        <v>160</v>
      </c>
      <c r="E4" s="133" t="s">
        <v>161</v>
      </c>
      <c r="F4" s="133" t="s">
        <v>162</v>
      </c>
      <c r="H4" s="133" t="s">
        <v>208</v>
      </c>
    </row>
    <row r="5" spans="1:14" x14ac:dyDescent="0.2">
      <c r="A5" t="s">
        <v>58</v>
      </c>
      <c r="B5">
        <v>2016</v>
      </c>
      <c r="C5" s="140">
        <v>150</v>
      </c>
      <c r="D5" s="79" t="s">
        <v>168</v>
      </c>
      <c r="E5" s="79">
        <v>0</v>
      </c>
      <c r="F5" s="140">
        <v>352</v>
      </c>
      <c r="H5">
        <v>150</v>
      </c>
      <c r="I5" t="s">
        <v>168</v>
      </c>
      <c r="J5">
        <v>0</v>
      </c>
      <c r="K5">
        <v>352</v>
      </c>
    </row>
    <row r="6" spans="1:14" x14ac:dyDescent="0.2">
      <c r="A6" t="s">
        <v>59</v>
      </c>
      <c r="B6">
        <v>2020</v>
      </c>
      <c r="C6" s="140">
        <v>90</v>
      </c>
      <c r="D6" s="79" t="s">
        <v>165</v>
      </c>
      <c r="E6" s="79">
        <v>0</v>
      </c>
      <c r="F6" s="140">
        <v>250</v>
      </c>
      <c r="H6">
        <v>90</v>
      </c>
      <c r="I6" t="s">
        <v>165</v>
      </c>
      <c r="J6">
        <v>0</v>
      </c>
      <c r="K6">
        <v>250</v>
      </c>
    </row>
    <row r="7" spans="1:14" x14ac:dyDescent="0.2">
      <c r="A7" t="s">
        <v>163</v>
      </c>
      <c r="D7" s="134" t="s">
        <v>167</v>
      </c>
      <c r="F7" t="s">
        <v>173</v>
      </c>
    </row>
    <row r="9" spans="1:14" x14ac:dyDescent="0.2">
      <c r="A9" t="s">
        <v>61</v>
      </c>
      <c r="B9" s="91" t="str">
        <f>p1_decision</f>
        <v>P1 Flex</v>
      </c>
      <c r="C9" s="4">
        <f>p1_value_flex</f>
        <v>1080352.0974381617</v>
      </c>
      <c r="D9" s="141">
        <f>MIN(p1_value_small,p1_value_large)-p1_value_flex</f>
        <v>32441.131145585096</v>
      </c>
      <c r="E9" t="s">
        <v>178</v>
      </c>
    </row>
    <row r="11" spans="1:14" x14ac:dyDescent="0.2">
      <c r="B11" t="s">
        <v>170</v>
      </c>
      <c r="D11" s="85">
        <f>COLUMN(D12)-COLUMN($A$12)+1</f>
        <v>4</v>
      </c>
      <c r="F11" s="184" t="s">
        <v>151</v>
      </c>
      <c r="G11" s="184"/>
      <c r="H11" s="184"/>
      <c r="I11" s="184"/>
      <c r="J11" s="137"/>
      <c r="M11" s="85">
        <f>COLUMN(M12)-COLUMN($A$12)+1</f>
        <v>13</v>
      </c>
    </row>
    <row r="12" spans="1:14" ht="74" x14ac:dyDescent="0.2">
      <c r="A12" s="104" t="s">
        <v>169</v>
      </c>
      <c r="B12" t="s">
        <v>89</v>
      </c>
      <c r="C12" t="s">
        <v>88</v>
      </c>
      <c r="D12" t="str">
        <f>dec_name&amp;" code"</f>
        <v>Bat code</v>
      </c>
      <c r="E12" t="s">
        <v>166</v>
      </c>
      <c r="F12" s="133" t="s">
        <v>145</v>
      </c>
      <c r="G12" s="132" t="s">
        <v>146</v>
      </c>
      <c r="H12" s="132" t="s">
        <v>147</v>
      </c>
      <c r="I12" s="132" t="s">
        <v>148</v>
      </c>
      <c r="J12" s="139" t="s">
        <v>32</v>
      </c>
      <c r="K12" t="s">
        <v>153</v>
      </c>
      <c r="L12" t="s">
        <v>154</v>
      </c>
      <c r="M12" t="s">
        <v>90</v>
      </c>
      <c r="N12" t="s">
        <v>155</v>
      </c>
    </row>
    <row r="13" spans="1:14" x14ac:dyDescent="0.2">
      <c r="A13" s="79" t="s">
        <v>64</v>
      </c>
      <c r="B13">
        <v>1000</v>
      </c>
      <c r="C13">
        <v>5000</v>
      </c>
      <c r="D13" s="85" t="str">
        <f>B13&amp;"x"&amp;C13/B13&amp;"h"</f>
        <v>1000x5h</v>
      </c>
      <c r="E13" s="2" t="s">
        <v>58</v>
      </c>
      <c r="F13" s="4">
        <f>C5*$B13</f>
        <v>150000</v>
      </c>
      <c r="G13" s="4">
        <f t="shared" ref="G13:G18" si="0">499.4*B13^0.6638</f>
        <v>48960.803677544762</v>
      </c>
      <c r="H13" s="4">
        <f>E5*$B13</f>
        <v>0</v>
      </c>
      <c r="I13" s="4">
        <f>F5*$C13</f>
        <v>1760000</v>
      </c>
      <c r="J13" s="138"/>
      <c r="K13" s="4">
        <f t="shared" ref="K13:K18" si="1">SUM(F13:I13)</f>
        <v>1958960.8036775447</v>
      </c>
      <c r="L13" s="131">
        <v>1</v>
      </c>
      <c r="M13" s="4">
        <f t="shared" ref="M13:M18" si="2">K13*L13</f>
        <v>1958960.8036775447</v>
      </c>
    </row>
    <row r="14" spans="1:14" x14ac:dyDescent="0.2">
      <c r="A14" s="79" t="s">
        <v>152</v>
      </c>
      <c r="C14">
        <v>-4000</v>
      </c>
      <c r="D14" s="79" t="s">
        <v>140</v>
      </c>
      <c r="E14" s="2" t="s">
        <v>59</v>
      </c>
      <c r="F14" s="4">
        <f>C6*$B14</f>
        <v>0</v>
      </c>
      <c r="G14" s="4">
        <f t="shared" si="0"/>
        <v>0</v>
      </c>
      <c r="H14" s="4">
        <f>E6*$B14</f>
        <v>0</v>
      </c>
      <c r="I14" s="4">
        <f>F6*$C14</f>
        <v>-1000000</v>
      </c>
      <c r="J14" s="138"/>
      <c r="K14" s="4">
        <f t="shared" si="1"/>
        <v>-1000000</v>
      </c>
      <c r="L14" s="131">
        <v>0.2</v>
      </c>
      <c r="M14" s="4">
        <f t="shared" si="2"/>
        <v>-200000</v>
      </c>
      <c r="N14" t="s">
        <v>156</v>
      </c>
    </row>
    <row r="15" spans="1:14" x14ac:dyDescent="0.2">
      <c r="A15" s="79" t="s">
        <v>63</v>
      </c>
      <c r="B15">
        <v>1000</v>
      </c>
      <c r="C15">
        <v>1000</v>
      </c>
      <c r="D15" s="85" t="str">
        <f>B15&amp;"x"&amp;C15/B15&amp;"h"</f>
        <v>1000x1h</v>
      </c>
      <c r="E15" s="2" t="s">
        <v>58</v>
      </c>
      <c r="F15" s="4">
        <f>C5*$B15</f>
        <v>150000</v>
      </c>
      <c r="G15" s="4">
        <f t="shared" si="0"/>
        <v>48960.803677544762</v>
      </c>
      <c r="H15" s="4">
        <f>E5*$B15</f>
        <v>0</v>
      </c>
      <c r="I15" s="4">
        <f>F5*$C15</f>
        <v>352000</v>
      </c>
      <c r="J15" s="138"/>
      <c r="K15" s="4">
        <f t="shared" si="1"/>
        <v>550960.8036775447</v>
      </c>
      <c r="L15" s="131">
        <v>1</v>
      </c>
      <c r="M15" s="4">
        <f t="shared" si="2"/>
        <v>550960.8036775447</v>
      </c>
    </row>
    <row r="16" spans="1:14" x14ac:dyDescent="0.2">
      <c r="A16" s="79" t="s">
        <v>175</v>
      </c>
      <c r="C16">
        <v>4000</v>
      </c>
      <c r="D16" s="79" t="s">
        <v>139</v>
      </c>
      <c r="E16" s="2" t="s">
        <v>59</v>
      </c>
      <c r="F16" s="4">
        <f>C6*$B16</f>
        <v>0</v>
      </c>
      <c r="G16" s="4">
        <f t="shared" si="0"/>
        <v>0</v>
      </c>
      <c r="H16" s="4">
        <f>E6*$B16</f>
        <v>0</v>
      </c>
      <c r="I16" s="4">
        <f>F6*$C16</f>
        <v>1000000</v>
      </c>
      <c r="J16" s="138"/>
      <c r="K16" s="4">
        <f t="shared" si="1"/>
        <v>1000000</v>
      </c>
      <c r="L16" s="131">
        <v>1</v>
      </c>
      <c r="M16" s="4">
        <f t="shared" si="2"/>
        <v>1000000</v>
      </c>
    </row>
    <row r="17" spans="1:14" x14ac:dyDescent="0.2">
      <c r="A17" s="79" t="s">
        <v>62</v>
      </c>
      <c r="B17">
        <v>200</v>
      </c>
      <c r="C17">
        <v>1000</v>
      </c>
      <c r="D17" s="85" t="str">
        <f t="shared" ref="D17" si="3">B17&amp;"x"&amp;C17/B17&amp;"h"</f>
        <v>200x5h</v>
      </c>
      <c r="E17" s="2" t="s">
        <v>58</v>
      </c>
      <c r="F17" s="4">
        <f>C5*$B17</f>
        <v>30000</v>
      </c>
      <c r="G17" s="4">
        <f t="shared" si="0"/>
        <v>16821.791631178072</v>
      </c>
      <c r="H17" s="4">
        <f>E5*$B17</f>
        <v>0</v>
      </c>
      <c r="I17" s="4">
        <f>F5*$C17</f>
        <v>352000</v>
      </c>
      <c r="J17" s="138"/>
      <c r="K17" s="4">
        <f t="shared" si="1"/>
        <v>398821.79163117806</v>
      </c>
      <c r="L17" s="131">
        <v>1</v>
      </c>
      <c r="M17" s="4">
        <f t="shared" si="2"/>
        <v>398821.79163117806</v>
      </c>
    </row>
    <row r="18" spans="1:14" x14ac:dyDescent="0.2">
      <c r="A18" s="79" t="s">
        <v>164</v>
      </c>
      <c r="B18">
        <v>1000</v>
      </c>
      <c r="C18">
        <v>5000</v>
      </c>
      <c r="D18" s="79" t="s">
        <v>139</v>
      </c>
      <c r="E18" s="2" t="s">
        <v>59</v>
      </c>
      <c r="F18" s="4">
        <f>C6*$B18</f>
        <v>90000</v>
      </c>
      <c r="G18" s="4">
        <f t="shared" si="0"/>
        <v>48960.803677544762</v>
      </c>
      <c r="H18" s="4">
        <f>E6*$B18</f>
        <v>0</v>
      </c>
      <c r="I18" s="4">
        <f>F6*$C18</f>
        <v>1250000</v>
      </c>
      <c r="J18" s="138"/>
      <c r="K18" s="4">
        <f t="shared" si="1"/>
        <v>1388960.8036775447</v>
      </c>
      <c r="L18" s="131">
        <v>1</v>
      </c>
      <c r="M18" s="4">
        <f t="shared" si="2"/>
        <v>1388960.8036775447</v>
      </c>
    </row>
    <row r="19" spans="1:14" s="136" customFormat="1" x14ac:dyDescent="0.2">
      <c r="A19" s="135" t="s">
        <v>32</v>
      </c>
      <c r="B19" s="135"/>
    </row>
    <row r="20" spans="1:14" x14ac:dyDescent="0.2">
      <c r="L20" t="s">
        <v>176</v>
      </c>
      <c r="M20" s="141">
        <f>SUM(M15:M16)</f>
        <v>1550960.8036775447</v>
      </c>
    </row>
    <row r="21" spans="1:14" x14ac:dyDescent="0.2">
      <c r="L21" t="s">
        <v>177</v>
      </c>
      <c r="M21" s="141">
        <f>SUM(M17:M18)</f>
        <v>1787782.5953087227</v>
      </c>
      <c r="N21" s="141">
        <f>M21-M20</f>
        <v>236821.791631178</v>
      </c>
    </row>
  </sheetData>
  <mergeCells count="1">
    <mergeCell ref="F11:I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workbookViewId="0">
      <selection activeCell="B3" sqref="B3"/>
    </sheetView>
  </sheetViews>
  <sheetFormatPr baseColWidth="10" defaultRowHeight="16" x14ac:dyDescent="0.2"/>
  <cols>
    <col min="1" max="1" width="18.33203125" customWidth="1"/>
    <col min="3" max="3" width="11.5" bestFit="1" customWidth="1"/>
    <col min="5" max="5" width="13.33203125" style="4" bestFit="1" customWidth="1"/>
    <col min="6" max="6" width="17.83203125" customWidth="1"/>
    <col min="7" max="7" width="17.83203125" style="4" customWidth="1"/>
    <col min="8" max="8" width="12" style="126" bestFit="1" customWidth="1"/>
    <col min="9" max="9" width="2.83203125" customWidth="1"/>
    <col min="10" max="10" width="14.1640625" bestFit="1" customWidth="1"/>
  </cols>
  <sheetData>
    <row r="1" spans="1:10" x14ac:dyDescent="0.2">
      <c r="A1" t="s">
        <v>25</v>
      </c>
      <c r="G1"/>
      <c r="H1" s="4"/>
      <c r="I1" s="3"/>
    </row>
    <row r="2" spans="1:10" x14ac:dyDescent="0.2">
      <c r="A2" t="s">
        <v>28</v>
      </c>
      <c r="B2" s="122">
        <v>0.27</v>
      </c>
      <c r="C2" t="s">
        <v>130</v>
      </c>
      <c r="D2">
        <f>cost_backfeed*1000</f>
        <v>270</v>
      </c>
      <c r="E2" s="4" t="s">
        <v>29</v>
      </c>
      <c r="G2"/>
      <c r="H2" s="4"/>
      <c r="I2" s="3"/>
    </row>
    <row r="3" spans="1:10" x14ac:dyDescent="0.2">
      <c r="A3" t="s">
        <v>71</v>
      </c>
      <c r="B3" s="80">
        <v>0</v>
      </c>
      <c r="C3" t="s">
        <v>29</v>
      </c>
      <c r="G3"/>
      <c r="H3" s="4"/>
      <c r="I3" s="3"/>
    </row>
    <row r="4" spans="1:10" x14ac:dyDescent="0.2">
      <c r="A4" t="s">
        <v>34</v>
      </c>
      <c r="B4" s="79">
        <v>91.5</v>
      </c>
      <c r="C4" t="s">
        <v>35</v>
      </c>
      <c r="G4"/>
      <c r="H4" s="4"/>
      <c r="I4" s="3"/>
    </row>
    <row r="5" spans="1:10" x14ac:dyDescent="0.2">
      <c r="A5" t="s">
        <v>61</v>
      </c>
      <c r="B5" s="91" t="str">
        <f>p1_decision</f>
        <v>P1 Flex</v>
      </c>
      <c r="C5" s="4">
        <f>p1_value_flex</f>
        <v>1080352.0974381617</v>
      </c>
      <c r="D5" s="141">
        <f>MIN(p1_value_small,p1_value_large)-p1_value_flex</f>
        <v>32441.131145585096</v>
      </c>
      <c r="E5" t="s">
        <v>178</v>
      </c>
      <c r="G5"/>
      <c r="H5" s="4"/>
      <c r="I5" s="84" t="s">
        <v>73</v>
      </c>
      <c r="J5" s="85">
        <f>COLUMNS(op_cost_table)</f>
        <v>10</v>
      </c>
    </row>
    <row r="6" spans="1:10" ht="71" x14ac:dyDescent="0.2">
      <c r="A6" t="s">
        <v>30</v>
      </c>
      <c r="B6" t="s">
        <v>100</v>
      </c>
      <c r="C6" t="str">
        <f>dec_name</f>
        <v>Bat</v>
      </c>
      <c r="D6" t="s">
        <v>27</v>
      </c>
      <c r="E6" t="s">
        <v>132</v>
      </c>
      <c r="F6" s="4" t="s">
        <v>31</v>
      </c>
      <c r="G6" t="s">
        <v>131</v>
      </c>
      <c r="H6" s="4" t="s">
        <v>69</v>
      </c>
      <c r="I6" s="102" t="s">
        <v>32</v>
      </c>
      <c r="J6" t="s">
        <v>36</v>
      </c>
    </row>
    <row r="7" spans="1:10" x14ac:dyDescent="0.2">
      <c r="A7" t="str">
        <f>dec_abbrev&amp;B7&amp;"x"&amp;IF(B7=0,0,C7/B7)&amp;"h_"&amp;chance_abbrev&amp;D7</f>
        <v>st0x0h_pv0.76</v>
      </c>
      <c r="B7" s="85">
        <f>RAW_ops!A8</f>
        <v>0</v>
      </c>
      <c r="C7" s="85">
        <f>RAW_ops!B8</f>
        <v>0</v>
      </c>
      <c r="D7" s="81">
        <f>ROUND(RAW_ops!C8,2)</f>
        <v>0.76</v>
      </c>
      <c r="E7" s="121">
        <f>RAW_ops!D8</f>
        <v>0</v>
      </c>
      <c r="F7" s="106">
        <f t="shared" ref="F7:F32" si="0">-E7*cost_backfeed*scale_to_annual</f>
        <v>0</v>
      </c>
      <c r="G7" s="120">
        <f>SUM(RAW_ops!E8:AB8)/1000</f>
        <v>116.25485696102047</v>
      </c>
      <c r="H7" s="106">
        <f t="shared" ref="H7" si="1">G7*cost_energy*scale_to_annual</f>
        <v>0</v>
      </c>
      <c r="I7" s="103"/>
      <c r="J7" s="108">
        <f t="shared" ref="J7" si="2">SUM(F7,H7)</f>
        <v>0</v>
      </c>
    </row>
    <row r="8" spans="1:10" x14ac:dyDescent="0.2">
      <c r="A8" t="str">
        <f t="shared" ref="A8:A32" si="3">dec_abbrev&amp;B8&amp;"x"&amp;IF(B8=0,0,C8/B8)&amp;"h_"&amp;chance_abbrev&amp;D8</f>
        <v>st200x5h_pv0.76</v>
      </c>
      <c r="B8" s="85">
        <f>RAW_ops!A9</f>
        <v>200</v>
      </c>
      <c r="C8" s="85">
        <f>RAW_ops!B9</f>
        <v>1000</v>
      </c>
      <c r="D8" s="81">
        <f>ROUND(RAW_ops!C9,2)</f>
        <v>0.76</v>
      </c>
      <c r="E8" s="121">
        <f>RAW_ops!D9</f>
        <v>0</v>
      </c>
      <c r="F8" s="106">
        <f t="shared" si="0"/>
        <v>0</v>
      </c>
      <c r="G8" s="120">
        <f>SUM(RAW_ops!E9:AB9)/1000</f>
        <v>116.23671411222193</v>
      </c>
      <c r="H8" s="106">
        <f t="shared" ref="H8:H20" si="4">G8*cost_energy*scale_to_annual</f>
        <v>0</v>
      </c>
      <c r="I8" s="103"/>
      <c r="J8" s="108">
        <f t="shared" ref="J8:J20" si="5">SUM(F8,H8)</f>
        <v>0</v>
      </c>
    </row>
    <row r="9" spans="1:10" x14ac:dyDescent="0.2">
      <c r="A9" t="str">
        <f t="shared" si="3"/>
        <v>st1000x1h_pv0.76</v>
      </c>
      <c r="B9" s="85">
        <f>RAW_ops!A10</f>
        <v>1000</v>
      </c>
      <c r="C9" s="85">
        <f>RAW_ops!B10</f>
        <v>1000</v>
      </c>
      <c r="D9" s="81">
        <f>ROUND(RAW_ops!C10,2)</f>
        <v>0.76</v>
      </c>
      <c r="E9" s="121">
        <f>RAW_ops!D10</f>
        <v>0</v>
      </c>
      <c r="F9" s="106">
        <f t="shared" si="0"/>
        <v>0</v>
      </c>
      <c r="G9" s="120">
        <f>SUM(RAW_ops!E10:AB10)/1000</f>
        <v>116.23209754673577</v>
      </c>
      <c r="H9" s="106">
        <f t="shared" si="4"/>
        <v>0</v>
      </c>
      <c r="I9" s="103"/>
      <c r="J9" s="108">
        <f t="shared" si="5"/>
        <v>0</v>
      </c>
    </row>
    <row r="10" spans="1:10" x14ac:dyDescent="0.2">
      <c r="A10" t="str">
        <f t="shared" si="3"/>
        <v>st1000x5h_pv0.76</v>
      </c>
      <c r="B10" s="85">
        <f>RAW_ops!A11</f>
        <v>1000</v>
      </c>
      <c r="C10" s="85">
        <f>RAW_ops!B11</f>
        <v>5000</v>
      </c>
      <c r="D10" s="81">
        <f>ROUND(RAW_ops!C11,2)</f>
        <v>0.76</v>
      </c>
      <c r="E10" s="121">
        <f>RAW_ops!D11</f>
        <v>0</v>
      </c>
      <c r="F10" s="106">
        <f t="shared" si="0"/>
        <v>0</v>
      </c>
      <c r="G10" s="120">
        <f>SUM(RAW_ops!E11:AB11)/1000</f>
        <v>116.13518849019682</v>
      </c>
      <c r="H10" s="106">
        <f t="shared" si="4"/>
        <v>0</v>
      </c>
      <c r="I10" s="103"/>
      <c r="J10" s="108">
        <f t="shared" si="5"/>
        <v>0</v>
      </c>
    </row>
    <row r="11" spans="1:10" x14ac:dyDescent="0.2">
      <c r="A11" t="str">
        <f t="shared" si="3"/>
        <v>st200x5h_pv0.86</v>
      </c>
      <c r="B11" s="85">
        <f>RAW_ops!A12</f>
        <v>200</v>
      </c>
      <c r="C11" s="85">
        <f>RAW_ops!B12</f>
        <v>1000</v>
      </c>
      <c r="D11" s="81">
        <f>ROUND(RAW_ops!C12,2)</f>
        <v>0.86</v>
      </c>
      <c r="E11" s="121">
        <f>RAW_ops!D12</f>
        <v>0</v>
      </c>
      <c r="F11" s="106">
        <f t="shared" si="0"/>
        <v>0</v>
      </c>
      <c r="G11" s="120">
        <f>SUM(RAW_ops!E12:AB12)/1000</f>
        <v>110.7778036536221</v>
      </c>
      <c r="H11" s="106">
        <f t="shared" si="4"/>
        <v>0</v>
      </c>
      <c r="I11" s="103"/>
      <c r="J11" s="108">
        <f t="shared" si="5"/>
        <v>0</v>
      </c>
    </row>
    <row r="12" spans="1:10" x14ac:dyDescent="0.2">
      <c r="A12" t="str">
        <f t="shared" si="3"/>
        <v>st1000x1h_pv0.86</v>
      </c>
      <c r="B12" s="85">
        <f>RAW_ops!A13</f>
        <v>1000</v>
      </c>
      <c r="C12" s="85">
        <f>RAW_ops!B13</f>
        <v>1000</v>
      </c>
      <c r="D12" s="81">
        <f>ROUND(RAW_ops!C13,2)</f>
        <v>0.86</v>
      </c>
      <c r="E12" s="121">
        <f>RAW_ops!D13</f>
        <v>0</v>
      </c>
      <c r="F12" s="106">
        <f t="shared" si="0"/>
        <v>0</v>
      </c>
      <c r="G12" s="120">
        <f>SUM(RAW_ops!E13:AB13)/1000</f>
        <v>110.83325527252097</v>
      </c>
      <c r="H12" s="106">
        <f t="shared" si="4"/>
        <v>0</v>
      </c>
      <c r="I12" s="103"/>
      <c r="J12" s="108">
        <f t="shared" si="5"/>
        <v>0</v>
      </c>
    </row>
    <row r="13" spans="1:10" x14ac:dyDescent="0.2">
      <c r="A13" t="str">
        <f t="shared" si="3"/>
        <v>st1000x5h_pv0.86</v>
      </c>
      <c r="B13" s="85">
        <f>RAW_ops!A14</f>
        <v>1000</v>
      </c>
      <c r="C13" s="85">
        <f>RAW_ops!B14</f>
        <v>5000</v>
      </c>
      <c r="D13" s="81">
        <f>ROUND(RAW_ops!C14,2)</f>
        <v>0.86</v>
      </c>
      <c r="E13" s="121">
        <f>RAW_ops!D14</f>
        <v>0</v>
      </c>
      <c r="F13" s="106">
        <f t="shared" si="0"/>
        <v>0</v>
      </c>
      <c r="G13" s="120">
        <f>SUM(RAW_ops!E14:AB14)/1000</f>
        <v>110.73254866794439</v>
      </c>
      <c r="H13" s="106">
        <f t="shared" si="4"/>
        <v>0</v>
      </c>
      <c r="I13" s="103"/>
      <c r="J13" s="108">
        <f t="shared" si="5"/>
        <v>0</v>
      </c>
    </row>
    <row r="14" spans="1:10" x14ac:dyDescent="0.2">
      <c r="A14" t="str">
        <f t="shared" si="3"/>
        <v>st200x5h_pv1.09</v>
      </c>
      <c r="B14" s="85">
        <f>RAW_ops!A15</f>
        <v>200</v>
      </c>
      <c r="C14" s="85">
        <f>RAW_ops!B15</f>
        <v>1000</v>
      </c>
      <c r="D14" s="81">
        <f>ROUND(RAW_ops!C15,2)</f>
        <v>1.0900000000000001</v>
      </c>
      <c r="E14" s="121">
        <f>RAW_ops!D15</f>
        <v>-31.204312936773999</v>
      </c>
      <c r="F14" s="106">
        <f t="shared" si="0"/>
        <v>770.90255110300166</v>
      </c>
      <c r="G14" s="120">
        <f>SUM(RAW_ops!E15:AB15)/1000</f>
        <v>98.860742921766942</v>
      </c>
      <c r="H14" s="106">
        <f t="shared" si="4"/>
        <v>0</v>
      </c>
      <c r="I14" s="103"/>
      <c r="J14" s="108">
        <f t="shared" si="5"/>
        <v>770.90255110300166</v>
      </c>
    </row>
    <row r="15" spans="1:10" x14ac:dyDescent="0.2">
      <c r="A15" t="str">
        <f t="shared" si="3"/>
        <v>st1000x1h_pv1.09</v>
      </c>
      <c r="B15" s="85">
        <f>RAW_ops!A16</f>
        <v>1000</v>
      </c>
      <c r="C15" s="85">
        <f>RAW_ops!B16</f>
        <v>1000</v>
      </c>
      <c r="D15" s="81">
        <f>ROUND(RAW_ops!C16,2)</f>
        <v>1.0900000000000001</v>
      </c>
      <c r="E15" s="121">
        <f>RAW_ops!D16</f>
        <v>0</v>
      </c>
      <c r="F15" s="106">
        <f t="shared" si="0"/>
        <v>0</v>
      </c>
      <c r="G15" s="120">
        <f>SUM(RAW_ops!E16:AB16)/1000</f>
        <v>98.811493837676096</v>
      </c>
      <c r="H15" s="106">
        <f t="shared" si="4"/>
        <v>0</v>
      </c>
      <c r="I15" s="103"/>
      <c r="J15" s="108">
        <f t="shared" si="5"/>
        <v>0</v>
      </c>
    </row>
    <row r="16" spans="1:10" x14ac:dyDescent="0.2">
      <c r="A16" t="str">
        <f t="shared" si="3"/>
        <v>st1000x5h_pv1.09</v>
      </c>
      <c r="B16" s="85">
        <f>RAW_ops!A17</f>
        <v>1000</v>
      </c>
      <c r="C16" s="85">
        <f>RAW_ops!B17</f>
        <v>5000</v>
      </c>
      <c r="D16" s="81">
        <f>ROUND(RAW_ops!C17,2)</f>
        <v>1.0900000000000001</v>
      </c>
      <c r="E16" s="121">
        <f>RAW_ops!D17</f>
        <v>0</v>
      </c>
      <c r="F16" s="106">
        <f t="shared" si="0"/>
        <v>0</v>
      </c>
      <c r="G16" s="120">
        <f>SUM(RAW_ops!E17:AB17)/1000</f>
        <v>98.284572424199098</v>
      </c>
      <c r="H16" s="106">
        <f t="shared" si="4"/>
        <v>0</v>
      </c>
      <c r="I16" s="103"/>
      <c r="J16" s="108">
        <f t="shared" si="5"/>
        <v>0</v>
      </c>
    </row>
    <row r="17" spans="1:10" x14ac:dyDescent="0.2">
      <c r="A17" t="str">
        <f t="shared" si="3"/>
        <v>st200x5h_pv1.11</v>
      </c>
      <c r="B17" s="85">
        <f>RAW_ops!A18</f>
        <v>200</v>
      </c>
      <c r="C17" s="85">
        <f>RAW_ops!B18</f>
        <v>1000</v>
      </c>
      <c r="D17" s="81">
        <f>ROUND(RAW_ops!C18,2)</f>
        <v>1.1100000000000001</v>
      </c>
      <c r="E17" s="121">
        <f>RAW_ops!D18</f>
        <v>-94.214056869336304</v>
      </c>
      <c r="F17" s="106">
        <f t="shared" si="0"/>
        <v>2327.5582749569535</v>
      </c>
      <c r="G17" s="120">
        <f>SUM(RAW_ops!E18:AB18)/1000</f>
        <v>97.960135958174774</v>
      </c>
      <c r="H17" s="106">
        <f t="shared" si="4"/>
        <v>0</v>
      </c>
      <c r="I17" s="103"/>
      <c r="J17" s="108">
        <f t="shared" si="5"/>
        <v>2327.5582749569535</v>
      </c>
    </row>
    <row r="18" spans="1:10" x14ac:dyDescent="0.2">
      <c r="A18" t="str">
        <f t="shared" si="3"/>
        <v>st1000x1h_pv1.11</v>
      </c>
      <c r="B18" s="85">
        <f>RAW_ops!A19</f>
        <v>1000</v>
      </c>
      <c r="C18" s="85">
        <f>RAW_ops!B19</f>
        <v>1000</v>
      </c>
      <c r="D18" s="81">
        <f>ROUND(RAW_ops!C19,2)</f>
        <v>1.1100000000000001</v>
      </c>
      <c r="E18" s="121">
        <f>RAW_ops!D19</f>
        <v>0</v>
      </c>
      <c r="F18" s="106">
        <f t="shared" si="0"/>
        <v>0</v>
      </c>
      <c r="G18" s="120">
        <f>SUM(RAW_ops!E19:AB19)/1000</f>
        <v>97.90845201093623</v>
      </c>
      <c r="H18" s="106">
        <f t="shared" si="4"/>
        <v>0</v>
      </c>
      <c r="I18" s="103"/>
      <c r="J18" s="108">
        <f t="shared" si="5"/>
        <v>0</v>
      </c>
    </row>
    <row r="19" spans="1:10" x14ac:dyDescent="0.2">
      <c r="A19" t="str">
        <f t="shared" si="3"/>
        <v>st1000x5h_pv1.11</v>
      </c>
      <c r="B19" s="85">
        <f>RAW_ops!A20</f>
        <v>1000</v>
      </c>
      <c r="C19" s="85">
        <f>RAW_ops!B20</f>
        <v>5000</v>
      </c>
      <c r="D19" s="81">
        <f>ROUND(RAW_ops!C20,2)</f>
        <v>1.1100000000000001</v>
      </c>
      <c r="E19" s="121">
        <f>RAW_ops!D20</f>
        <v>0</v>
      </c>
      <c r="F19" s="106">
        <f t="shared" si="0"/>
        <v>0</v>
      </c>
      <c r="G19" s="120">
        <f>SUM(RAW_ops!E20:AB20)/1000</f>
        <v>97.453764888800478</v>
      </c>
      <c r="H19" s="106">
        <f t="shared" si="4"/>
        <v>0</v>
      </c>
      <c r="I19" s="103"/>
      <c r="J19" s="108">
        <f t="shared" si="5"/>
        <v>0</v>
      </c>
    </row>
    <row r="20" spans="1:10" x14ac:dyDescent="0.2">
      <c r="A20" t="str">
        <f t="shared" si="3"/>
        <v>st200x5h_pv1.26</v>
      </c>
      <c r="B20" s="85">
        <f>RAW_ops!A21</f>
        <v>200</v>
      </c>
      <c r="C20" s="85">
        <f>RAW_ops!B21</f>
        <v>1000</v>
      </c>
      <c r="D20" s="81">
        <f>ROUND(RAW_ops!C21,2)</f>
        <v>1.26</v>
      </c>
      <c r="E20" s="121">
        <f>RAW_ops!D21</f>
        <v>-1572.79742776836</v>
      </c>
      <c r="F20" s="106">
        <f t="shared" si="0"/>
        <v>38855.960453017338</v>
      </c>
      <c r="G20" s="120">
        <f>SUM(RAW_ops!E21:AB21)/1000</f>
        <v>89.773366749453913</v>
      </c>
      <c r="H20" s="106">
        <f t="shared" si="4"/>
        <v>0</v>
      </c>
      <c r="I20" s="103"/>
      <c r="J20" s="108">
        <f t="shared" si="5"/>
        <v>38855.960453017338</v>
      </c>
    </row>
    <row r="21" spans="1:10" x14ac:dyDescent="0.2">
      <c r="A21" t="str">
        <f t="shared" si="3"/>
        <v>st1000x1h_pv1.26</v>
      </c>
      <c r="B21" s="85">
        <f>RAW_ops!A22</f>
        <v>1000</v>
      </c>
      <c r="C21" s="85">
        <f>RAW_ops!B22</f>
        <v>1000</v>
      </c>
      <c r="D21" s="81">
        <f>ROUND(RAW_ops!C22,2)</f>
        <v>1.26</v>
      </c>
      <c r="E21" s="121">
        <f>RAW_ops!D22</f>
        <v>-1260.7369395580001</v>
      </c>
      <c r="F21" s="106">
        <f t="shared" si="0"/>
        <v>31146.506091780393</v>
      </c>
      <c r="G21" s="120">
        <f>SUM(RAW_ops!E22:AB22)/1000</f>
        <v>89.752042284657023</v>
      </c>
      <c r="H21" s="106">
        <f t="shared" ref="H21:H27" si="6">G21*cost_energy*scale_to_annual</f>
        <v>0</v>
      </c>
      <c r="I21" s="103"/>
      <c r="J21" s="108">
        <f t="shared" ref="J21:J27" si="7">SUM(F21,H21)</f>
        <v>31146.506091780393</v>
      </c>
    </row>
    <row r="22" spans="1:10" x14ac:dyDescent="0.2">
      <c r="A22" t="str">
        <f t="shared" si="3"/>
        <v>st1000x5h_pv1.26</v>
      </c>
      <c r="B22" s="85">
        <f>RAW_ops!A23</f>
        <v>1000</v>
      </c>
      <c r="C22" s="85">
        <f>RAW_ops!B23</f>
        <v>5000</v>
      </c>
      <c r="D22" s="81">
        <f>ROUND(RAW_ops!C23,2)</f>
        <v>1.26</v>
      </c>
      <c r="E22" s="121">
        <f>RAW_ops!D23</f>
        <v>0</v>
      </c>
      <c r="F22" s="106">
        <f t="shared" si="0"/>
        <v>0</v>
      </c>
      <c r="G22" s="120">
        <f>SUM(RAW_ops!E23:AB23)/1000</f>
        <v>89.210739348930829</v>
      </c>
      <c r="H22" s="106">
        <f t="shared" si="6"/>
        <v>0</v>
      </c>
      <c r="I22" s="103"/>
      <c r="J22" s="108">
        <f t="shared" si="7"/>
        <v>0</v>
      </c>
    </row>
    <row r="23" spans="1:10" x14ac:dyDescent="0.2">
      <c r="A23" t="str">
        <f t="shared" si="3"/>
        <v>st200x5h_pv1.26</v>
      </c>
      <c r="B23" s="85">
        <f>RAW_ops!A24</f>
        <v>200</v>
      </c>
      <c r="C23" s="85">
        <f>RAW_ops!B24</f>
        <v>1000</v>
      </c>
      <c r="D23" s="81">
        <f>ROUND(RAW_ops!C24,2)</f>
        <v>1.26</v>
      </c>
      <c r="E23" s="121">
        <f>RAW_ops!D24</f>
        <v>-1579.6046015724501</v>
      </c>
      <c r="F23" s="106">
        <f t="shared" si="0"/>
        <v>39024.131681847386</v>
      </c>
      <c r="G23" s="120">
        <f>SUM(RAW_ops!E24:AB24)/1000</f>
        <v>89.669782371756156</v>
      </c>
      <c r="H23" s="106">
        <f t="shared" si="6"/>
        <v>0</v>
      </c>
      <c r="I23" s="103"/>
      <c r="J23" s="108">
        <f t="shared" si="7"/>
        <v>39024.131681847386</v>
      </c>
    </row>
    <row r="24" spans="1:10" x14ac:dyDescent="0.2">
      <c r="A24" t="str">
        <f t="shared" si="3"/>
        <v>st1000x5h_pv1.26</v>
      </c>
      <c r="B24" s="85">
        <f>RAW_ops!A25</f>
        <v>1000</v>
      </c>
      <c r="C24" s="85">
        <f>RAW_ops!B25</f>
        <v>5000</v>
      </c>
      <c r="D24" s="81">
        <f>ROUND(RAW_ops!C25,2)</f>
        <v>1.26</v>
      </c>
      <c r="E24" s="121">
        <f>RAW_ops!D25</f>
        <v>0</v>
      </c>
      <c r="F24" s="106">
        <f t="shared" si="0"/>
        <v>0</v>
      </c>
      <c r="G24" s="120">
        <f>SUM(RAW_ops!E25:AB25)/1000</f>
        <v>89.032204771893674</v>
      </c>
      <c r="H24" s="106">
        <f t="shared" si="6"/>
        <v>0</v>
      </c>
      <c r="I24" s="103"/>
      <c r="J24" s="108">
        <f t="shared" si="7"/>
        <v>0</v>
      </c>
    </row>
    <row r="25" spans="1:10" x14ac:dyDescent="0.2">
      <c r="A25" t="str">
        <f t="shared" si="3"/>
        <v>st1000x5h_pv1.26</v>
      </c>
      <c r="B25" s="85">
        <f>RAW_ops!A26</f>
        <v>1000</v>
      </c>
      <c r="C25" s="85">
        <f>RAW_ops!B26</f>
        <v>5000</v>
      </c>
      <c r="D25" s="81">
        <f>ROUND(RAW_ops!C26,2)</f>
        <v>1.26</v>
      </c>
      <c r="E25" s="121">
        <f>RAW_ops!D26</f>
        <v>0</v>
      </c>
      <c r="F25" s="106">
        <f t="shared" si="0"/>
        <v>0</v>
      </c>
      <c r="G25" s="120">
        <f>SUM(RAW_ops!E26:AB26)/1000</f>
        <v>89.032204771893674</v>
      </c>
      <c r="H25" s="106">
        <f t="shared" si="6"/>
        <v>0</v>
      </c>
      <c r="I25" s="103"/>
      <c r="J25" s="108">
        <f t="shared" si="7"/>
        <v>0</v>
      </c>
    </row>
    <row r="26" spans="1:10" x14ac:dyDescent="0.2">
      <c r="A26" t="str">
        <f t="shared" si="3"/>
        <v>st200x5h_pv1.51</v>
      </c>
      <c r="B26" s="85">
        <f>RAW_ops!A27</f>
        <v>200</v>
      </c>
      <c r="C26" s="85">
        <f>RAW_ops!B27</f>
        <v>1000</v>
      </c>
      <c r="D26" s="81">
        <f>ROUND(RAW_ops!C27,2)</f>
        <v>1.51</v>
      </c>
      <c r="E26" s="121">
        <f>RAW_ops!D27</f>
        <v>-7585.3378007290012</v>
      </c>
      <c r="F26" s="106">
        <f t="shared" si="0"/>
        <v>187395.77036700997</v>
      </c>
      <c r="G26" s="120">
        <f>SUM(RAW_ops!E27:AB27)/1000</f>
        <v>75.77103255080462</v>
      </c>
      <c r="H26" s="106">
        <f t="shared" si="6"/>
        <v>0</v>
      </c>
      <c r="I26" s="103"/>
      <c r="J26" s="108">
        <f t="shared" si="7"/>
        <v>187395.77036700997</v>
      </c>
    </row>
    <row r="27" spans="1:10" x14ac:dyDescent="0.2">
      <c r="A27" t="str">
        <f t="shared" si="3"/>
        <v>st1000x5h_pv1.51</v>
      </c>
      <c r="B27" s="85">
        <f>RAW_ops!A28</f>
        <v>1000</v>
      </c>
      <c r="C27" s="85">
        <f>RAW_ops!B28</f>
        <v>5000</v>
      </c>
      <c r="D27" s="81">
        <f>ROUND(RAW_ops!C28,2)</f>
        <v>1.51</v>
      </c>
      <c r="E27" s="121">
        <f>RAW_ops!D28</f>
        <v>-664.11501807021398</v>
      </c>
      <c r="F27" s="106">
        <f t="shared" si="0"/>
        <v>16406.961521424637</v>
      </c>
      <c r="G27" s="120">
        <f>SUM(RAW_ops!E28:AB28)/1000</f>
        <v>75.025026307885028</v>
      </c>
      <c r="H27" s="106">
        <f t="shared" si="6"/>
        <v>0</v>
      </c>
      <c r="I27" s="103"/>
      <c r="J27" s="108">
        <f t="shared" si="7"/>
        <v>16406.961521424637</v>
      </c>
    </row>
    <row r="28" spans="1:10" x14ac:dyDescent="0.2">
      <c r="A28" t="str">
        <f t="shared" si="3"/>
        <v>st1000x5h_pv1.51</v>
      </c>
      <c r="B28" s="85">
        <f>RAW_ops!A29</f>
        <v>1000</v>
      </c>
      <c r="C28" s="85">
        <f>RAW_ops!B29</f>
        <v>5000</v>
      </c>
      <c r="D28" s="81">
        <f>ROUND(RAW_ops!C29,2)</f>
        <v>1.51</v>
      </c>
      <c r="E28" s="121">
        <f>RAW_ops!D29</f>
        <v>-664.11501807021398</v>
      </c>
      <c r="F28" s="106">
        <f t="shared" si="0"/>
        <v>16406.961521424637</v>
      </c>
      <c r="G28" s="120">
        <f>SUM(RAW_ops!E29:AB29)/1000</f>
        <v>75.025026307885028</v>
      </c>
      <c r="H28" s="106">
        <f t="shared" ref="H28:H32" si="8">G28*cost_energy*scale_to_annual</f>
        <v>0</v>
      </c>
      <c r="I28" s="103"/>
      <c r="J28" s="108">
        <f t="shared" ref="J28:J32" si="9">SUM(F28,H28)</f>
        <v>16406.961521424637</v>
      </c>
    </row>
    <row r="29" spans="1:10" x14ac:dyDescent="0.2">
      <c r="A29" t="str">
        <f t="shared" si="3"/>
        <v>st200x5h_pv1.51</v>
      </c>
      <c r="B29" s="85">
        <f>RAW_ops!A30</f>
        <v>200</v>
      </c>
      <c r="C29" s="85">
        <f>RAW_ops!B30</f>
        <v>1000</v>
      </c>
      <c r="D29" s="81">
        <f>ROUND(RAW_ops!C30,2)</f>
        <v>1.51</v>
      </c>
      <c r="E29" s="121">
        <f>RAW_ops!D30</f>
        <v>-7585.3378007290012</v>
      </c>
      <c r="F29" s="106">
        <f t="shared" si="0"/>
        <v>187395.77036700997</v>
      </c>
      <c r="G29" s="120">
        <f>SUM(RAW_ops!E30:AB30)/1000</f>
        <v>75.77103255080462</v>
      </c>
      <c r="H29" s="106">
        <f t="shared" si="8"/>
        <v>0</v>
      </c>
      <c r="I29" s="103"/>
      <c r="J29" s="108">
        <f t="shared" si="9"/>
        <v>187395.77036700997</v>
      </c>
    </row>
    <row r="30" spans="1:10" x14ac:dyDescent="0.2">
      <c r="A30" t="str">
        <f t="shared" si="3"/>
        <v>st1000x1h_pv1.51</v>
      </c>
      <c r="B30" s="85">
        <f>RAW_ops!A31</f>
        <v>1000</v>
      </c>
      <c r="C30" s="85">
        <f>RAW_ops!B31</f>
        <v>1000</v>
      </c>
      <c r="D30" s="81">
        <f>ROUND(RAW_ops!C31,2)</f>
        <v>1.51</v>
      </c>
      <c r="E30" s="121">
        <f>RAW_ops!D31</f>
        <v>-7042.5132007173397</v>
      </c>
      <c r="F30" s="106">
        <f t="shared" si="0"/>
        <v>173985.28862372189</v>
      </c>
      <c r="G30" s="120">
        <f>SUM(RAW_ops!E31:AB31)/1000</f>
        <v>75.750795253246977</v>
      </c>
      <c r="H30" s="106">
        <f t="shared" si="8"/>
        <v>0</v>
      </c>
      <c r="I30" s="103"/>
      <c r="J30" s="108">
        <f t="shared" si="9"/>
        <v>173985.28862372189</v>
      </c>
    </row>
    <row r="31" spans="1:10" x14ac:dyDescent="0.2">
      <c r="A31" t="str">
        <f t="shared" si="3"/>
        <v>st1000x5h_pv1.51</v>
      </c>
      <c r="B31" s="85">
        <f>RAW_ops!A32</f>
        <v>1000</v>
      </c>
      <c r="C31" s="85">
        <f>RAW_ops!B32</f>
        <v>5000</v>
      </c>
      <c r="D31" s="81">
        <f>ROUND(RAW_ops!C32,2)</f>
        <v>1.51</v>
      </c>
      <c r="E31" s="121">
        <f>RAW_ops!D32</f>
        <v>-664.11501807021398</v>
      </c>
      <c r="F31" s="106">
        <f t="shared" si="0"/>
        <v>16406.961521424637</v>
      </c>
      <c r="G31" s="120">
        <f>SUM(RAW_ops!E32:AB32)/1000</f>
        <v>75.025026307885028</v>
      </c>
      <c r="H31" s="106">
        <f t="shared" si="8"/>
        <v>0</v>
      </c>
      <c r="I31" s="103"/>
      <c r="J31" s="108">
        <f t="shared" si="9"/>
        <v>16406.961521424637</v>
      </c>
    </row>
    <row r="32" spans="1:10" x14ac:dyDescent="0.2">
      <c r="A32" t="str">
        <f t="shared" si="3"/>
        <v>st0x0h_pv0</v>
      </c>
      <c r="B32" s="85">
        <f>RAW_ops!A33</f>
        <v>0</v>
      </c>
      <c r="C32" s="85">
        <f>RAW_ops!B33</f>
        <v>0</v>
      </c>
      <c r="D32" s="81">
        <f>ROUND(RAW_ops!C33,2)</f>
        <v>0</v>
      </c>
      <c r="E32" s="121">
        <f>RAW_ops!D33</f>
        <v>0</v>
      </c>
      <c r="F32" s="106">
        <f t="shared" si="0"/>
        <v>0</v>
      </c>
      <c r="G32" s="120">
        <f>SUM(RAW_ops!E33:AB33)/1000</f>
        <v>157.49484616832248</v>
      </c>
      <c r="H32" s="106">
        <f t="shared" si="8"/>
        <v>0</v>
      </c>
      <c r="I32" s="103"/>
      <c r="J32" s="108">
        <f t="shared" si="9"/>
        <v>0</v>
      </c>
    </row>
    <row r="33" spans="6:8" s="3" customFormat="1" x14ac:dyDescent="0.2">
      <c r="F33" s="107"/>
      <c r="H33" s="1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3"/>
  <sheetViews>
    <sheetView topLeftCell="A2" workbookViewId="0">
      <selection activeCell="E8" sqref="E8"/>
    </sheetView>
  </sheetViews>
  <sheetFormatPr baseColWidth="10" defaultRowHeight="16" x14ac:dyDescent="0.2"/>
  <cols>
    <col min="2" max="2" width="11.5" bestFit="1" customWidth="1"/>
    <col min="4" max="4" width="14" bestFit="1" customWidth="1"/>
    <col min="5" max="13" width="6.83203125" bestFit="1" customWidth="1"/>
    <col min="14" max="28" width="7.83203125" bestFit="1" customWidth="1"/>
  </cols>
  <sheetData>
    <row r="1" spans="1:28" x14ac:dyDescent="0.2">
      <c r="A1" s="104" t="s">
        <v>26</v>
      </c>
      <c r="B1" s="104"/>
    </row>
    <row r="2" spans="1:28" x14ac:dyDescent="0.2">
      <c r="A2" s="116" t="s">
        <v>126</v>
      </c>
    </row>
    <row r="6" spans="1:28" x14ac:dyDescent="0.2">
      <c r="B6" s="4">
        <f>p1_value_flex</f>
        <v>1080352.0974381617</v>
      </c>
      <c r="C6" s="141">
        <f>MIN(p1_value_small,p1_value_large)-p1_value_flex</f>
        <v>32441.131145585096</v>
      </c>
      <c r="D6" t="s">
        <v>178</v>
      </c>
      <c r="E6" s="185" t="s">
        <v>70</v>
      </c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</row>
    <row r="7" spans="1:28" x14ac:dyDescent="0.2">
      <c r="A7" s="104" t="s">
        <v>100</v>
      </c>
      <c r="B7" s="105" t="str">
        <f>dec_name</f>
        <v>Bat</v>
      </c>
      <c r="C7" s="105" t="str">
        <f>chance_name</f>
        <v>PV_%</v>
      </c>
      <c r="D7" s="105" t="s">
        <v>125</v>
      </c>
      <c r="E7" s="105" t="s">
        <v>101</v>
      </c>
      <c r="F7" s="105" t="s">
        <v>102</v>
      </c>
      <c r="G7" s="105" t="s">
        <v>103</v>
      </c>
      <c r="H7" s="105" t="s">
        <v>104</v>
      </c>
      <c r="I7" s="105" t="s">
        <v>105</v>
      </c>
      <c r="J7" s="105" t="s">
        <v>106</v>
      </c>
      <c r="K7" s="105" t="s">
        <v>107</v>
      </c>
      <c r="L7" s="105" t="s">
        <v>108</v>
      </c>
      <c r="M7" s="105" t="s">
        <v>109</v>
      </c>
      <c r="N7" s="105" t="s">
        <v>110</v>
      </c>
      <c r="O7" s="105" t="s">
        <v>111</v>
      </c>
      <c r="P7" s="105" t="s">
        <v>112</v>
      </c>
      <c r="Q7" s="105" t="s">
        <v>113</v>
      </c>
      <c r="R7" s="105" t="s">
        <v>114</v>
      </c>
      <c r="S7" s="105" t="s">
        <v>115</v>
      </c>
      <c r="T7" s="105" t="s">
        <v>116</v>
      </c>
      <c r="U7" s="105" t="s">
        <v>117</v>
      </c>
      <c r="V7" s="105" t="s">
        <v>118</v>
      </c>
      <c r="W7" s="105" t="s">
        <v>119</v>
      </c>
      <c r="X7" s="105" t="s">
        <v>120</v>
      </c>
      <c r="Y7" s="105" t="s">
        <v>121</v>
      </c>
      <c r="Z7" s="105" t="s">
        <v>122</v>
      </c>
      <c r="AA7" s="105" t="s">
        <v>123</v>
      </c>
      <c r="AB7" s="105" t="s">
        <v>124</v>
      </c>
    </row>
    <row r="8" spans="1:28" x14ac:dyDescent="0.2">
      <c r="A8">
        <f>Jan!A1</f>
        <v>0</v>
      </c>
      <c r="B8">
        <f>Jan!B1</f>
        <v>0</v>
      </c>
      <c r="C8">
        <f>Jan!C1</f>
        <v>0.76452271500000002</v>
      </c>
      <c r="D8" s="117">
        <f>Jan!D1+Apr!D1+Jul!D1+Oct!D1</f>
        <v>0</v>
      </c>
      <c r="E8" s="117">
        <f>Jan!E1+Apr!E1+Jul!E1+Oct!E1</f>
        <v>4062.3357053905338</v>
      </c>
      <c r="F8" s="117">
        <f>Jan!F1+Apr!F1+Jul!F1+Oct!F1</f>
        <v>3944.6260874008899</v>
      </c>
      <c r="G8" s="117">
        <f>Jan!G1+Apr!G1+Jul!G1+Oct!G1</f>
        <v>3849.3378099015731</v>
      </c>
      <c r="H8" s="117">
        <f>Jan!H1+Apr!H1+Jul!H1+Oct!H1</f>
        <v>3916.7791850627709</v>
      </c>
      <c r="I8" s="117">
        <f>Jan!I1+Apr!I1+Jul!I1+Oct!I1</f>
        <v>4202.7109305191098</v>
      </c>
      <c r="J8" s="117">
        <f>Jan!J1+Apr!J1+Jul!J1+Oct!J1</f>
        <v>4884.1380968623598</v>
      </c>
      <c r="K8" s="117">
        <f>Jan!K1+Apr!K1+Jul!K1+Oct!K1</f>
        <v>5745.4226694072395</v>
      </c>
      <c r="L8" s="117">
        <f>Jan!L1+Apr!L1+Jul!L1+Oct!L1</f>
        <v>6405.0248156514299</v>
      </c>
      <c r="M8" s="117">
        <f>Jan!M1+Apr!M1+Jul!M1+Oct!M1</f>
        <v>5736.5197564698801</v>
      </c>
      <c r="N8" s="117">
        <f>Jan!N1+Apr!N1+Jul!N1+Oct!N1</f>
        <v>4974.0349073436619</v>
      </c>
      <c r="O8" s="117">
        <f>Jan!O1+Apr!O1+Jul!O1+Oct!O1</f>
        <v>3816.175124830339</v>
      </c>
      <c r="P8" s="117">
        <f>Jan!P1+Apr!P1+Jul!P1+Oct!P1</f>
        <v>3164.8779067194127</v>
      </c>
      <c r="Q8" s="117">
        <f>Jan!Q1+Apr!Q1+Jul!Q1+Oct!Q1</f>
        <v>3437.0387320409582</v>
      </c>
      <c r="R8" s="117">
        <f>Jan!R1+Apr!R1+Jul!R1+Oct!R1</f>
        <v>4003.0311909692209</v>
      </c>
      <c r="S8" s="117">
        <f>Jan!S1+Apr!S1+Jul!S1+Oct!S1</f>
        <v>4475.8979120035347</v>
      </c>
      <c r="T8" s="117">
        <f>Jan!T1+Apr!T1+Jul!T1+Oct!T1</f>
        <v>4568.9451921761156</v>
      </c>
      <c r="U8" s="117">
        <f>Jan!U1+Apr!U1+Jul!U1+Oct!U1</f>
        <v>5681.5987017573298</v>
      </c>
      <c r="V8" s="117">
        <f>Jan!V1+Apr!V1+Jul!V1+Oct!V1</f>
        <v>6838.3495983441198</v>
      </c>
      <c r="W8" s="117">
        <f>Jan!W1+Apr!W1+Jul!W1+Oct!W1</f>
        <v>6519.9561669870109</v>
      </c>
      <c r="X8" s="117">
        <f>Jan!X1+Apr!X1+Jul!X1+Oct!X1</f>
        <v>6160.4911789347098</v>
      </c>
      <c r="Y8" s="117">
        <f>Jan!Y1+Apr!Y1+Jul!Y1+Oct!Y1</f>
        <v>5758.6314129875991</v>
      </c>
      <c r="Z8" s="117">
        <f>Jan!Z1+Apr!Z1+Jul!Z1+Oct!Z1</f>
        <v>5211.1111854348901</v>
      </c>
      <c r="AA8" s="117">
        <f>Jan!AA1+Apr!AA1+Jul!AA1+Oct!AA1</f>
        <v>4638.0890783139203</v>
      </c>
      <c r="AB8" s="117">
        <f>Jan!AB1+Apr!AB1+Jul!AB1+Oct!AB1</f>
        <v>4259.7336155118601</v>
      </c>
    </row>
    <row r="9" spans="1:28" x14ac:dyDescent="0.2">
      <c r="A9">
        <f>Jan!A2</f>
        <v>200</v>
      </c>
      <c r="B9">
        <f>Jan!B2</f>
        <v>1000</v>
      </c>
      <c r="C9">
        <f>Jan!C2</f>
        <v>0.76452271500000002</v>
      </c>
      <c r="D9" s="117">
        <f>Jan!D2+Apr!D2+Jul!D2+Oct!D2</f>
        <v>0</v>
      </c>
      <c r="E9" s="117">
        <f>Jan!E2+Apr!E2+Jul!E2+Oct!E2</f>
        <v>4435.6899838391237</v>
      </c>
      <c r="F9" s="117">
        <f>Jan!F2+Apr!F2+Jul!F2+Oct!F2</f>
        <v>4344.6280768855249</v>
      </c>
      <c r="G9" s="117">
        <f>Jan!G2+Apr!G2+Jul!G2+Oct!G2</f>
        <v>4303.6269545981004</v>
      </c>
      <c r="H9" s="117">
        <f>Jan!H2+Apr!H2+Jul!H2+Oct!H2</f>
        <v>4370.989592828987</v>
      </c>
      <c r="I9" s="117">
        <f>Jan!I2+Apr!I2+Jul!I2+Oct!I2</f>
        <v>4495.4524619702897</v>
      </c>
      <c r="J9" s="117">
        <f>Jan!J2+Apr!J2+Jul!J2+Oct!J2</f>
        <v>4846.8032421009802</v>
      </c>
      <c r="K9" s="117">
        <f>Jan!K2+Apr!K2+Jul!K2+Oct!K2</f>
        <v>5404.1977625547206</v>
      </c>
      <c r="L9" s="117">
        <f>Jan!L2+Apr!L2+Jul!L2+Oct!L2</f>
        <v>5827.3822065432596</v>
      </c>
      <c r="M9" s="117">
        <f>Jan!M2+Apr!M2+Jul!M2+Oct!M2</f>
        <v>5344.8648775915299</v>
      </c>
      <c r="N9" s="117">
        <f>Jan!N2+Apr!N2+Jul!N2+Oct!N2</f>
        <v>4839.0510815385551</v>
      </c>
      <c r="O9" s="117">
        <f>Jan!O2+Apr!O2+Jul!O2+Oct!O2</f>
        <v>4249.1675581571099</v>
      </c>
      <c r="P9" s="117">
        <f>Jan!P2+Apr!P2+Jul!P2+Oct!P2</f>
        <v>3905.7896832699817</v>
      </c>
      <c r="Q9" s="117">
        <f>Jan!Q2+Apr!Q2+Jul!Q2+Oct!Q2</f>
        <v>4004.6122995409023</v>
      </c>
      <c r="R9" s="117">
        <f>Jan!R2+Apr!R2+Jul!R2+Oct!R2</f>
        <v>4370.168537523351</v>
      </c>
      <c r="S9" s="117">
        <f>Jan!S2+Apr!S2+Jul!S2+Oct!S2</f>
        <v>4617.4884792789953</v>
      </c>
      <c r="T9" s="117">
        <f>Jan!T2+Apr!T2+Jul!T2+Oct!T2</f>
        <v>4669.9911860067523</v>
      </c>
      <c r="U9" s="117">
        <f>Jan!U2+Apr!U2+Jul!U2+Oct!U2</f>
        <v>5296.3070163756302</v>
      </c>
      <c r="V9" s="117">
        <f>Jan!V2+Apr!V2+Jul!V2+Oct!V2</f>
        <v>6080.23052305702</v>
      </c>
      <c r="W9" s="117">
        <f>Jan!W2+Apr!W2+Jul!W2+Oct!W2</f>
        <v>5757.6239167121403</v>
      </c>
      <c r="X9" s="117">
        <f>Jan!X2+Apr!X2+Jul!X2+Oct!X2</f>
        <v>5484.2044516966298</v>
      </c>
      <c r="Y9" s="117">
        <f>Jan!Y2+Apr!Y2+Jul!Y2+Oct!Y2</f>
        <v>5309.7835443103795</v>
      </c>
      <c r="Z9" s="117">
        <f>Jan!Z2+Apr!Z2+Jul!Z2+Oct!Z2</f>
        <v>5094.26834566052</v>
      </c>
      <c r="AA9" s="117">
        <f>Jan!AA2+Apr!AA2+Jul!AA2+Oct!AA2</f>
        <v>4664.0984963565797</v>
      </c>
      <c r="AB9" s="117">
        <f>Jan!AB2+Apr!AB2+Jul!AB2+Oct!AB2</f>
        <v>4520.2938338248596</v>
      </c>
    </row>
    <row r="10" spans="1:28" x14ac:dyDescent="0.2">
      <c r="A10">
        <f>Jan!A3</f>
        <v>1000</v>
      </c>
      <c r="B10">
        <f>Jan!B3</f>
        <v>1000</v>
      </c>
      <c r="C10">
        <f>Jan!C3</f>
        <v>0.76452271500000002</v>
      </c>
      <c r="D10" s="117">
        <f>Jan!D3+Apr!D3+Jul!D3+Oct!D3</f>
        <v>0</v>
      </c>
      <c r="E10" s="117">
        <f>Jan!E3+Apr!E3+Jul!E3+Oct!E3</f>
        <v>4354.7471071618938</v>
      </c>
      <c r="F10" s="117">
        <f>Jan!F3+Apr!F3+Jul!F3+Oct!F3</f>
        <v>4263.8938040952553</v>
      </c>
      <c r="G10" s="117">
        <f>Jan!G3+Apr!G3+Jul!G3+Oct!G3</f>
        <v>4202.1997514049399</v>
      </c>
      <c r="H10" s="117">
        <f>Jan!H3+Apr!H3+Jul!H3+Oct!H3</f>
        <v>4269.6046102870569</v>
      </c>
      <c r="I10" s="117">
        <f>Jan!I3+Apr!I3+Jul!I3+Oct!I3</f>
        <v>4495.5073325276608</v>
      </c>
      <c r="J10" s="117">
        <f>Jan!J3+Apr!J3+Jul!J3+Oct!J3</f>
        <v>4884.4607354323798</v>
      </c>
      <c r="K10" s="117">
        <f>Jan!K3+Apr!K3+Jul!K3+Oct!K3</f>
        <v>5513.9243149255999</v>
      </c>
      <c r="L10" s="117">
        <f>Jan!L3+Apr!L3+Jul!L3+Oct!L3</f>
        <v>5723.5453749385497</v>
      </c>
      <c r="M10" s="117">
        <f>Jan!M3+Apr!M3+Jul!M3+Oct!M3</f>
        <v>5280.9298881026498</v>
      </c>
      <c r="N10" s="117">
        <f>Jan!N3+Apr!N3+Jul!N3+Oct!N3</f>
        <v>4865.6640173723235</v>
      </c>
      <c r="O10" s="117">
        <f>Jan!O3+Apr!O3+Jul!O3+Oct!O3</f>
        <v>4186.9464417760628</v>
      </c>
      <c r="P10" s="117">
        <f>Jan!P3+Apr!P3+Jul!P3+Oct!P3</f>
        <v>4018.4107010873568</v>
      </c>
      <c r="Q10" s="117">
        <f>Jan!Q3+Apr!Q3+Jul!Q3+Oct!Q3</f>
        <v>4117.1037428111458</v>
      </c>
      <c r="R10" s="117">
        <f>Jan!R3+Apr!R3+Jul!R3+Oct!R3</f>
        <v>4452.5669839856746</v>
      </c>
      <c r="S10" s="117">
        <f>Jan!S3+Apr!S3+Jul!S3+Oct!S3</f>
        <v>4547.1182496592155</v>
      </c>
      <c r="T10" s="117">
        <f>Jan!T3+Apr!T3+Jul!T3+Oct!T3</f>
        <v>4587.068403712221</v>
      </c>
      <c r="U10" s="117">
        <f>Jan!U3+Apr!U3+Jul!U3+Oct!U3</f>
        <v>5390.1580556202207</v>
      </c>
      <c r="V10" s="117">
        <f>Jan!V3+Apr!V3+Jul!V3+Oct!V3</f>
        <v>5835.7395651563802</v>
      </c>
      <c r="W10" s="117">
        <f>Jan!W3+Apr!W3+Jul!W3+Oct!W3</f>
        <v>5753.4137149648204</v>
      </c>
      <c r="X10" s="117">
        <f>Jan!X3+Apr!X3+Jul!X3+Oct!X3</f>
        <v>5684.3021359771792</v>
      </c>
      <c r="Y10" s="117">
        <f>Jan!Y3+Apr!Y3+Jul!Y3+Oct!Y3</f>
        <v>5505.4986611147597</v>
      </c>
      <c r="Z10" s="117">
        <f>Jan!Z3+Apr!Z3+Jul!Z3+Oct!Z3</f>
        <v>5166.3970058330096</v>
      </c>
      <c r="AA10" s="117">
        <f>Jan!AA3+Apr!AA3+Jul!AA3+Oct!AA3</f>
        <v>4664.0899656355796</v>
      </c>
      <c r="AB10" s="117">
        <f>Jan!AB3+Apr!AB3+Jul!AB3+Oct!AB3</f>
        <v>4468.8069831538296</v>
      </c>
    </row>
    <row r="11" spans="1:28" x14ac:dyDescent="0.2">
      <c r="A11">
        <f>Jan!A4</f>
        <v>1000</v>
      </c>
      <c r="B11">
        <f>Jan!B4</f>
        <v>5000</v>
      </c>
      <c r="C11">
        <f>Jan!C4</f>
        <v>0.76452271500000002</v>
      </c>
      <c r="D11" s="117">
        <f>Jan!D4+Apr!D4+Jul!D4+Oct!D4</f>
        <v>0</v>
      </c>
      <c r="E11" s="117">
        <f>Jan!E4+Apr!E4+Jul!E4+Oct!E4</f>
        <v>4852.4030037663597</v>
      </c>
      <c r="F11" s="117">
        <f>Jan!F4+Apr!F4+Jul!F4+Oct!F4</f>
        <v>4816.72524235949</v>
      </c>
      <c r="G11" s="117">
        <f>Jan!G4+Apr!G4+Jul!G4+Oct!G4</f>
        <v>4809.79519007415</v>
      </c>
      <c r="H11" s="117">
        <f>Jan!H4+Apr!H4+Jul!H4+Oct!H4</f>
        <v>4834.7524161869205</v>
      </c>
      <c r="I11" s="117">
        <f>Jan!I4+Apr!I4+Jul!I4+Oct!I4</f>
        <v>4862.2167675052096</v>
      </c>
      <c r="J11" s="117">
        <f>Jan!J4+Apr!J4+Jul!J4+Oct!J4</f>
        <v>4857.8326343367098</v>
      </c>
      <c r="K11" s="117">
        <f>Jan!K4+Apr!K4+Jul!K4+Oct!K4</f>
        <v>4825.9609888058503</v>
      </c>
      <c r="L11" s="117">
        <f>Jan!L4+Apr!L4+Jul!L4+Oct!L4</f>
        <v>4861.1846606026602</v>
      </c>
      <c r="M11" s="117">
        <f>Jan!M4+Apr!M4+Jul!M4+Oct!M4</f>
        <v>4850.4095498315801</v>
      </c>
      <c r="N11" s="117">
        <f>Jan!N4+Apr!N4+Jul!N4+Oct!N4</f>
        <v>4821.1019796761802</v>
      </c>
      <c r="O11" s="117">
        <f>Jan!O4+Apr!O4+Jul!O4+Oct!O4</f>
        <v>4826.3586930021502</v>
      </c>
      <c r="P11" s="117">
        <f>Jan!P4+Apr!P4+Jul!P4+Oct!P4</f>
        <v>4780.8550937770988</v>
      </c>
      <c r="Q11" s="117">
        <f>Jan!Q4+Apr!Q4+Jul!Q4+Oct!Q4</f>
        <v>4771.8885233247029</v>
      </c>
      <c r="R11" s="117">
        <f>Jan!R4+Apr!R4+Jul!R4+Oct!R4</f>
        <v>4827.1036421935596</v>
      </c>
      <c r="S11" s="117">
        <f>Jan!S4+Apr!S4+Jul!S4+Oct!S4</f>
        <v>4845.5757579068204</v>
      </c>
      <c r="T11" s="117">
        <f>Jan!T4+Apr!T4+Jul!T4+Oct!T4</f>
        <v>4841.3642201697294</v>
      </c>
      <c r="U11" s="117">
        <f>Jan!U4+Apr!U4+Jul!U4+Oct!U4</f>
        <v>4854.3018696299596</v>
      </c>
      <c r="V11" s="117">
        <f>Jan!V4+Apr!V4+Jul!V4+Oct!V4</f>
        <v>4907.4853666526997</v>
      </c>
      <c r="W11" s="117">
        <f>Jan!W4+Apr!W4+Jul!W4+Oct!W4</f>
        <v>4871.70529730003</v>
      </c>
      <c r="X11" s="117">
        <f>Jan!X4+Apr!X4+Jul!X4+Oct!X4</f>
        <v>4847.8965259640299</v>
      </c>
      <c r="Y11" s="117">
        <f>Jan!Y4+Apr!Y4+Jul!Y4+Oct!Y4</f>
        <v>4815.0691900801803</v>
      </c>
      <c r="Z11" s="117">
        <f>Jan!Z4+Apr!Z4+Jul!Z4+Oct!Z4</f>
        <v>4827.6887312115705</v>
      </c>
      <c r="AA11" s="117">
        <f>Jan!AA4+Apr!AA4+Jul!AA4+Oct!AA4</f>
        <v>4858.0617607382201</v>
      </c>
      <c r="AB11" s="117">
        <f>Jan!AB4+Apr!AB4+Jul!AB4+Oct!AB4</f>
        <v>4867.4513851009797</v>
      </c>
    </row>
    <row r="12" spans="1:28" x14ac:dyDescent="0.2">
      <c r="A12">
        <f>Jan!A5</f>
        <v>200</v>
      </c>
      <c r="B12">
        <f>Jan!B5</f>
        <v>1000</v>
      </c>
      <c r="C12">
        <f>Jan!C5</f>
        <v>0.86346094900000003</v>
      </c>
      <c r="D12" s="117">
        <f>Jan!D5+Apr!D5+Jul!D5+Oct!D5</f>
        <v>0</v>
      </c>
      <c r="E12" s="117">
        <f>Jan!E5+Apr!E5+Jul!E5+Oct!E5</f>
        <v>4315.394651052874</v>
      </c>
      <c r="F12" s="117">
        <f>Jan!F5+Apr!F5+Jul!F5+Oct!F5</f>
        <v>4242.8972955045356</v>
      </c>
      <c r="G12" s="117">
        <f>Jan!G5+Apr!G5+Jul!G5+Oct!G5</f>
        <v>4147.2397772603299</v>
      </c>
      <c r="H12" s="117">
        <f>Jan!H5+Apr!H5+Jul!H5+Oct!H5</f>
        <v>4214.6523936638368</v>
      </c>
      <c r="I12" s="117">
        <f>Jan!I5+Apr!I5+Jul!I5+Oct!I5</f>
        <v>4430.1120859194998</v>
      </c>
      <c r="J12" s="117">
        <f>Jan!J5+Apr!J5+Jul!J5+Oct!J5</f>
        <v>4884.4575100552302</v>
      </c>
      <c r="K12" s="117">
        <f>Jan!K5+Apr!K5+Jul!K5+Oct!K5</f>
        <v>5329.8753886213599</v>
      </c>
      <c r="L12" s="117">
        <f>Jan!L5+Apr!L5+Jul!L5+Oct!L5</f>
        <v>5747.06748979034</v>
      </c>
      <c r="M12" s="117">
        <f>Jan!M5+Apr!M5+Jul!M5+Oct!M5</f>
        <v>5076.4250205809331</v>
      </c>
      <c r="N12" s="117">
        <f>Jan!N5+Apr!N5+Jul!N5+Oct!N5</f>
        <v>4444.1444009682937</v>
      </c>
      <c r="O12" s="117">
        <f>Jan!O5+Apr!O5+Jul!O5+Oct!O5</f>
        <v>3800.3790880908446</v>
      </c>
      <c r="P12" s="117">
        <f>Jan!P5+Apr!P5+Jul!P5+Oct!P5</f>
        <v>3197.868855616824</v>
      </c>
      <c r="Q12" s="117">
        <f>Jan!Q5+Apr!Q5+Jul!Q5+Oct!Q5</f>
        <v>3274.4245090006539</v>
      </c>
      <c r="R12" s="117">
        <f>Jan!R5+Apr!R5+Jul!R5+Oct!R5</f>
        <v>3808.9946112103685</v>
      </c>
      <c r="S12" s="117">
        <f>Jan!S5+Apr!S5+Jul!S5+Oct!S5</f>
        <v>4056.7943463322217</v>
      </c>
      <c r="T12" s="117">
        <f>Jan!T5+Apr!T5+Jul!T5+Oct!T5</f>
        <v>4106.4272893070629</v>
      </c>
      <c r="U12" s="117">
        <f>Jan!U5+Apr!U5+Jul!U5+Oct!U5</f>
        <v>5002.1164473741501</v>
      </c>
      <c r="V12" s="117">
        <f>Jan!V5+Apr!V5+Jul!V5+Oct!V5</f>
        <v>6027.415670001139</v>
      </c>
      <c r="W12" s="117">
        <f>Jan!W5+Apr!W5+Jul!W5+Oct!W5</f>
        <v>5706.6590277985306</v>
      </c>
      <c r="X12" s="117">
        <f>Jan!X5+Apr!X5+Jul!X5+Oct!X5</f>
        <v>5507.3560892017604</v>
      </c>
      <c r="Y12" s="117">
        <f>Jan!Y5+Apr!Y5+Jul!Y5+Oct!Y5</f>
        <v>5294.4293812898904</v>
      </c>
      <c r="Z12" s="117">
        <f>Jan!Z5+Apr!Z5+Jul!Z5+Oct!Z5</f>
        <v>5068.4035484335</v>
      </c>
      <c r="AA12" s="117">
        <f>Jan!AA5+Apr!AA5+Jul!AA5+Oct!AA5</f>
        <v>4683.8448732449997</v>
      </c>
      <c r="AB12" s="117">
        <f>Jan!AB5+Apr!AB5+Jul!AB5+Oct!AB5</f>
        <v>4410.4239033029107</v>
      </c>
    </row>
    <row r="13" spans="1:28" x14ac:dyDescent="0.2">
      <c r="A13">
        <f>Jan!A6</f>
        <v>1000</v>
      </c>
      <c r="B13">
        <f>Jan!B6</f>
        <v>1000</v>
      </c>
      <c r="C13">
        <f>Jan!C6</f>
        <v>0.86346094900000003</v>
      </c>
      <c r="D13" s="117">
        <f>Jan!D6+Apr!D6+Jul!D6+Oct!D6</f>
        <v>0</v>
      </c>
      <c r="E13" s="117">
        <f>Jan!E6+Apr!E6+Jul!E6+Oct!E6</f>
        <v>4273.5388268099441</v>
      </c>
      <c r="F13" s="117">
        <f>Jan!F6+Apr!F6+Jul!F6+Oct!F6</f>
        <v>4252.3403383136756</v>
      </c>
      <c r="G13" s="117">
        <f>Jan!G6+Apr!G6+Jul!G6+Oct!G6</f>
        <v>4156.7262684256193</v>
      </c>
      <c r="H13" s="117">
        <f>Jan!H6+Apr!H6+Jul!H6+Oct!H6</f>
        <v>4224.136196381397</v>
      </c>
      <c r="I13" s="117">
        <f>Jan!I6+Apr!I6+Jul!I6+Oct!I6</f>
        <v>4388.41249167346</v>
      </c>
      <c r="J13" s="117">
        <f>Jan!J6+Apr!J6+Jul!J6+Oct!J6</f>
        <v>4884.4560666580901</v>
      </c>
      <c r="K13" s="117">
        <f>Jan!K6+Apr!K6+Jul!K6+Oct!K6</f>
        <v>5454.83278950765</v>
      </c>
      <c r="L13" s="117">
        <f>Jan!L6+Apr!L6+Jul!L6+Oct!L6</f>
        <v>5626.5509262442001</v>
      </c>
      <c r="M13" s="117">
        <f>Jan!M6+Apr!M6+Jul!M6+Oct!M6</f>
        <v>5040.0510976139594</v>
      </c>
      <c r="N13" s="117">
        <f>Jan!N6+Apr!N6+Jul!N6+Oct!N6</f>
        <v>4407.8916081623984</v>
      </c>
      <c r="O13" s="117">
        <f>Jan!O6+Apr!O6+Jul!O6+Oct!O6</f>
        <v>3683.0638185195071</v>
      </c>
      <c r="P13" s="117">
        <f>Jan!P6+Apr!P6+Jul!P6+Oct!P6</f>
        <v>3427.5860832530475</v>
      </c>
      <c r="Q13" s="117">
        <f>Jan!Q6+Apr!Q6+Jul!Q6+Oct!Q6</f>
        <v>3435.0525363755496</v>
      </c>
      <c r="R13" s="117">
        <f>Jan!R6+Apr!R6+Jul!R6+Oct!R6</f>
        <v>3960.903713281054</v>
      </c>
      <c r="S13" s="117">
        <f>Jan!S6+Apr!S6+Jul!S6+Oct!S6</f>
        <v>3986.2249231826445</v>
      </c>
      <c r="T13" s="117">
        <f>Jan!T6+Apr!T6+Jul!T6+Oct!T6</f>
        <v>4014.0691908063282</v>
      </c>
      <c r="U13" s="117">
        <f>Jan!U6+Apr!U6+Jul!U6+Oct!U6</f>
        <v>5077.57838645431</v>
      </c>
      <c r="V13" s="117">
        <f>Jan!V6+Apr!V6+Jul!V6+Oct!V6</f>
        <v>5714.867032524251</v>
      </c>
      <c r="W13" s="117">
        <f>Jan!W6+Apr!W6+Jul!W6+Oct!W6</f>
        <v>5658.0510956919998</v>
      </c>
      <c r="X13" s="117">
        <f>Jan!X6+Apr!X6+Jul!X6+Oct!X6</f>
        <v>5573.7725950536897</v>
      </c>
      <c r="Y13" s="117">
        <f>Jan!Y6+Apr!Y6+Jul!Y6+Oct!Y6</f>
        <v>5436.0961397359897</v>
      </c>
      <c r="Z13" s="117">
        <f>Jan!Z6+Apr!Z6+Jul!Z6+Oct!Z6</f>
        <v>5151.2195609750797</v>
      </c>
      <c r="AA13" s="117">
        <f>Jan!AA6+Apr!AA6+Jul!AA6+Oct!AA6</f>
        <v>4637.6525828543199</v>
      </c>
      <c r="AB13" s="117">
        <f>Jan!AB6+Apr!AB6+Jul!AB6+Oct!AB6</f>
        <v>4368.1810040227901</v>
      </c>
    </row>
    <row r="14" spans="1:28" x14ac:dyDescent="0.2">
      <c r="A14">
        <f>Jan!A7</f>
        <v>1000</v>
      </c>
      <c r="B14">
        <f>Jan!B7</f>
        <v>5000</v>
      </c>
      <c r="C14">
        <f>Jan!C7</f>
        <v>0.86346094900000003</v>
      </c>
      <c r="D14" s="117">
        <f>Jan!D7+Apr!D7+Jul!D7+Oct!D7</f>
        <v>0</v>
      </c>
      <c r="E14" s="117">
        <f>Jan!E7+Apr!E7+Jul!E7+Oct!E7</f>
        <v>4630.8856149488693</v>
      </c>
      <c r="F14" s="117">
        <f>Jan!F7+Apr!F7+Jul!F7+Oct!F7</f>
        <v>4641.8726745090516</v>
      </c>
      <c r="G14" s="117">
        <f>Jan!G7+Apr!G7+Jul!G7+Oct!G7</f>
        <v>4612.8414444544887</v>
      </c>
      <c r="H14" s="117">
        <f>Jan!H7+Apr!H7+Jul!H7+Oct!H7</f>
        <v>4630.776387856753</v>
      </c>
      <c r="I14" s="117">
        <f>Jan!I7+Apr!I7+Jul!I7+Oct!I7</f>
        <v>4628.4375558146057</v>
      </c>
      <c r="J14" s="117">
        <f>Jan!J7+Apr!J7+Jul!J7+Oct!J7</f>
        <v>4615.8200967332723</v>
      </c>
      <c r="K14" s="117">
        <f>Jan!K7+Apr!K7+Jul!K7+Oct!K7</f>
        <v>4593.1995202695107</v>
      </c>
      <c r="L14" s="117">
        <f>Jan!L7+Apr!L7+Jul!L7+Oct!L7</f>
        <v>4640.7218674767619</v>
      </c>
      <c r="M14" s="117">
        <f>Jan!M7+Apr!M7+Jul!M7+Oct!M7</f>
        <v>4631.2460562312845</v>
      </c>
      <c r="N14" s="117">
        <f>Jan!N7+Apr!N7+Jul!N7+Oct!N7</f>
        <v>4622.1437034766841</v>
      </c>
      <c r="O14" s="117">
        <f>Jan!O7+Apr!O7+Jul!O7+Oct!O7</f>
        <v>4620.6216655369471</v>
      </c>
      <c r="P14" s="117">
        <f>Jan!P7+Apr!P7+Jul!P7+Oct!P7</f>
        <v>4506.6131482351811</v>
      </c>
      <c r="Q14" s="117">
        <f>Jan!Q7+Apr!Q7+Jul!Q7+Oct!Q7</f>
        <v>4504.3286622063933</v>
      </c>
      <c r="R14" s="117">
        <f>Jan!R7+Apr!R7+Jul!R7+Oct!R7</f>
        <v>4610.4620245431215</v>
      </c>
      <c r="S14" s="117">
        <f>Jan!S7+Apr!S7+Jul!S7+Oct!S7</f>
        <v>4632.3870525756593</v>
      </c>
      <c r="T14" s="117">
        <f>Jan!T7+Apr!T7+Jul!T7+Oct!T7</f>
        <v>4623.179176612528</v>
      </c>
      <c r="U14" s="117">
        <f>Jan!U7+Apr!U7+Jul!U7+Oct!U7</f>
        <v>4620.0371041373783</v>
      </c>
      <c r="V14" s="117">
        <f>Jan!V7+Apr!V7+Jul!V7+Oct!V7</f>
        <v>4656.0587393554042</v>
      </c>
      <c r="W14" s="117">
        <f>Jan!W7+Apr!W7+Jul!W7+Oct!W7</f>
        <v>4651.7118184484407</v>
      </c>
      <c r="X14" s="117">
        <f>Jan!X7+Apr!X7+Jul!X7+Oct!X7</f>
        <v>4608.7277488104783</v>
      </c>
      <c r="Y14" s="117">
        <f>Jan!Y7+Apr!Y7+Jul!Y7+Oct!Y7</f>
        <v>4579.7931612455741</v>
      </c>
      <c r="Z14" s="117">
        <f>Jan!Z7+Apr!Z7+Jul!Z7+Oct!Z7</f>
        <v>4605.3718203862682</v>
      </c>
      <c r="AA14" s="117">
        <f>Jan!AA7+Apr!AA7+Jul!AA7+Oct!AA7</f>
        <v>4626.5986438226919</v>
      </c>
      <c r="AB14" s="117">
        <f>Jan!AB7+Apr!AB7+Jul!AB7+Oct!AB7</f>
        <v>4638.7129802570462</v>
      </c>
    </row>
    <row r="15" spans="1:28" x14ac:dyDescent="0.2">
      <c r="A15">
        <f>Jan!A8</f>
        <v>200</v>
      </c>
      <c r="B15">
        <f>Jan!B8</f>
        <v>1000</v>
      </c>
      <c r="C15">
        <f>Jan!C8</f>
        <v>1.0883205709999999</v>
      </c>
      <c r="D15" s="117">
        <f>Jan!D8+Apr!D8+Jul!D8+Oct!D8</f>
        <v>-31.204312936773999</v>
      </c>
      <c r="E15" s="117">
        <f>Jan!E8+Apr!E8+Jul!E8+Oct!E8</f>
        <v>4127.4271963589035</v>
      </c>
      <c r="F15" s="117">
        <f>Jan!F8+Apr!F8+Jul!F8+Oct!F8</f>
        <v>4022.5943181763951</v>
      </c>
      <c r="G15" s="117">
        <f>Jan!G8+Apr!G8+Jul!G8+Oct!G8</f>
        <v>3962.07334519392</v>
      </c>
      <c r="H15" s="117">
        <f>Jan!H8+Apr!H8+Jul!H8+Oct!H8</f>
        <v>4009.0342913334871</v>
      </c>
      <c r="I15" s="117">
        <f>Jan!I8+Apr!I8+Jul!I8+Oct!I8</f>
        <v>4267.2742355104601</v>
      </c>
      <c r="J15" s="117">
        <f>Jan!J8+Apr!J8+Jul!J8+Oct!J8</f>
        <v>4849.4113547766301</v>
      </c>
      <c r="K15" s="117">
        <f>Jan!K8+Apr!K8+Jul!K8+Oct!K8</f>
        <v>5188.7125888737801</v>
      </c>
      <c r="L15" s="117">
        <f>Jan!L8+Apr!L8+Jul!L8+Oct!L8</f>
        <v>5584.3461356366097</v>
      </c>
      <c r="M15" s="117">
        <f>Jan!M8+Apr!M8+Jul!M8+Oct!M8</f>
        <v>4629.4958496151949</v>
      </c>
      <c r="N15" s="117">
        <f>Jan!N8+Apr!N8+Jul!N8+Oct!N8</f>
        <v>3734.7048858815751</v>
      </c>
      <c r="O15" s="117">
        <f>Jan!O8+Apr!O8+Jul!O8+Oct!O8</f>
        <v>2398.8309957229312</v>
      </c>
      <c r="P15" s="117">
        <f>Jan!P8+Apr!P8+Jul!P8+Oct!P8</f>
        <v>1465.5211216409557</v>
      </c>
      <c r="Q15" s="117">
        <f>Jan!Q8+Apr!Q8+Jul!Q8+Oct!Q8</f>
        <v>1786.271538393913</v>
      </c>
      <c r="R15" s="117">
        <f>Jan!R8+Apr!R8+Jul!R8+Oct!R8</f>
        <v>2269.1544393121485</v>
      </c>
      <c r="S15" s="117">
        <f>Jan!S8+Apr!S8+Jul!S8+Oct!S8</f>
        <v>2897.5183497273802</v>
      </c>
      <c r="T15" s="117">
        <f>Jan!T8+Apr!T8+Jul!T8+Oct!T8</f>
        <v>3024.9139040336286</v>
      </c>
      <c r="U15" s="117">
        <f>Jan!U8+Apr!U8+Jul!U8+Oct!U8</f>
        <v>4346.6373065770395</v>
      </c>
      <c r="V15" s="117">
        <f>Jan!V8+Apr!V8+Jul!V8+Oct!V8</f>
        <v>5867.9741187183799</v>
      </c>
      <c r="W15" s="117">
        <f>Jan!W8+Apr!W8+Jul!W8+Oct!W8</f>
        <v>5677.2444615509703</v>
      </c>
      <c r="X15" s="117">
        <f>Jan!X8+Apr!X8+Jul!X8+Oct!X8</f>
        <v>5441.8897699159397</v>
      </c>
      <c r="Y15" s="117">
        <f>Jan!Y8+Apr!Y8+Jul!Y8+Oct!Y8</f>
        <v>5259.6521572794099</v>
      </c>
      <c r="Z15" s="117">
        <f>Jan!Z8+Apr!Z8+Jul!Z8+Oct!Z8</f>
        <v>5073.9453245065097</v>
      </c>
      <c r="AA15" s="117">
        <f>Jan!AA8+Apr!AA8+Jul!AA8+Oct!AA8</f>
        <v>4651.7157253224004</v>
      </c>
      <c r="AB15" s="117">
        <f>Jan!AB8+Apr!AB8+Jul!AB8+Oct!AB8</f>
        <v>4324.39950770836</v>
      </c>
    </row>
    <row r="16" spans="1:28" x14ac:dyDescent="0.2">
      <c r="A16">
        <f>Jan!A9</f>
        <v>1000</v>
      </c>
      <c r="B16">
        <f>Jan!B9</f>
        <v>1000</v>
      </c>
      <c r="C16">
        <f>Jan!C9</f>
        <v>1.0883205709999999</v>
      </c>
      <c r="D16" s="117">
        <f>Jan!D9+Apr!D9+Jul!D9+Oct!D9</f>
        <v>0</v>
      </c>
      <c r="E16" s="117">
        <f>Jan!E9+Apr!E9+Jul!E9+Oct!E9</f>
        <v>4062.3775731905339</v>
      </c>
      <c r="F16" s="117">
        <f>Jan!F9+Apr!F9+Jul!F9+Oct!F9</f>
        <v>3944.62613860089</v>
      </c>
      <c r="G16" s="117">
        <f>Jan!G9+Apr!G9+Jul!G9+Oct!G9</f>
        <v>3849.3378099015731</v>
      </c>
      <c r="H16" s="117">
        <f>Jan!H9+Apr!H9+Jul!H9+Oct!H9</f>
        <v>3916.7791850627709</v>
      </c>
      <c r="I16" s="117">
        <f>Jan!I9+Apr!I9+Jul!I9+Oct!I9</f>
        <v>4202.7109305191098</v>
      </c>
      <c r="J16" s="117">
        <f>Jan!J9+Apr!J9+Jul!J9+Oct!J9</f>
        <v>4884.1380968623598</v>
      </c>
      <c r="K16" s="117">
        <f>Jan!K9+Apr!K9+Jul!K9+Oct!K9</f>
        <v>5361.4521426732699</v>
      </c>
      <c r="L16" s="117">
        <f>Jan!L9+Apr!L9+Jul!L9+Oct!L9</f>
        <v>5558.3933381010293</v>
      </c>
      <c r="M16" s="117">
        <f>Jan!M9+Apr!M9+Jul!M9+Oct!M9</f>
        <v>4591.0970818528658</v>
      </c>
      <c r="N16" s="117">
        <f>Jan!N9+Apr!N9+Jul!N9+Oct!N9</f>
        <v>3536.6680648024608</v>
      </c>
      <c r="O16" s="117">
        <f>Jan!O9+Apr!O9+Jul!O9+Oct!O9</f>
        <v>2294.965074559871</v>
      </c>
      <c r="P16" s="117">
        <f>Jan!P9+Apr!P9+Jul!P9+Oct!P9</f>
        <v>2090.9279310886691</v>
      </c>
      <c r="Q16" s="117">
        <f>Jan!Q9+Apr!Q9+Jul!Q9+Oct!Q9</f>
        <v>2028.8052954609107</v>
      </c>
      <c r="R16" s="117">
        <f>Jan!R9+Apr!R9+Jul!R9+Oct!R9</f>
        <v>2471.3607707751853</v>
      </c>
      <c r="S16" s="117">
        <f>Jan!S9+Apr!S9+Jul!S9+Oct!S9</f>
        <v>2672.1904681341512</v>
      </c>
      <c r="T16" s="117">
        <f>Jan!T9+Apr!T9+Jul!T9+Oct!T9</f>
        <v>2760.8067022576829</v>
      </c>
      <c r="U16" s="117">
        <f>Jan!U9+Apr!U9+Jul!U9+Oct!U9</f>
        <v>4397.8369341928901</v>
      </c>
      <c r="V16" s="117">
        <f>Jan!V9+Apr!V9+Jul!V9+Oct!V9</f>
        <v>5606.8233458657205</v>
      </c>
      <c r="W16" s="117">
        <f>Jan!W9+Apr!W9+Jul!W9+Oct!W9</f>
        <v>5629.36478010883</v>
      </c>
      <c r="X16" s="117">
        <f>Jan!X9+Apr!X9+Jul!X9+Oct!X9</f>
        <v>5530.1331270355404</v>
      </c>
      <c r="Y16" s="117">
        <f>Jan!Y9+Apr!Y9+Jul!Y9+Oct!Y9</f>
        <v>5409.2427415679103</v>
      </c>
      <c r="Z16" s="117">
        <f>Jan!Z9+Apr!Z9+Jul!Z9+Oct!Z9</f>
        <v>5114.4819608274101</v>
      </c>
      <c r="AA16" s="117">
        <f>Jan!AA9+Apr!AA9+Jul!AA9+Oct!AA9</f>
        <v>4637.6515260388696</v>
      </c>
      <c r="AB16" s="117">
        <f>Jan!AB9+Apr!AB9+Jul!AB9+Oct!AB9</f>
        <v>4259.3228181955801</v>
      </c>
    </row>
    <row r="17" spans="1:28" x14ac:dyDescent="0.2">
      <c r="A17">
        <f>Jan!A10</f>
        <v>1000</v>
      </c>
      <c r="B17">
        <f>Jan!B10</f>
        <v>5000</v>
      </c>
      <c r="C17">
        <f>Jan!C10</f>
        <v>1.0883205709999999</v>
      </c>
      <c r="D17" s="117">
        <f>Jan!D10+Apr!D10+Jul!D10+Oct!D10</f>
        <v>0</v>
      </c>
      <c r="E17" s="117">
        <f>Jan!E10+Apr!E10+Jul!E10+Oct!E10</f>
        <v>4139.9664306072254</v>
      </c>
      <c r="F17" s="117">
        <f>Jan!F10+Apr!F10+Jul!F10+Oct!F10</f>
        <v>4137.3982987395775</v>
      </c>
      <c r="G17" s="117">
        <f>Jan!G10+Apr!G10+Jul!G10+Oct!G10</f>
        <v>4158.8024215858095</v>
      </c>
      <c r="H17" s="117">
        <f>Jan!H10+Apr!H10+Jul!H10+Oct!H10</f>
        <v>4138.8019931973658</v>
      </c>
      <c r="I17" s="117">
        <f>Jan!I10+Apr!I10+Jul!I10+Oct!I10</f>
        <v>4143.3525437247299</v>
      </c>
      <c r="J17" s="117">
        <f>Jan!J10+Apr!J10+Jul!J10+Oct!J10</f>
        <v>4103.7690226822597</v>
      </c>
      <c r="K17" s="117">
        <f>Jan!K10+Apr!K10+Jul!K10+Oct!K10</f>
        <v>4116.614166083109</v>
      </c>
      <c r="L17" s="117">
        <f>Jan!L10+Apr!L10+Jul!L10+Oct!L10</f>
        <v>4163.9825661137847</v>
      </c>
      <c r="M17" s="117">
        <f>Jan!M10+Apr!M10+Jul!M10+Oct!M10</f>
        <v>4084.8777125237257</v>
      </c>
      <c r="N17" s="117">
        <f>Jan!N10+Apr!N10+Jul!N10+Oct!N10</f>
        <v>4089.6575993567631</v>
      </c>
      <c r="O17" s="117">
        <f>Jan!O10+Apr!O10+Jul!O10+Oct!O10</f>
        <v>4034.4496953533817</v>
      </c>
      <c r="P17" s="117">
        <f>Jan!P10+Apr!P10+Jul!P10+Oct!P10</f>
        <v>3911.5762016891299</v>
      </c>
      <c r="Q17" s="117">
        <f>Jan!Q10+Apr!Q10+Jul!Q10+Oct!Q10</f>
        <v>3863.9688648225601</v>
      </c>
      <c r="R17" s="117">
        <f>Jan!R10+Apr!R10+Jul!R10+Oct!R10</f>
        <v>4026.846902812229</v>
      </c>
      <c r="S17" s="117">
        <f>Jan!S10+Apr!S10+Jul!S10+Oct!S10</f>
        <v>4046.9065913470699</v>
      </c>
      <c r="T17" s="117">
        <f>Jan!T10+Apr!T10+Jul!T10+Oct!T10</f>
        <v>4057.1731999468393</v>
      </c>
      <c r="U17" s="117">
        <f>Jan!U10+Apr!U10+Jul!U10+Oct!U10</f>
        <v>4098.9896105255648</v>
      </c>
      <c r="V17" s="117">
        <f>Jan!V10+Apr!V10+Jul!V10+Oct!V10</f>
        <v>4144.3148791604926</v>
      </c>
      <c r="W17" s="117">
        <f>Jan!W10+Apr!W10+Jul!W10+Oct!W10</f>
        <v>4218.3694382663653</v>
      </c>
      <c r="X17" s="117">
        <f>Jan!X10+Apr!X10+Jul!X10+Oct!X10</f>
        <v>4164.2765807706037</v>
      </c>
      <c r="Y17" s="117">
        <f>Jan!Y10+Apr!Y10+Jul!Y10+Oct!Y10</f>
        <v>4096.9483344268247</v>
      </c>
      <c r="Z17" s="117">
        <f>Jan!Z10+Apr!Z10+Jul!Z10+Oct!Z10</f>
        <v>4091.7852087452684</v>
      </c>
      <c r="AA17" s="117">
        <f>Jan!AA10+Apr!AA10+Jul!AA10+Oct!AA10</f>
        <v>4120.8251025295722</v>
      </c>
      <c r="AB17" s="117">
        <f>Jan!AB10+Apr!AB10+Jul!AB10+Oct!AB10</f>
        <v>4130.9190591888628</v>
      </c>
    </row>
    <row r="18" spans="1:28" x14ac:dyDescent="0.2">
      <c r="A18">
        <f>Jan!A11</f>
        <v>200</v>
      </c>
      <c r="B18">
        <f>Jan!B11</f>
        <v>1000</v>
      </c>
      <c r="C18">
        <f>Jan!C11</f>
        <v>1.1063093399999999</v>
      </c>
      <c r="D18" s="117">
        <f>Jan!D11+Apr!D11+Jul!D11+Oct!D11</f>
        <v>-94.214056869336304</v>
      </c>
      <c r="E18" s="117">
        <f>Jan!E11+Apr!E11+Jul!E11+Oct!E11</f>
        <v>4139.9650898672335</v>
      </c>
      <c r="F18" s="117">
        <f>Jan!F11+Apr!F11+Jul!F11+Oct!F11</f>
        <v>4022.3115761663948</v>
      </c>
      <c r="G18" s="117">
        <f>Jan!G11+Apr!G11+Jul!G11+Oct!G11</f>
        <v>3941.28299724421</v>
      </c>
      <c r="H18" s="117">
        <f>Jan!H11+Apr!H11+Jul!H11+Oct!H11</f>
        <v>4008.7454187596468</v>
      </c>
      <c r="I18" s="117">
        <f>Jan!I11+Apr!I11+Jul!I11+Oct!I11</f>
        <v>4279.8988037195795</v>
      </c>
      <c r="J18" s="117">
        <f>Jan!J11+Apr!J11+Jul!J11+Oct!J11</f>
        <v>4849.4118916923198</v>
      </c>
      <c r="K18" s="117">
        <f>Jan!K11+Apr!K11+Jul!K11+Oct!K11</f>
        <v>5185.8771273175598</v>
      </c>
      <c r="L18" s="117">
        <f>Jan!L11+Apr!L11+Jul!L11+Oct!L11</f>
        <v>5551.8944705235199</v>
      </c>
      <c r="M18" s="117">
        <f>Jan!M11+Apr!M11+Jul!M11+Oct!M11</f>
        <v>4601.106716893114</v>
      </c>
      <c r="N18" s="117">
        <f>Jan!N11+Apr!N11+Jul!N11+Oct!N11</f>
        <v>3657.7390864453992</v>
      </c>
      <c r="O18" s="117">
        <f>Jan!O11+Apr!O11+Jul!O11+Oct!O11</f>
        <v>2284.179470553986</v>
      </c>
      <c r="P18" s="117">
        <f>Jan!P11+Apr!P11+Jul!P11+Oct!P11</f>
        <v>1339.9057553149485</v>
      </c>
      <c r="Q18" s="117">
        <f>Jan!Q11+Apr!Q11+Jul!Q11+Oct!Q11</f>
        <v>1664.8326022334684</v>
      </c>
      <c r="R18" s="117">
        <f>Jan!R11+Apr!R11+Jul!R11+Oct!R11</f>
        <v>2144.8714401395691</v>
      </c>
      <c r="S18" s="117">
        <f>Jan!S11+Apr!S11+Jul!S11+Oct!S11</f>
        <v>2791.5641567644743</v>
      </c>
      <c r="T18" s="117">
        <f>Jan!T11+Apr!T11+Jul!T11+Oct!T11</f>
        <v>2934.9935865366324</v>
      </c>
      <c r="U18" s="117">
        <f>Jan!U11+Apr!U11+Jul!U11+Oct!U11</f>
        <v>4288.1529773724551</v>
      </c>
      <c r="V18" s="117">
        <f>Jan!V11+Apr!V11+Jul!V11+Oct!V11</f>
        <v>5849.7275063618599</v>
      </c>
      <c r="W18" s="117">
        <f>Jan!W11+Apr!W11+Jul!W11+Oct!W11</f>
        <v>5651.76536860325</v>
      </c>
      <c r="X18" s="117">
        <f>Jan!X11+Apr!X11+Jul!X11+Oct!X11</f>
        <v>5454.9389125918296</v>
      </c>
      <c r="Y18" s="117">
        <f>Jan!Y11+Apr!Y11+Jul!Y11+Oct!Y11</f>
        <v>5273.4562476215897</v>
      </c>
      <c r="Z18" s="117">
        <f>Jan!Z11+Apr!Z11+Jul!Z11+Oct!Z11</f>
        <v>5073.9462607954192</v>
      </c>
      <c r="AA18" s="117">
        <f>Jan!AA11+Apr!AA11+Jul!AA11+Oct!AA11</f>
        <v>4630.9245371114903</v>
      </c>
      <c r="AB18" s="117">
        <f>Jan!AB11+Apr!AB11+Jul!AB11+Oct!AB11</f>
        <v>4338.6439575448303</v>
      </c>
    </row>
    <row r="19" spans="1:28" x14ac:dyDescent="0.2">
      <c r="A19">
        <f>Jan!A12</f>
        <v>1000</v>
      </c>
      <c r="B19">
        <f>Jan!B12</f>
        <v>1000</v>
      </c>
      <c r="C19">
        <f>Jan!C12</f>
        <v>1.1063093399999999</v>
      </c>
      <c r="D19" s="117">
        <f>Jan!D12+Apr!D12+Jul!D12+Oct!D12</f>
        <v>0</v>
      </c>
      <c r="E19" s="117">
        <f>Jan!E12+Apr!E12+Jul!E12+Oct!E12</f>
        <v>4062.3775731905339</v>
      </c>
      <c r="F19" s="117">
        <f>Jan!F12+Apr!F12+Jul!F12+Oct!F12</f>
        <v>3944.62613860089</v>
      </c>
      <c r="G19" s="117">
        <f>Jan!G12+Apr!G12+Jul!G12+Oct!G12</f>
        <v>3849.3378099015731</v>
      </c>
      <c r="H19" s="117">
        <f>Jan!H12+Apr!H12+Jul!H12+Oct!H12</f>
        <v>3916.7791850627709</v>
      </c>
      <c r="I19" s="117">
        <f>Jan!I12+Apr!I12+Jul!I12+Oct!I12</f>
        <v>4202.7109305191098</v>
      </c>
      <c r="J19" s="117">
        <f>Jan!J12+Apr!J12+Jul!J12+Oct!J12</f>
        <v>4884.1380968623598</v>
      </c>
      <c r="K19" s="117">
        <f>Jan!K12+Apr!K12+Jul!K12+Oct!K12</f>
        <v>5358.6171721586597</v>
      </c>
      <c r="L19" s="117">
        <f>Jan!L12+Apr!L12+Jul!L12+Oct!L12</f>
        <v>5478.3237830151602</v>
      </c>
      <c r="M19" s="117">
        <f>Jan!M12+Apr!M12+Jul!M12+Oct!M12</f>
        <v>4561.813103860035</v>
      </c>
      <c r="N19" s="117">
        <f>Jan!N12+Apr!N12+Jul!N12+Oct!N12</f>
        <v>3462.7655296018002</v>
      </c>
      <c r="O19" s="117">
        <f>Jan!O12+Apr!O12+Jul!O12+Oct!O12</f>
        <v>2188.368990718453</v>
      </c>
      <c r="P19" s="117">
        <f>Jan!P12+Apr!P12+Jul!P12+Oct!P12</f>
        <v>1958.9079363203236</v>
      </c>
      <c r="Q19" s="117">
        <f>Jan!Q12+Apr!Q12+Jul!Q12+Oct!Q12</f>
        <v>1900.3748705301323</v>
      </c>
      <c r="R19" s="117">
        <f>Jan!R12+Apr!R12+Jul!R12+Oct!R12</f>
        <v>2351.245169235196</v>
      </c>
      <c r="S19" s="117">
        <f>Jan!S12+Apr!S12+Jul!S12+Oct!S12</f>
        <v>2563.982193531614</v>
      </c>
      <c r="T19" s="117">
        <f>Jan!T12+Apr!T12+Jul!T12+Oct!T12</f>
        <v>2668.305748822941</v>
      </c>
      <c r="U19" s="117">
        <f>Jan!U12+Apr!U12+Jul!U12+Oct!U12</f>
        <v>4341.0302332025249</v>
      </c>
      <c r="V19" s="117">
        <f>Jan!V12+Apr!V12+Jul!V12+Oct!V12</f>
        <v>5622.8553930299804</v>
      </c>
      <c r="W19" s="117">
        <f>Jan!W12+Apr!W12+Jul!W12+Oct!W12</f>
        <v>5607.3311614349204</v>
      </c>
      <c r="X19" s="117">
        <f>Jan!X12+Apr!X12+Jul!X12+Oct!X12</f>
        <v>5546.6192783475399</v>
      </c>
      <c r="Y19" s="117">
        <f>Jan!Y12+Apr!Y12+Jul!Y12+Oct!Y12</f>
        <v>5426.4842346160804</v>
      </c>
      <c r="Z19" s="117">
        <f>Jan!Z12+Apr!Z12+Jul!Z12+Oct!Z12</f>
        <v>5114.48313393423</v>
      </c>
      <c r="AA19" s="117">
        <f>Jan!AA12+Apr!AA12+Jul!AA12+Oct!AA12</f>
        <v>4637.6515262438406</v>
      </c>
      <c r="AB19" s="117">
        <f>Jan!AB12+Apr!AB12+Jul!AB12+Oct!AB12</f>
        <v>4259.3228181955801</v>
      </c>
    </row>
    <row r="20" spans="1:28" x14ac:dyDescent="0.2">
      <c r="A20">
        <f>Jan!A13</f>
        <v>1000</v>
      </c>
      <c r="B20">
        <f>Jan!B13</f>
        <v>5000</v>
      </c>
      <c r="C20">
        <f>Jan!C13</f>
        <v>1.1063093399999999</v>
      </c>
      <c r="D20" s="117">
        <f>Jan!D13+Apr!D13+Jul!D13+Oct!D13</f>
        <v>0</v>
      </c>
      <c r="E20" s="117">
        <f>Jan!E13+Apr!E13+Jul!E13+Oct!E13</f>
        <v>4110.3913124147248</v>
      </c>
      <c r="F20" s="117">
        <f>Jan!F13+Apr!F13+Jul!F13+Oct!F13</f>
        <v>4115.9839944677997</v>
      </c>
      <c r="G20" s="117">
        <f>Jan!G13+Apr!G13+Jul!G13+Oct!G13</f>
        <v>4118.001480694239</v>
      </c>
      <c r="H20" s="117">
        <f>Jan!H13+Apr!H13+Jul!H13+Oct!H13</f>
        <v>4115.2359016048576</v>
      </c>
      <c r="I20" s="117">
        <f>Jan!I13+Apr!I13+Jul!I13+Oct!I13</f>
        <v>4114.6349613208195</v>
      </c>
      <c r="J20" s="117">
        <f>Jan!J13+Apr!J13+Jul!J13+Oct!J13</f>
        <v>4087.3398475474537</v>
      </c>
      <c r="K20" s="117">
        <f>Jan!K13+Apr!K13+Jul!K13+Oct!K13</f>
        <v>4090.1821931318991</v>
      </c>
      <c r="L20" s="117">
        <f>Jan!L13+Apr!L13+Jul!L13+Oct!L13</f>
        <v>4088.0968375008088</v>
      </c>
      <c r="M20" s="117">
        <f>Jan!M13+Apr!M13+Jul!M13+Oct!M13</f>
        <v>3997.9825841872962</v>
      </c>
      <c r="N20" s="117">
        <f>Jan!N13+Apr!N13+Jul!N13+Oct!N13</f>
        <v>4012.4199314429002</v>
      </c>
      <c r="O20" s="117">
        <f>Jan!O13+Apr!O13+Jul!O13+Oct!O13</f>
        <v>3996.6314829111161</v>
      </c>
      <c r="P20" s="117">
        <f>Jan!P13+Apr!P13+Jul!P13+Oct!P13</f>
        <v>3888.8795526969261</v>
      </c>
      <c r="Q20" s="117">
        <f>Jan!Q13+Apr!Q13+Jul!Q13+Oct!Q13</f>
        <v>3834.3613990793492</v>
      </c>
      <c r="R20" s="117">
        <f>Jan!R13+Apr!R13+Jul!R13+Oct!R13</f>
        <v>3991.3447519983865</v>
      </c>
      <c r="S20" s="117">
        <f>Jan!S13+Apr!S13+Jul!S13+Oct!S13</f>
        <v>4005.5643337182355</v>
      </c>
      <c r="T20" s="117">
        <f>Jan!T13+Apr!T13+Jul!T13+Oct!T13</f>
        <v>4034.2636035617825</v>
      </c>
      <c r="U20" s="117">
        <f>Jan!U13+Apr!U13+Jul!U13+Oct!U13</f>
        <v>4054.020564777948</v>
      </c>
      <c r="V20" s="117">
        <f>Jan!V13+Apr!V13+Jul!V13+Oct!V13</f>
        <v>4115.4598200734799</v>
      </c>
      <c r="W20" s="117">
        <f>Jan!W13+Apr!W13+Jul!W13+Oct!W13</f>
        <v>4168.2872824868364</v>
      </c>
      <c r="X20" s="117">
        <f>Jan!X13+Apr!X13+Jul!X13+Oct!X13</f>
        <v>4142.9551983667243</v>
      </c>
      <c r="Y20" s="117">
        <f>Jan!Y13+Apr!Y13+Jul!Y13+Oct!Y13</f>
        <v>4081.7360591675897</v>
      </c>
      <c r="Z20" s="117">
        <f>Jan!Z13+Apr!Z13+Jul!Z13+Oct!Z13</f>
        <v>4075.1720581631007</v>
      </c>
      <c r="AA20" s="117">
        <f>Jan!AA13+Apr!AA13+Jul!AA13+Oct!AA13</f>
        <v>4101.3807732158584</v>
      </c>
      <c r="AB20" s="117">
        <f>Jan!AB13+Apr!AB13+Jul!AB13+Oct!AB13</f>
        <v>4113.4389642703545</v>
      </c>
    </row>
    <row r="21" spans="1:28" x14ac:dyDescent="0.2">
      <c r="A21">
        <f>Jan!A14</f>
        <v>200</v>
      </c>
      <c r="B21">
        <f>Jan!B14</f>
        <v>1000</v>
      </c>
      <c r="C21">
        <f>Jan!C14</f>
        <v>1.2569652870000001</v>
      </c>
      <c r="D21" s="117">
        <f>Jan!D14+Apr!D14+Jul!D14+Oct!D14</f>
        <v>-1572.79742776836</v>
      </c>
      <c r="E21" s="117">
        <f>Jan!E14+Apr!E14+Jul!E14+Oct!E14</f>
        <v>4062.3775731905339</v>
      </c>
      <c r="F21" s="117">
        <f>Jan!F14+Apr!F14+Jul!F14+Oct!F14</f>
        <v>3944.62613860089</v>
      </c>
      <c r="G21" s="117">
        <f>Jan!G14+Apr!G14+Jul!G14+Oct!G14</f>
        <v>3849.3378099015731</v>
      </c>
      <c r="H21" s="117">
        <f>Jan!H14+Apr!H14+Jul!H14+Oct!H14</f>
        <v>3916.7791850627709</v>
      </c>
      <c r="I21" s="117">
        <f>Jan!I14+Apr!I14+Jul!I14+Oct!I14</f>
        <v>4202.7109305191098</v>
      </c>
      <c r="J21" s="117">
        <f>Jan!J14+Apr!J14+Jul!J14+Oct!J14</f>
        <v>4849.8783747573398</v>
      </c>
      <c r="K21" s="117">
        <f>Jan!K14+Apr!K14+Jul!K14+Oct!K14</f>
        <v>5180.7478380266102</v>
      </c>
      <c r="L21" s="117">
        <f>Jan!L14+Apr!L14+Jul!L14+Oct!L14</f>
        <v>5565.4866512861399</v>
      </c>
      <c r="M21" s="117">
        <f>Jan!M14+Apr!M14+Jul!M14+Oct!M14</f>
        <v>4266.1038176304091</v>
      </c>
      <c r="N21" s="117">
        <f>Jan!N14+Apr!N14+Jul!N14+Oct!N14</f>
        <v>2971.5011145561339</v>
      </c>
      <c r="O21" s="117">
        <f>Jan!O14+Apr!O14+Jul!O14+Oct!O14</f>
        <v>1323.7747254624051</v>
      </c>
      <c r="P21" s="117">
        <f>Jan!P14+Apr!P14+Jul!P14+Oct!P14</f>
        <v>145.42488617103902</v>
      </c>
      <c r="Q21" s="117">
        <f>Jan!Q14+Apr!Q14+Jul!Q14+Oct!Q14</f>
        <v>505.18350628872702</v>
      </c>
      <c r="R21" s="117">
        <f>Jan!R14+Apr!R14+Jul!R14+Oct!R14</f>
        <v>1111.865255102455</v>
      </c>
      <c r="S21" s="117">
        <f>Jan!S14+Apr!S14+Jul!S14+Oct!S14</f>
        <v>1950.5334818393517</v>
      </c>
      <c r="T21" s="117">
        <f>Jan!T14+Apr!T14+Jul!T14+Oct!T14</f>
        <v>2101.3037029121119</v>
      </c>
      <c r="U21" s="117">
        <f>Jan!U14+Apr!U14+Jul!U14+Oct!U14</f>
        <v>3827.024403310249</v>
      </c>
      <c r="V21" s="117">
        <f>Jan!V14+Apr!V14+Jul!V14+Oct!V14</f>
        <v>5713.6275661551399</v>
      </c>
      <c r="W21" s="117">
        <f>Jan!W14+Apr!W14+Jul!W14+Oct!W14</f>
        <v>5608.4075874210303</v>
      </c>
      <c r="X21" s="117">
        <f>Jan!X14+Apr!X14+Jul!X14+Oct!X14</f>
        <v>5438.0447731022796</v>
      </c>
      <c r="Y21" s="117">
        <f>Jan!Y14+Apr!Y14+Jul!Y14+Oct!Y14</f>
        <v>5318.8440730819002</v>
      </c>
      <c r="Z21" s="117">
        <f>Jan!Z14+Apr!Z14+Jul!Z14+Oct!Z14</f>
        <v>5057.0856116203104</v>
      </c>
      <c r="AA21" s="117">
        <f>Jan!AA14+Apr!AA14+Jul!AA14+Oct!AA14</f>
        <v>4603.3756852219994</v>
      </c>
      <c r="AB21" s="117">
        <f>Jan!AB14+Apr!AB14+Jul!AB14+Oct!AB14</f>
        <v>4259.3220582333997</v>
      </c>
    </row>
    <row r="22" spans="1:28" x14ac:dyDescent="0.2">
      <c r="A22">
        <f>Jan!A15</f>
        <v>1000</v>
      </c>
      <c r="B22">
        <f>Jan!B15</f>
        <v>1000</v>
      </c>
      <c r="C22">
        <f>Jan!C15</f>
        <v>1.2569652870000001</v>
      </c>
      <c r="D22" s="117">
        <f>Jan!D15+Apr!D15+Jul!D15+Oct!D15</f>
        <v>-1260.7369395580001</v>
      </c>
      <c r="E22" s="117">
        <f>Jan!E15+Apr!E15+Jul!E15+Oct!E15</f>
        <v>4062.3775731905339</v>
      </c>
      <c r="F22" s="117">
        <f>Jan!F15+Apr!F15+Jul!F15+Oct!F15</f>
        <v>3944.62613860089</v>
      </c>
      <c r="G22" s="117">
        <f>Jan!G15+Apr!G15+Jul!G15+Oct!G15</f>
        <v>3849.3378099015731</v>
      </c>
      <c r="H22" s="117">
        <f>Jan!H15+Apr!H15+Jul!H15+Oct!H15</f>
        <v>3916.7791850627709</v>
      </c>
      <c r="I22" s="117">
        <f>Jan!I15+Apr!I15+Jul!I15+Oct!I15</f>
        <v>4202.7109305191098</v>
      </c>
      <c r="J22" s="117">
        <f>Jan!J15+Apr!J15+Jul!J15+Oct!J15</f>
        <v>4884.1380968623598</v>
      </c>
      <c r="K22" s="117">
        <f>Jan!K15+Apr!K15+Jul!K15+Oct!K15</f>
        <v>5249.3171291751705</v>
      </c>
      <c r="L22" s="117">
        <f>Jan!L15+Apr!L15+Jul!L15+Oct!L15</f>
        <v>5398.6917051423507</v>
      </c>
      <c r="M22" s="117">
        <f>Jan!M15+Apr!M15+Jul!M15+Oct!M15</f>
        <v>4189.7922557456695</v>
      </c>
      <c r="N22" s="117">
        <f>Jan!N15+Apr!N15+Jul!N15+Oct!N15</f>
        <v>2789.1354192597842</v>
      </c>
      <c r="O22" s="117">
        <f>Jan!O15+Apr!O15+Jul!O15+Oct!O15</f>
        <v>1089.953796299224</v>
      </c>
      <c r="P22" s="117">
        <f>Jan!P15+Apr!P15+Jul!P15+Oct!P15</f>
        <v>850.42614251932798</v>
      </c>
      <c r="Q22" s="117">
        <f>Jan!Q15+Apr!Q15+Jul!Q15+Oct!Q15</f>
        <v>778.31505901762898</v>
      </c>
      <c r="R22" s="117">
        <f>Jan!R15+Apr!R15+Jul!R15+Oct!R15</f>
        <v>1334.4905787210239</v>
      </c>
      <c r="S22" s="117">
        <f>Jan!S15+Apr!S15+Jul!S15+Oct!S15</f>
        <v>1565.027440440495</v>
      </c>
      <c r="T22" s="117">
        <f>Jan!T15+Apr!T15+Jul!T15+Oct!T15</f>
        <v>1816.9818734577236</v>
      </c>
      <c r="U22" s="117">
        <f>Jan!U15+Apr!U15+Jul!U15+Oct!U15</f>
        <v>3871.171591935069</v>
      </c>
      <c r="V22" s="117">
        <f>Jan!V15+Apr!V15+Jul!V15+Oct!V15</f>
        <v>5594.6450371471992</v>
      </c>
      <c r="W22" s="117">
        <f>Jan!W15+Apr!W15+Jul!W15+Oct!W15</f>
        <v>5535.7300067857495</v>
      </c>
      <c r="X22" s="117">
        <f>Jan!X15+Apr!X15+Jul!X15+Oct!X15</f>
        <v>5451.7737833827196</v>
      </c>
      <c r="Y22" s="117">
        <f>Jan!Y15+Apr!Y15+Jul!Y15+Oct!Y15</f>
        <v>5375.9555461707496</v>
      </c>
      <c r="Z22" s="117">
        <f>Jan!Z15+Apr!Z15+Jul!Z15+Oct!Z15</f>
        <v>5103.6911499958696</v>
      </c>
      <c r="AA22" s="117">
        <f>Jan!AA15+Apr!AA15+Jul!AA15+Oct!AA15</f>
        <v>4637.6512171525901</v>
      </c>
      <c r="AB22" s="117">
        <f>Jan!AB15+Apr!AB15+Jul!AB15+Oct!AB15</f>
        <v>4259.3228181714503</v>
      </c>
    </row>
    <row r="23" spans="1:28" x14ac:dyDescent="0.2">
      <c r="A23">
        <f>Jan!A16</f>
        <v>1000</v>
      </c>
      <c r="B23">
        <f>Jan!B16</f>
        <v>5000</v>
      </c>
      <c r="C23">
        <f>Jan!C16</f>
        <v>1.2569652870000001</v>
      </c>
      <c r="D23" s="117">
        <f>Jan!D16+Apr!D16+Jul!D16+Oct!D16</f>
        <v>0</v>
      </c>
      <c r="E23" s="117">
        <f>Jan!E16+Apr!E16+Jul!E16+Oct!E16</f>
        <v>3918.7348167847622</v>
      </c>
      <c r="F23" s="117">
        <f>Jan!F16+Apr!F16+Jul!F16+Oct!F16</f>
        <v>3921.025298387266</v>
      </c>
      <c r="G23" s="117">
        <f>Jan!G16+Apr!G16+Jul!G16+Oct!G16</f>
        <v>3915.4590135403141</v>
      </c>
      <c r="H23" s="117">
        <f>Jan!H16+Apr!H16+Jul!H16+Oct!H16</f>
        <v>3915.7720576113547</v>
      </c>
      <c r="I23" s="117">
        <f>Jan!I16+Apr!I16+Jul!I16+Oct!I16</f>
        <v>3921.4429055496248</v>
      </c>
      <c r="J23" s="117">
        <f>Jan!J16+Apr!J16+Jul!J16+Oct!J16</f>
        <v>3903.022494418944</v>
      </c>
      <c r="K23" s="117">
        <f>Jan!K16+Apr!K16+Jul!K16+Oct!K16</f>
        <v>3892.9005648343937</v>
      </c>
      <c r="L23" s="117">
        <f>Jan!L16+Apr!L16+Jul!L16+Oct!L16</f>
        <v>3991.9813521115302</v>
      </c>
      <c r="M23" s="117">
        <f>Jan!M16+Apr!M16+Jul!M16+Oct!M16</f>
        <v>3647.4664904558922</v>
      </c>
      <c r="N23" s="117">
        <f>Jan!N16+Apr!N16+Jul!N16+Oct!N16</f>
        <v>3352.1326101146487</v>
      </c>
      <c r="O23" s="117">
        <f>Jan!O16+Apr!O16+Jul!O16+Oct!O16</f>
        <v>3327.2819210276016</v>
      </c>
      <c r="P23" s="117">
        <f>Jan!P16+Apr!P16+Jul!P16+Oct!P16</f>
        <v>3092.9058552312108</v>
      </c>
      <c r="Q23" s="117">
        <f>Jan!Q16+Apr!Q16+Jul!Q16+Oct!Q16</f>
        <v>3080.7054471764613</v>
      </c>
      <c r="R23" s="117">
        <f>Jan!R16+Apr!R16+Jul!R16+Oct!R16</f>
        <v>3305.2090821583706</v>
      </c>
      <c r="S23" s="117">
        <f>Jan!S16+Apr!S16+Jul!S16+Oct!S16</f>
        <v>3384.551375297423</v>
      </c>
      <c r="T23" s="117">
        <f>Jan!T16+Apr!T16+Jul!T16+Oct!T16</f>
        <v>3390.5023923243052</v>
      </c>
      <c r="U23" s="117">
        <f>Jan!U16+Apr!U16+Jul!U16+Oct!U16</f>
        <v>3580.7652052239291</v>
      </c>
      <c r="V23" s="117">
        <f>Jan!V16+Apr!V16+Jul!V16+Oct!V16</f>
        <v>4044.3558644594032</v>
      </c>
      <c r="W23" s="117">
        <f>Jan!W16+Apr!W16+Jul!W16+Oct!W16</f>
        <v>4023.5863894462886</v>
      </c>
      <c r="X23" s="117">
        <f>Jan!X16+Apr!X16+Jul!X16+Oct!X16</f>
        <v>3958.8687873748022</v>
      </c>
      <c r="Y23" s="117">
        <f>Jan!Y16+Apr!Y16+Jul!Y16+Oct!Y16</f>
        <v>3903.4427855236872</v>
      </c>
      <c r="Z23" s="117">
        <f>Jan!Z16+Apr!Z16+Jul!Z16+Oct!Z16</f>
        <v>3903.0779279683948</v>
      </c>
      <c r="AA23" s="117">
        <f>Jan!AA16+Apr!AA16+Jul!AA16+Oct!AA16</f>
        <v>3919.2360717535112</v>
      </c>
      <c r="AB23" s="117">
        <f>Jan!AB16+Apr!AB16+Jul!AB16+Oct!AB16</f>
        <v>3916.312640156727</v>
      </c>
    </row>
    <row r="24" spans="1:28" x14ac:dyDescent="0.2">
      <c r="A24">
        <f>Jan!A17</f>
        <v>200</v>
      </c>
      <c r="B24">
        <f>Jan!B17</f>
        <v>1000</v>
      </c>
      <c r="C24">
        <f>Jan!C17</f>
        <v>1.2569652870000001</v>
      </c>
      <c r="D24" s="117">
        <f>Jan!D17+Apr!D17+Jul!D17+Oct!D17</f>
        <v>-1579.6046015724501</v>
      </c>
      <c r="E24" s="117">
        <f>Jan!E17+Apr!E17+Jul!E17+Oct!E17</f>
        <v>4062.3775731905339</v>
      </c>
      <c r="F24" s="117">
        <f>Jan!F17+Apr!F17+Jul!F17+Oct!F17</f>
        <v>3944.62613860089</v>
      </c>
      <c r="G24" s="117">
        <f>Jan!G17+Apr!G17+Jul!G17+Oct!G17</f>
        <v>3849.3378099015731</v>
      </c>
      <c r="H24" s="117">
        <f>Jan!H17+Apr!H17+Jul!H17+Oct!H17</f>
        <v>3916.7791850627709</v>
      </c>
      <c r="I24" s="117">
        <f>Jan!I17+Apr!I17+Jul!I17+Oct!I17</f>
        <v>4202.7109305191098</v>
      </c>
      <c r="J24" s="117">
        <f>Jan!J17+Apr!J17+Jul!J17+Oct!J17</f>
        <v>4849.8783747573398</v>
      </c>
      <c r="K24" s="117">
        <f>Jan!K17+Apr!K17+Jul!K17+Oct!K17</f>
        <v>5180.6686951711799</v>
      </c>
      <c r="L24" s="117">
        <f>Jan!L17+Apr!L17+Jul!L17+Oct!L17</f>
        <v>5565.0234778176691</v>
      </c>
      <c r="M24" s="117">
        <f>Jan!M17+Apr!M17+Jul!M17+Oct!M17</f>
        <v>4262.7309292733198</v>
      </c>
      <c r="N24" s="117">
        <f>Jan!N17+Apr!N17+Jul!N17+Oct!N17</f>
        <v>2967.5449620537256</v>
      </c>
      <c r="O24" s="117">
        <f>Jan!O17+Apr!O17+Jul!O17+Oct!O17</f>
        <v>1308.9746667925899</v>
      </c>
      <c r="P24" s="117">
        <f>Jan!P17+Apr!P17+Jul!P17+Oct!P17</f>
        <v>124.41322589341168</v>
      </c>
      <c r="Q24" s="117">
        <f>Jan!Q17+Apr!Q17+Jul!Q17+Oct!Q17</f>
        <v>489.18840242588601</v>
      </c>
      <c r="R24" s="117">
        <f>Jan!R17+Apr!R17+Jul!R17+Oct!R17</f>
        <v>1098.350768070103</v>
      </c>
      <c r="S24" s="117">
        <f>Jan!S17+Apr!S17+Jul!S17+Oct!S17</f>
        <v>1935.7163126284588</v>
      </c>
      <c r="T24" s="117">
        <f>Jan!T17+Apr!T17+Jul!T17+Oct!T17</f>
        <v>2092.1677700151035</v>
      </c>
      <c r="U24" s="117">
        <f>Jan!U17+Apr!U17+Jul!U17+Oct!U17</f>
        <v>3821.4777782868669</v>
      </c>
      <c r="V24" s="117">
        <f>Jan!V17+Apr!V17+Jul!V17+Oct!V17</f>
        <v>5712.8418477652403</v>
      </c>
      <c r="W24" s="117">
        <f>Jan!W17+Apr!W17+Jul!W17+Oct!W17</f>
        <v>5608.3247720962099</v>
      </c>
      <c r="X24" s="117">
        <f>Jan!X17+Apr!X17+Jul!X17+Oct!X17</f>
        <v>5438.0209930989495</v>
      </c>
      <c r="Y24" s="117">
        <f>Jan!Y17+Apr!Y17+Jul!Y17+Oct!Y17</f>
        <v>5318.8444031695899</v>
      </c>
      <c r="Z24" s="117">
        <f>Jan!Z17+Apr!Z17+Jul!Z17+Oct!Z17</f>
        <v>5057.0856117102503</v>
      </c>
      <c r="AA24" s="117">
        <f>Jan!AA17+Apr!AA17+Jul!AA17+Oct!AA17</f>
        <v>4603.3756852219994</v>
      </c>
      <c r="AB24" s="117">
        <f>Jan!AB17+Apr!AB17+Jul!AB17+Oct!AB17</f>
        <v>4259.3220582333997</v>
      </c>
    </row>
    <row r="25" spans="1:28" x14ac:dyDescent="0.2">
      <c r="A25">
        <f>Jan!A18</f>
        <v>1000</v>
      </c>
      <c r="B25">
        <f>Jan!B18</f>
        <v>5000</v>
      </c>
      <c r="C25">
        <f>Jan!C18</f>
        <v>1.2569652870000001</v>
      </c>
      <c r="D25" s="117">
        <f>Jan!D18+Apr!D18+Jul!D18+Oct!D18</f>
        <v>0</v>
      </c>
      <c r="E25" s="117">
        <f>Jan!E18+Apr!E18+Jul!E18+Oct!E18</f>
        <v>3911.0099212585119</v>
      </c>
      <c r="F25" s="117">
        <f>Jan!F18+Apr!F18+Jul!F18+Oct!F18</f>
        <v>3916.6430251055062</v>
      </c>
      <c r="G25" s="117">
        <f>Jan!G18+Apr!G18+Jul!G18+Oct!G18</f>
        <v>3920.8781559674135</v>
      </c>
      <c r="H25" s="117">
        <f>Jan!H18+Apr!H18+Jul!H18+Oct!H18</f>
        <v>3923.387208322215</v>
      </c>
      <c r="I25" s="117">
        <f>Jan!I18+Apr!I18+Jul!I18+Oct!I18</f>
        <v>3921.6101846452757</v>
      </c>
      <c r="J25" s="117">
        <f>Jan!J18+Apr!J18+Jul!J18+Oct!J18</f>
        <v>3894.5929992064139</v>
      </c>
      <c r="K25" s="117">
        <f>Jan!K18+Apr!K18+Jul!K18+Oct!K18</f>
        <v>3883.3128943118641</v>
      </c>
      <c r="L25" s="117">
        <f>Jan!L18+Apr!L18+Jul!L18+Oct!L18</f>
        <v>3990.3736692337379</v>
      </c>
      <c r="M25" s="117">
        <f>Jan!M18+Apr!M18+Jul!M18+Oct!M18</f>
        <v>3633.0556772595455</v>
      </c>
      <c r="N25" s="117">
        <f>Jan!N18+Apr!N18+Jul!N18+Oct!N18</f>
        <v>3344.1747953427503</v>
      </c>
      <c r="O25" s="117">
        <f>Jan!O18+Apr!O18+Jul!O18+Oct!O18</f>
        <v>3307.1625947051252</v>
      </c>
      <c r="P25" s="117">
        <f>Jan!P18+Apr!P18+Jul!P18+Oct!P18</f>
        <v>3079.4860330252318</v>
      </c>
      <c r="Q25" s="117">
        <f>Jan!Q18+Apr!Q18+Jul!Q18+Oct!Q18</f>
        <v>3060.4305258188542</v>
      </c>
      <c r="R25" s="117">
        <f>Jan!R18+Apr!R18+Jul!R18+Oct!R18</f>
        <v>3295.4869576590841</v>
      </c>
      <c r="S25" s="117">
        <f>Jan!S18+Apr!S18+Jul!S18+Oct!S18</f>
        <v>3363.3426290421958</v>
      </c>
      <c r="T25" s="117">
        <f>Jan!T18+Apr!T18+Jul!T18+Oct!T18</f>
        <v>3374.3843637001673</v>
      </c>
      <c r="U25" s="117">
        <f>Jan!U18+Apr!U18+Jul!U18+Oct!U18</f>
        <v>3574.8993918305991</v>
      </c>
      <c r="V25" s="117">
        <f>Jan!V18+Apr!V18+Jul!V18+Oct!V18</f>
        <v>4042.8916142522939</v>
      </c>
      <c r="W25" s="117">
        <f>Jan!W18+Apr!W18+Jul!W18+Oct!W18</f>
        <v>4021.9956466488866</v>
      </c>
      <c r="X25" s="117">
        <f>Jan!X18+Apr!X18+Jul!X18+Oct!X18</f>
        <v>3957.309189918662</v>
      </c>
      <c r="Y25" s="117">
        <f>Jan!Y18+Apr!Y18+Jul!Y18+Oct!Y18</f>
        <v>3894.9531070960948</v>
      </c>
      <c r="Z25" s="117">
        <f>Jan!Z18+Apr!Z18+Jul!Z18+Oct!Z18</f>
        <v>3901.5238468486878</v>
      </c>
      <c r="AA25" s="117">
        <f>Jan!AA18+Apr!AA18+Jul!AA18+Oct!AA18</f>
        <v>3910.8258106033209</v>
      </c>
      <c r="AB25" s="117">
        <f>Jan!AB18+Apr!AB18+Jul!AB18+Oct!AB18</f>
        <v>3908.4745300912173</v>
      </c>
    </row>
    <row r="26" spans="1:28" x14ac:dyDescent="0.2">
      <c r="A26">
        <f>Jan!A19</f>
        <v>1000</v>
      </c>
      <c r="B26">
        <f>Jan!B19</f>
        <v>5000</v>
      </c>
      <c r="C26">
        <f>Jan!C19</f>
        <v>1.2569652870000001</v>
      </c>
      <c r="D26" s="117">
        <f>Jan!D19+Apr!D19+Jul!D19+Oct!D19</f>
        <v>0</v>
      </c>
      <c r="E26" s="117">
        <f>Jan!E19+Apr!E19+Jul!E19+Oct!E19</f>
        <v>3911.0099212585119</v>
      </c>
      <c r="F26" s="117">
        <f>Jan!F19+Apr!F19+Jul!F19+Oct!F19</f>
        <v>3916.6430251055062</v>
      </c>
      <c r="G26" s="117">
        <f>Jan!G19+Apr!G19+Jul!G19+Oct!G19</f>
        <v>3920.8781559674135</v>
      </c>
      <c r="H26" s="117">
        <f>Jan!H19+Apr!H19+Jul!H19+Oct!H19</f>
        <v>3923.387208322215</v>
      </c>
      <c r="I26" s="117">
        <f>Jan!I19+Apr!I19+Jul!I19+Oct!I19</f>
        <v>3921.6101846452757</v>
      </c>
      <c r="J26" s="117">
        <f>Jan!J19+Apr!J19+Jul!J19+Oct!J19</f>
        <v>3894.5929992064139</v>
      </c>
      <c r="K26" s="117">
        <f>Jan!K19+Apr!K19+Jul!K19+Oct!K19</f>
        <v>3883.3128943118641</v>
      </c>
      <c r="L26" s="117">
        <f>Jan!L19+Apr!L19+Jul!L19+Oct!L19</f>
        <v>3990.3736692337379</v>
      </c>
      <c r="M26" s="117">
        <f>Jan!M19+Apr!M19+Jul!M19+Oct!M19</f>
        <v>3633.0556772595455</v>
      </c>
      <c r="N26" s="117">
        <f>Jan!N19+Apr!N19+Jul!N19+Oct!N19</f>
        <v>3344.1747953427503</v>
      </c>
      <c r="O26" s="117">
        <f>Jan!O19+Apr!O19+Jul!O19+Oct!O19</f>
        <v>3307.1625947051252</v>
      </c>
      <c r="P26" s="117">
        <f>Jan!P19+Apr!P19+Jul!P19+Oct!P19</f>
        <v>3079.4860330252318</v>
      </c>
      <c r="Q26" s="117">
        <f>Jan!Q19+Apr!Q19+Jul!Q19+Oct!Q19</f>
        <v>3060.4305258188542</v>
      </c>
      <c r="R26" s="117">
        <f>Jan!R19+Apr!R19+Jul!R19+Oct!R19</f>
        <v>3295.4869576590841</v>
      </c>
      <c r="S26" s="117">
        <f>Jan!S19+Apr!S19+Jul!S19+Oct!S19</f>
        <v>3363.3426290421958</v>
      </c>
      <c r="T26" s="117">
        <f>Jan!T19+Apr!T19+Jul!T19+Oct!T19</f>
        <v>3374.3843637001673</v>
      </c>
      <c r="U26" s="117">
        <f>Jan!U19+Apr!U19+Jul!U19+Oct!U19</f>
        <v>3574.8993918305991</v>
      </c>
      <c r="V26" s="117">
        <f>Jan!V19+Apr!V19+Jul!V19+Oct!V19</f>
        <v>4042.8916142522939</v>
      </c>
      <c r="W26" s="117">
        <f>Jan!W19+Apr!W19+Jul!W19+Oct!W19</f>
        <v>4021.9956466488866</v>
      </c>
      <c r="X26" s="117">
        <f>Jan!X19+Apr!X19+Jul!X19+Oct!X19</f>
        <v>3957.309189918662</v>
      </c>
      <c r="Y26" s="117">
        <f>Jan!Y19+Apr!Y19+Jul!Y19+Oct!Y19</f>
        <v>3894.9531070960948</v>
      </c>
      <c r="Z26" s="117">
        <f>Jan!Z19+Apr!Z19+Jul!Z19+Oct!Z19</f>
        <v>3901.5238468486878</v>
      </c>
      <c r="AA26" s="117">
        <f>Jan!AA19+Apr!AA19+Jul!AA19+Oct!AA19</f>
        <v>3910.8258106033209</v>
      </c>
      <c r="AB26" s="117">
        <f>Jan!AB19+Apr!AB19+Jul!AB19+Oct!AB19</f>
        <v>3908.4745300912173</v>
      </c>
    </row>
    <row r="27" spans="1:28" x14ac:dyDescent="0.2">
      <c r="A27">
        <f>Jan!A20</f>
        <v>200</v>
      </c>
      <c r="B27">
        <f>Jan!B20</f>
        <v>1000</v>
      </c>
      <c r="C27">
        <f>Jan!C20</f>
        <v>1.513305256</v>
      </c>
      <c r="D27" s="117">
        <f>Jan!D20+Apr!D20+Jul!D20+Oct!D20</f>
        <v>-7585.3378007290012</v>
      </c>
      <c r="E27" s="117">
        <f>Jan!E20+Apr!E20+Jul!E20+Oct!E20</f>
        <v>4062.3775731905339</v>
      </c>
      <c r="F27" s="117">
        <f>Jan!F20+Apr!F20+Jul!F20+Oct!F20</f>
        <v>3944.62613860089</v>
      </c>
      <c r="G27" s="117">
        <f>Jan!G20+Apr!G20+Jul!G20+Oct!G20</f>
        <v>3849.3378099015731</v>
      </c>
      <c r="H27" s="117">
        <f>Jan!H20+Apr!H20+Jul!H20+Oct!H20</f>
        <v>3916.7791850627709</v>
      </c>
      <c r="I27" s="117">
        <f>Jan!I20+Apr!I20+Jul!I20+Oct!I20</f>
        <v>4202.7109305191098</v>
      </c>
      <c r="J27" s="117">
        <f>Jan!J20+Apr!J20+Jul!J20+Oct!J20</f>
        <v>4843.01933142899</v>
      </c>
      <c r="K27" s="117">
        <f>Jan!K20+Apr!K20+Jul!K20+Oct!K20</f>
        <v>5090.5322645505503</v>
      </c>
      <c r="L27" s="117">
        <f>Jan!L20+Apr!L20+Jul!L20+Oct!L20</f>
        <v>5450.9214001151804</v>
      </c>
      <c r="M27" s="117">
        <f>Jan!M20+Apr!M20+Jul!M20+Oct!M20</f>
        <v>3641.230616084626</v>
      </c>
      <c r="N27" s="117">
        <f>Jan!N20+Apr!N20+Jul!N20+Oct!N20</f>
        <v>1785.3778559552848</v>
      </c>
      <c r="O27" s="117">
        <f>Jan!O20+Apr!O20+Jul!O20+Oct!O20</f>
        <v>-354.74600720451701</v>
      </c>
      <c r="P27" s="117">
        <f>Jan!P20+Apr!P20+Jul!P20+Oct!P20</f>
        <v>-1862.2807377206732</v>
      </c>
      <c r="Q27" s="117">
        <f>Jan!Q20+Apr!Q20+Jul!Q20+Oct!Q20</f>
        <v>-1452.466289339877</v>
      </c>
      <c r="R27" s="117">
        <f>Jan!R20+Apr!R20+Jul!R20+Oct!R20</f>
        <v>-737.62354806592475</v>
      </c>
      <c r="S27" s="117">
        <f>Jan!S20+Apr!S20+Jul!S20+Oct!S20</f>
        <v>293.46852291398193</v>
      </c>
      <c r="T27" s="117">
        <f>Jan!T20+Apr!T20+Jul!T20+Oct!T20</f>
        <v>661.38731288537701</v>
      </c>
      <c r="U27" s="117">
        <f>Jan!U20+Apr!U20+Jul!U20+Oct!U20</f>
        <v>2950.8477600474439</v>
      </c>
      <c r="V27" s="117">
        <f>Jan!V20+Apr!V20+Jul!V20+Oct!V20</f>
        <v>5463.4652575114524</v>
      </c>
      <c r="W27" s="117">
        <f>Jan!W20+Apr!W20+Jul!W20+Oct!W20</f>
        <v>5525.5944411207902</v>
      </c>
      <c r="X27" s="117">
        <f>Jan!X20+Apr!X20+Jul!X20+Oct!X20</f>
        <v>5406.0940753127197</v>
      </c>
      <c r="Y27" s="117">
        <f>Jan!Y20+Apr!Y20+Jul!Y20+Oct!Y20</f>
        <v>5199.9863766047401</v>
      </c>
      <c r="Z27" s="117">
        <f>Jan!Z20+Apr!Z20+Jul!Z20+Oct!Z20</f>
        <v>5034.5564868968804</v>
      </c>
      <c r="AA27" s="117">
        <f>Jan!AA20+Apr!AA20+Jul!AA20+Oct!AA20</f>
        <v>4596.5138877578502</v>
      </c>
      <c r="AB27" s="117">
        <f>Jan!AB20+Apr!AB20+Jul!AB20+Oct!AB20</f>
        <v>4259.3219066748698</v>
      </c>
    </row>
    <row r="28" spans="1:28" x14ac:dyDescent="0.2">
      <c r="A28">
        <f>Jan!A21</f>
        <v>1000</v>
      </c>
      <c r="B28">
        <f>Jan!B21</f>
        <v>5000</v>
      </c>
      <c r="C28">
        <f>Jan!C21</f>
        <v>1.513305256</v>
      </c>
      <c r="D28" s="117">
        <f>Jan!D21+Apr!D21+Jul!D21+Oct!D21</f>
        <v>-664.11501807021398</v>
      </c>
      <c r="E28" s="117">
        <f>Jan!E21+Apr!E21+Jul!E21+Oct!E21</f>
        <v>3724.10084541375</v>
      </c>
      <c r="F28" s="117">
        <f>Jan!F21+Apr!F21+Jul!F21+Oct!F21</f>
        <v>3732.8839096807469</v>
      </c>
      <c r="G28" s="117">
        <f>Jan!G21+Apr!G21+Jul!G21+Oct!G21</f>
        <v>3704.3937377436241</v>
      </c>
      <c r="H28" s="117">
        <f>Jan!H21+Apr!H21+Jul!H21+Oct!H21</f>
        <v>3714.5261191069521</v>
      </c>
      <c r="I28" s="117">
        <f>Jan!I21+Apr!I21+Jul!I21+Oct!I21</f>
        <v>3721.6898013869741</v>
      </c>
      <c r="J28" s="117">
        <f>Jan!J21+Apr!J21+Jul!J21+Oct!J21</f>
        <v>3701.490331386246</v>
      </c>
      <c r="K28" s="117">
        <f>Jan!K21+Apr!K21+Jul!K21+Oct!K21</f>
        <v>3678.0284867040409</v>
      </c>
      <c r="L28" s="117">
        <f>Jan!L21+Apr!L21+Jul!L21+Oct!L21</f>
        <v>3874.9894523880657</v>
      </c>
      <c r="M28" s="117">
        <f>Jan!M21+Apr!M21+Jul!M21+Oct!M21</f>
        <v>3194.7240303282479</v>
      </c>
      <c r="N28" s="117">
        <f>Jan!N21+Apr!N21+Jul!N21+Oct!N21</f>
        <v>2335.8763106294477</v>
      </c>
      <c r="O28" s="117">
        <f>Jan!O21+Apr!O21+Jul!O21+Oct!O21</f>
        <v>1973.6779964526102</v>
      </c>
      <c r="P28" s="117">
        <f>Jan!P21+Apr!P21+Jul!P21+Oct!P21</f>
        <v>1278.419110918348</v>
      </c>
      <c r="Q28" s="117">
        <f>Jan!Q21+Apr!Q21+Jul!Q21+Oct!Q21</f>
        <v>1485.880432756757</v>
      </c>
      <c r="R28" s="117">
        <f>Jan!R21+Apr!R21+Jul!R21+Oct!R21</f>
        <v>1861.3788362779769</v>
      </c>
      <c r="S28" s="117">
        <f>Jan!S21+Apr!S21+Jul!S21+Oct!S21</f>
        <v>2036.1791588893934</v>
      </c>
      <c r="T28" s="117">
        <f>Jan!T21+Apr!T21+Jul!T21+Oct!T21</f>
        <v>2029.9509436052044</v>
      </c>
      <c r="U28" s="117">
        <f>Jan!U21+Apr!U21+Jul!U21+Oct!U21</f>
        <v>2676.8430508346341</v>
      </c>
      <c r="V28" s="117">
        <f>Jan!V21+Apr!V21+Jul!V21+Oct!V21</f>
        <v>3840.0964585429983</v>
      </c>
      <c r="W28" s="117">
        <f>Jan!W21+Apr!W21+Jul!W21+Oct!W21</f>
        <v>3816.9051601172609</v>
      </c>
      <c r="X28" s="117">
        <f>Jan!X21+Apr!X21+Jul!X21+Oct!X21</f>
        <v>3776.6654425985284</v>
      </c>
      <c r="Y28" s="117">
        <f>Jan!Y21+Apr!Y21+Jul!Y21+Oct!Y21</f>
        <v>3724.5021253577461</v>
      </c>
      <c r="Z28" s="117">
        <f>Jan!Z21+Apr!Z21+Jul!Z21+Oct!Z21</f>
        <v>3706.1080146933291</v>
      </c>
      <c r="AA28" s="117">
        <f>Jan!AA21+Apr!AA21+Jul!AA21+Oct!AA21</f>
        <v>3714.4525485376225</v>
      </c>
      <c r="AB28" s="117">
        <f>Jan!AB21+Apr!AB21+Jul!AB21+Oct!AB21</f>
        <v>3721.2640035345512</v>
      </c>
    </row>
    <row r="29" spans="1:28" x14ac:dyDescent="0.2">
      <c r="A29">
        <f>Jan!A22</f>
        <v>1000</v>
      </c>
      <c r="B29">
        <f>Jan!B22</f>
        <v>5000</v>
      </c>
      <c r="C29">
        <f>Jan!C22</f>
        <v>1.513305256</v>
      </c>
      <c r="D29" s="117">
        <f>Jan!D22+Apr!D22+Jul!D22+Oct!D22</f>
        <v>-664.11501807021398</v>
      </c>
      <c r="E29" s="117">
        <f>Jan!E22+Apr!E22+Jul!E22+Oct!E22</f>
        <v>3724.10084541375</v>
      </c>
      <c r="F29" s="117">
        <f>Jan!F22+Apr!F22+Jul!F22+Oct!F22</f>
        <v>3732.8839096807469</v>
      </c>
      <c r="G29" s="117">
        <f>Jan!G22+Apr!G22+Jul!G22+Oct!G22</f>
        <v>3704.3937377436241</v>
      </c>
      <c r="H29" s="117">
        <f>Jan!H22+Apr!H22+Jul!H22+Oct!H22</f>
        <v>3714.5261191069521</v>
      </c>
      <c r="I29" s="117">
        <f>Jan!I22+Apr!I22+Jul!I22+Oct!I22</f>
        <v>3721.6898013869741</v>
      </c>
      <c r="J29" s="117">
        <f>Jan!J22+Apr!J22+Jul!J22+Oct!J22</f>
        <v>3701.490331386246</v>
      </c>
      <c r="K29" s="117">
        <f>Jan!K22+Apr!K22+Jul!K22+Oct!K22</f>
        <v>3678.0284867040409</v>
      </c>
      <c r="L29" s="117">
        <f>Jan!L22+Apr!L22+Jul!L22+Oct!L22</f>
        <v>3874.9894523880657</v>
      </c>
      <c r="M29" s="117">
        <f>Jan!M22+Apr!M22+Jul!M22+Oct!M22</f>
        <v>3194.7240303282479</v>
      </c>
      <c r="N29" s="117">
        <f>Jan!N22+Apr!N22+Jul!N22+Oct!N22</f>
        <v>2335.8763106294477</v>
      </c>
      <c r="O29" s="117">
        <f>Jan!O22+Apr!O22+Jul!O22+Oct!O22</f>
        <v>1973.6779964526102</v>
      </c>
      <c r="P29" s="117">
        <f>Jan!P22+Apr!P22+Jul!P22+Oct!P22</f>
        <v>1278.419110918348</v>
      </c>
      <c r="Q29" s="117">
        <f>Jan!Q22+Apr!Q22+Jul!Q22+Oct!Q22</f>
        <v>1485.880432756757</v>
      </c>
      <c r="R29" s="117">
        <f>Jan!R22+Apr!R22+Jul!R22+Oct!R22</f>
        <v>1861.3788362779769</v>
      </c>
      <c r="S29" s="117">
        <f>Jan!S22+Apr!S22+Jul!S22+Oct!S22</f>
        <v>2036.1791588893934</v>
      </c>
      <c r="T29" s="117">
        <f>Jan!T22+Apr!T22+Jul!T22+Oct!T22</f>
        <v>2029.9509436052044</v>
      </c>
      <c r="U29" s="117">
        <f>Jan!U22+Apr!U22+Jul!U22+Oct!U22</f>
        <v>2676.8430508346341</v>
      </c>
      <c r="V29" s="117">
        <f>Jan!V22+Apr!V22+Jul!V22+Oct!V22</f>
        <v>3840.0964585429983</v>
      </c>
      <c r="W29" s="117">
        <f>Jan!W22+Apr!W22+Jul!W22+Oct!W22</f>
        <v>3816.9051601172609</v>
      </c>
      <c r="X29" s="117">
        <f>Jan!X22+Apr!X22+Jul!X22+Oct!X22</f>
        <v>3776.6654425985284</v>
      </c>
      <c r="Y29" s="117">
        <f>Jan!Y22+Apr!Y22+Jul!Y22+Oct!Y22</f>
        <v>3724.5021253577461</v>
      </c>
      <c r="Z29" s="117">
        <f>Jan!Z22+Apr!Z22+Jul!Z22+Oct!Z22</f>
        <v>3706.1080146933291</v>
      </c>
      <c r="AA29" s="117">
        <f>Jan!AA22+Apr!AA22+Jul!AA22+Oct!AA22</f>
        <v>3714.4525485376225</v>
      </c>
      <c r="AB29" s="117">
        <f>Jan!AB22+Apr!AB22+Jul!AB22+Oct!AB22</f>
        <v>3721.2640035345512</v>
      </c>
    </row>
    <row r="30" spans="1:28" x14ac:dyDescent="0.2">
      <c r="A30">
        <f>Jan!A23</f>
        <v>200</v>
      </c>
      <c r="B30">
        <f>Jan!B23</f>
        <v>1000</v>
      </c>
      <c r="C30">
        <f>Jan!C23</f>
        <v>1.513305256</v>
      </c>
      <c r="D30" s="117">
        <f>Jan!D23+Apr!D23+Jul!D23+Oct!D23</f>
        <v>-7585.3378007290012</v>
      </c>
      <c r="E30" s="117">
        <f>Jan!E23+Apr!E23+Jul!E23+Oct!E23</f>
        <v>4062.3775731905339</v>
      </c>
      <c r="F30" s="117">
        <f>Jan!F23+Apr!F23+Jul!F23+Oct!F23</f>
        <v>3944.62613860089</v>
      </c>
      <c r="G30" s="117">
        <f>Jan!G23+Apr!G23+Jul!G23+Oct!G23</f>
        <v>3849.3378099015731</v>
      </c>
      <c r="H30" s="117">
        <f>Jan!H23+Apr!H23+Jul!H23+Oct!H23</f>
        <v>3916.7791850627709</v>
      </c>
      <c r="I30" s="117">
        <f>Jan!I23+Apr!I23+Jul!I23+Oct!I23</f>
        <v>4202.7109305191098</v>
      </c>
      <c r="J30" s="117">
        <f>Jan!J23+Apr!J23+Jul!J23+Oct!J23</f>
        <v>4843.01933142899</v>
      </c>
      <c r="K30" s="117">
        <f>Jan!K23+Apr!K23+Jul!K23+Oct!K23</f>
        <v>5090.5322645505503</v>
      </c>
      <c r="L30" s="117">
        <f>Jan!L23+Apr!L23+Jul!L23+Oct!L23</f>
        <v>5450.9214001151804</v>
      </c>
      <c r="M30" s="117">
        <f>Jan!M23+Apr!M23+Jul!M23+Oct!M23</f>
        <v>3641.230616084626</v>
      </c>
      <c r="N30" s="117">
        <f>Jan!N23+Apr!N23+Jul!N23+Oct!N23</f>
        <v>1785.3778559552848</v>
      </c>
      <c r="O30" s="117">
        <f>Jan!O23+Apr!O23+Jul!O23+Oct!O23</f>
        <v>-354.74600720451701</v>
      </c>
      <c r="P30" s="117">
        <f>Jan!P23+Apr!P23+Jul!P23+Oct!P23</f>
        <v>-1862.2807377206732</v>
      </c>
      <c r="Q30" s="117">
        <f>Jan!Q23+Apr!Q23+Jul!Q23+Oct!Q23</f>
        <v>-1452.466289339877</v>
      </c>
      <c r="R30" s="117">
        <f>Jan!R23+Apr!R23+Jul!R23+Oct!R23</f>
        <v>-737.62354806592475</v>
      </c>
      <c r="S30" s="117">
        <f>Jan!S23+Apr!S23+Jul!S23+Oct!S23</f>
        <v>293.46852291398193</v>
      </c>
      <c r="T30" s="117">
        <f>Jan!T23+Apr!T23+Jul!T23+Oct!T23</f>
        <v>661.38731288537701</v>
      </c>
      <c r="U30" s="117">
        <f>Jan!U23+Apr!U23+Jul!U23+Oct!U23</f>
        <v>2950.8477600474439</v>
      </c>
      <c r="V30" s="117">
        <f>Jan!V23+Apr!V23+Jul!V23+Oct!V23</f>
        <v>5463.4652575114524</v>
      </c>
      <c r="W30" s="117">
        <f>Jan!W23+Apr!W23+Jul!W23+Oct!W23</f>
        <v>5525.5944411207902</v>
      </c>
      <c r="X30" s="117">
        <f>Jan!X23+Apr!X23+Jul!X23+Oct!X23</f>
        <v>5406.0940753127197</v>
      </c>
      <c r="Y30" s="117">
        <f>Jan!Y23+Apr!Y23+Jul!Y23+Oct!Y23</f>
        <v>5199.9863766047401</v>
      </c>
      <c r="Z30" s="117">
        <f>Jan!Z23+Apr!Z23+Jul!Z23+Oct!Z23</f>
        <v>5034.5564868968804</v>
      </c>
      <c r="AA30" s="117">
        <f>Jan!AA23+Apr!AA23+Jul!AA23+Oct!AA23</f>
        <v>4596.5138877578502</v>
      </c>
      <c r="AB30" s="117">
        <f>Jan!AB23+Apr!AB23+Jul!AB23+Oct!AB23</f>
        <v>4259.3219066748698</v>
      </c>
    </row>
    <row r="31" spans="1:28" x14ac:dyDescent="0.2">
      <c r="A31">
        <f>Jan!A24</f>
        <v>1000</v>
      </c>
      <c r="B31">
        <f>Jan!B24</f>
        <v>1000</v>
      </c>
      <c r="C31">
        <f>Jan!C24</f>
        <v>1.513305256</v>
      </c>
      <c r="D31" s="117">
        <f>Jan!D24+Apr!D24+Jul!D24+Oct!D24</f>
        <v>-7042.5132007173397</v>
      </c>
      <c r="E31" s="117">
        <f>Jan!E24+Apr!E24+Jul!E24+Oct!E24</f>
        <v>4062.3775731905339</v>
      </c>
      <c r="F31" s="117">
        <f>Jan!F24+Apr!F24+Jul!F24+Oct!F24</f>
        <v>3944.62613860089</v>
      </c>
      <c r="G31" s="117">
        <f>Jan!G24+Apr!G24+Jul!G24+Oct!G24</f>
        <v>3849.3378099015731</v>
      </c>
      <c r="H31" s="117">
        <f>Jan!H24+Apr!H24+Jul!H24+Oct!H24</f>
        <v>3916.7791850627709</v>
      </c>
      <c r="I31" s="117">
        <f>Jan!I24+Apr!I24+Jul!I24+Oct!I24</f>
        <v>4202.7109305191098</v>
      </c>
      <c r="J31" s="117">
        <f>Jan!J24+Apr!J24+Jul!J24+Oct!J24</f>
        <v>4869.4616466154403</v>
      </c>
      <c r="K31" s="117">
        <f>Jan!K24+Apr!K24+Jul!K24+Oct!K24</f>
        <v>5166.7674488407602</v>
      </c>
      <c r="L31" s="117">
        <f>Jan!L24+Apr!L24+Jul!L24+Oct!L24</f>
        <v>5296.8155929511395</v>
      </c>
      <c r="M31" s="117">
        <f>Jan!M24+Apr!M24+Jul!M24+Oct!M24</f>
        <v>3558.9949398160111</v>
      </c>
      <c r="N31" s="117">
        <f>Jan!N24+Apr!N24+Jul!N24+Oct!N24</f>
        <v>1639.1687392656959</v>
      </c>
      <c r="O31" s="117">
        <f>Jan!O24+Apr!O24+Jul!O24+Oct!O24</f>
        <v>-766.28071930082319</v>
      </c>
      <c r="P31" s="117">
        <f>Jan!P24+Apr!P24+Jul!P24+Oct!P24</f>
        <v>-996.34626091442988</v>
      </c>
      <c r="Q31" s="117">
        <f>Jan!Q24+Apr!Q24+Jul!Q24+Oct!Q24</f>
        <v>-1117.3829032465767</v>
      </c>
      <c r="R31" s="117">
        <f>Jan!R24+Apr!R24+Jul!R24+Oct!R24</f>
        <v>-556.49700676485793</v>
      </c>
      <c r="S31" s="117">
        <f>Jan!S24+Apr!S24+Jul!S24+Oct!S24</f>
        <v>-145.17106687262697</v>
      </c>
      <c r="T31" s="117">
        <f>Jan!T24+Apr!T24+Jul!T24+Oct!T24</f>
        <v>359.11220888130401</v>
      </c>
      <c r="U31" s="117">
        <f>Jan!U24+Apr!U24+Jul!U24+Oct!U24</f>
        <v>3052.2743923005819</v>
      </c>
      <c r="V31" s="117">
        <f>Jan!V24+Apr!V24+Jul!V24+Oct!V24</f>
        <v>5308.9029553349719</v>
      </c>
      <c r="W31" s="117">
        <f>Jan!W24+Apr!W24+Jul!W24+Oct!W24</f>
        <v>5439.5786127687898</v>
      </c>
      <c r="X31" s="117">
        <f>Jan!X24+Apr!X24+Jul!X24+Oct!X24</f>
        <v>5380.6759167152804</v>
      </c>
      <c r="Y31" s="117">
        <f>Jan!Y24+Apr!Y24+Jul!Y24+Oct!Y24</f>
        <v>5295.5147228448695</v>
      </c>
      <c r="Z31" s="117">
        <f>Jan!Z24+Apr!Z24+Jul!Z24+Oct!Z24</f>
        <v>5092.4006845151998</v>
      </c>
      <c r="AA31" s="117">
        <f>Jan!AA24+Apr!AA24+Jul!AA24+Oct!AA24</f>
        <v>4637.6508940750791</v>
      </c>
      <c r="AB31" s="117">
        <f>Jan!AB24+Apr!AB24+Jul!AB24+Oct!AB24</f>
        <v>4259.3228181463001</v>
      </c>
    </row>
    <row r="32" spans="1:28" x14ac:dyDescent="0.2">
      <c r="A32">
        <f>Jan!A25</f>
        <v>1000</v>
      </c>
      <c r="B32">
        <f>Jan!B25</f>
        <v>5000</v>
      </c>
      <c r="C32">
        <f>Jan!C25</f>
        <v>1.513305256</v>
      </c>
      <c r="D32" s="117">
        <f>Jan!D25+Apr!D25+Jul!D25+Oct!D25</f>
        <v>-664.11501807021398</v>
      </c>
      <c r="E32" s="117">
        <f>Jan!E25+Apr!E25+Jul!E25+Oct!E25</f>
        <v>3724.10084541375</v>
      </c>
      <c r="F32" s="117">
        <f>Jan!F25+Apr!F25+Jul!F25+Oct!F25</f>
        <v>3732.8839096807469</v>
      </c>
      <c r="G32" s="117">
        <f>Jan!G25+Apr!G25+Jul!G25+Oct!G25</f>
        <v>3704.3937377436241</v>
      </c>
      <c r="H32" s="117">
        <f>Jan!H25+Apr!H25+Jul!H25+Oct!H25</f>
        <v>3714.5261191069521</v>
      </c>
      <c r="I32" s="117">
        <f>Jan!I25+Apr!I25+Jul!I25+Oct!I25</f>
        <v>3721.6898013869741</v>
      </c>
      <c r="J32" s="117">
        <f>Jan!J25+Apr!J25+Jul!J25+Oct!J25</f>
        <v>3701.490331386246</v>
      </c>
      <c r="K32" s="117">
        <f>Jan!K25+Apr!K25+Jul!K25+Oct!K25</f>
        <v>3678.0284867040409</v>
      </c>
      <c r="L32" s="117">
        <f>Jan!L25+Apr!L25+Jul!L25+Oct!L25</f>
        <v>3874.9894523880657</v>
      </c>
      <c r="M32" s="117">
        <f>Jan!M25+Apr!M25+Jul!M25+Oct!M25</f>
        <v>3194.7240303282479</v>
      </c>
      <c r="N32" s="117">
        <f>Jan!N25+Apr!N25+Jul!N25+Oct!N25</f>
        <v>2335.8763106294477</v>
      </c>
      <c r="O32" s="117">
        <f>Jan!O25+Apr!O25+Jul!O25+Oct!O25</f>
        <v>1973.6779964526102</v>
      </c>
      <c r="P32" s="117">
        <f>Jan!P25+Apr!P25+Jul!P25+Oct!P25</f>
        <v>1278.419110918348</v>
      </c>
      <c r="Q32" s="117">
        <f>Jan!Q25+Apr!Q25+Jul!Q25+Oct!Q25</f>
        <v>1485.880432756757</v>
      </c>
      <c r="R32" s="117">
        <f>Jan!R25+Apr!R25+Jul!R25+Oct!R25</f>
        <v>1861.3788362779769</v>
      </c>
      <c r="S32" s="117">
        <f>Jan!S25+Apr!S25+Jul!S25+Oct!S25</f>
        <v>2036.1791588893934</v>
      </c>
      <c r="T32" s="117">
        <f>Jan!T25+Apr!T25+Jul!T25+Oct!T25</f>
        <v>2029.9509436052044</v>
      </c>
      <c r="U32" s="117">
        <f>Jan!U25+Apr!U25+Jul!U25+Oct!U25</f>
        <v>2676.8430508346341</v>
      </c>
      <c r="V32" s="117">
        <f>Jan!V25+Apr!V25+Jul!V25+Oct!V25</f>
        <v>3840.0964585429983</v>
      </c>
      <c r="W32" s="117">
        <f>Jan!W25+Apr!W25+Jul!W25+Oct!W25</f>
        <v>3816.9051601172609</v>
      </c>
      <c r="X32" s="117">
        <f>Jan!X25+Apr!X25+Jul!X25+Oct!X25</f>
        <v>3776.6654425985284</v>
      </c>
      <c r="Y32" s="117">
        <f>Jan!Y25+Apr!Y25+Jul!Y25+Oct!Y25</f>
        <v>3724.5021253577461</v>
      </c>
      <c r="Z32" s="117">
        <f>Jan!Z25+Apr!Z25+Jul!Z25+Oct!Z25</f>
        <v>3706.1080146933291</v>
      </c>
      <c r="AA32" s="117">
        <f>Jan!AA25+Apr!AA25+Jul!AA25+Oct!AA25</f>
        <v>3714.4525485376225</v>
      </c>
      <c r="AB32" s="117">
        <f>Jan!AB25+Apr!AB25+Jul!AB25+Oct!AB25</f>
        <v>3721.2640035345512</v>
      </c>
    </row>
    <row r="33" spans="1:28" x14ac:dyDescent="0.2">
      <c r="A33">
        <f>Jan!A26</f>
        <v>0</v>
      </c>
      <c r="B33">
        <f>Jan!B26</f>
        <v>0</v>
      </c>
      <c r="C33">
        <f>Jan!C26</f>
        <v>0</v>
      </c>
      <c r="D33" s="117">
        <f>Jan!D26+Apr!D26+Jul!D26+Oct!D26</f>
        <v>0</v>
      </c>
      <c r="E33" s="117">
        <f>Jan!E26+Apr!E26+Jul!E26+Oct!E26</f>
        <v>4062.7544714557462</v>
      </c>
      <c r="F33" s="117">
        <f>Jan!F26+Apr!F26+Jul!F26+Oct!F26</f>
        <v>3945.0288527127309</v>
      </c>
      <c r="G33" s="117">
        <f>Jan!G26+Apr!G26+Jul!G26+Oct!G26</f>
        <v>3849.3168343214734</v>
      </c>
      <c r="H33" s="117">
        <f>Jan!H26+Apr!H26+Jul!H26+Oct!H26</f>
        <v>3916.7791575534848</v>
      </c>
      <c r="I33" s="117">
        <f>Jan!I26+Apr!I26+Jul!I26+Oct!I26</f>
        <v>4202.7109304783799</v>
      </c>
      <c r="J33" s="117">
        <f>Jan!J26+Apr!J26+Jul!J26+Oct!J26</f>
        <v>4884.1380968623398</v>
      </c>
      <c r="K33" s="117">
        <f>Jan!K26+Apr!K26+Jul!K26+Oct!K26</f>
        <v>5870.4516199370801</v>
      </c>
      <c r="L33" s="117">
        <f>Jan!L26+Apr!L26+Jul!L26+Oct!L26</f>
        <v>6931.7232726338998</v>
      </c>
      <c r="M33" s="117">
        <f>Jan!M26+Apr!M26+Jul!M26+Oct!M26</f>
        <v>7836.9044772179004</v>
      </c>
      <c r="N33" s="117">
        <f>Jan!N26+Apr!N26+Jul!N26+Oct!N26</f>
        <v>8376.839135053011</v>
      </c>
      <c r="O33" s="117">
        <f>Jan!O26+Apr!O26+Jul!O26+Oct!O26</f>
        <v>8828.8745280122203</v>
      </c>
      <c r="P33" s="117">
        <f>Jan!P26+Apr!P26+Jul!P26+Oct!P26</f>
        <v>9089.8688461563306</v>
      </c>
      <c r="Q33" s="117">
        <f>Jan!Q26+Apr!Q26+Jul!Q26+Oct!Q26</f>
        <v>9214.7637834572706</v>
      </c>
      <c r="R33" s="117">
        <f>Jan!R26+Apr!R26+Jul!R26+Oct!R26</f>
        <v>9432.4046599359608</v>
      </c>
      <c r="S33" s="117">
        <f>Jan!S26+Apr!S26+Jul!S26+Oct!S26</f>
        <v>9316.6996538521307</v>
      </c>
      <c r="T33" s="117">
        <f>Jan!T26+Apr!T26+Jul!T26+Oct!T26</f>
        <v>8868.1595610952299</v>
      </c>
      <c r="U33" s="117">
        <f>Jan!U26+Apr!U26+Jul!U26+Oct!U26</f>
        <v>8383.3581034224499</v>
      </c>
      <c r="V33" s="117">
        <f>Jan!V26+Apr!V26+Jul!V26+Oct!V26</f>
        <v>7664.9176830846709</v>
      </c>
      <c r="W33" s="117">
        <f>Jan!W26+Apr!W26+Jul!W26+Oct!W26</f>
        <v>6742.2357251523108</v>
      </c>
      <c r="X33" s="117">
        <f>Jan!X26+Apr!X26+Jul!X26+Oct!X26</f>
        <v>6202.4173002951202</v>
      </c>
      <c r="Y33" s="117">
        <f>Jan!Y26+Apr!Y26+Jul!Y26+Oct!Y26</f>
        <v>5762.7737593657102</v>
      </c>
      <c r="Z33" s="117">
        <f>Jan!Z26+Apr!Z26+Jul!Z26+Oct!Z26</f>
        <v>5212.3171785437789</v>
      </c>
      <c r="AA33" s="117">
        <f>Jan!AA26+Apr!AA26+Jul!AA26+Oct!AA26</f>
        <v>4639.2499309371397</v>
      </c>
      <c r="AB33" s="117">
        <f>Jan!AB26+Apr!AB26+Jul!AB26+Oct!AB26</f>
        <v>4260.1586067861099</v>
      </c>
    </row>
  </sheetData>
  <mergeCells count="1">
    <mergeCell ref="E6:AB6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"/>
  <sheetViews>
    <sheetView workbookViewId="0">
      <selection activeCell="M28" sqref="M28"/>
    </sheetView>
  </sheetViews>
  <sheetFormatPr baseColWidth="10" defaultRowHeight="16" x14ac:dyDescent="0.2"/>
  <cols>
    <col min="1" max="1" width="16.1640625" customWidth="1"/>
    <col min="3" max="3" width="11.6640625" customWidth="1"/>
    <col min="5" max="6" width="11.33203125" customWidth="1"/>
    <col min="9" max="9" width="11.5" bestFit="1" customWidth="1"/>
    <col min="11" max="11" width="9.33203125" bestFit="1" customWidth="1"/>
    <col min="12" max="12" width="17.1640625" customWidth="1"/>
    <col min="13" max="13" width="12.33203125" customWidth="1"/>
  </cols>
  <sheetData>
    <row r="1" spans="1:10" ht="19" x14ac:dyDescent="0.25">
      <c r="A1" s="82" t="s">
        <v>99</v>
      </c>
    </row>
    <row r="2" spans="1:10" x14ac:dyDescent="0.2">
      <c r="A2" s="104"/>
    </row>
    <row r="3" spans="1:10" x14ac:dyDescent="0.2">
      <c r="A3" s="104" t="s">
        <v>133</v>
      </c>
      <c r="B3" s="124">
        <v>2223.6095370000075</v>
      </c>
      <c r="C3" t="s">
        <v>89</v>
      </c>
    </row>
    <row r="4" spans="1:10" x14ac:dyDescent="0.2">
      <c r="A4" s="104"/>
    </row>
    <row r="5" spans="1:10" x14ac:dyDescent="0.2">
      <c r="A5" s="104" t="s">
        <v>98</v>
      </c>
    </row>
    <row r="6" spans="1:10" x14ac:dyDescent="0.2">
      <c r="D6" s="104" t="s">
        <v>97</v>
      </c>
      <c r="E6" s="104" t="s">
        <v>82</v>
      </c>
      <c r="F6" s="104" t="s">
        <v>96</v>
      </c>
      <c r="G6" s="104" t="s">
        <v>95</v>
      </c>
      <c r="H6" s="104" t="s">
        <v>94</v>
      </c>
      <c r="I6" s="104" t="s">
        <v>93</v>
      </c>
      <c r="J6" s="104" t="s">
        <v>92</v>
      </c>
    </row>
    <row r="7" spans="1:10" x14ac:dyDescent="0.2">
      <c r="A7" s="104" t="s">
        <v>157</v>
      </c>
      <c r="B7" s="104"/>
      <c r="C7" s="123" t="s">
        <v>91</v>
      </c>
      <c r="D7">
        <v>0.6</v>
      </c>
      <c r="E7" s="115">
        <v>0.7</v>
      </c>
      <c r="F7" s="115">
        <v>0.88</v>
      </c>
      <c r="G7" s="115">
        <v>0.88</v>
      </c>
      <c r="H7" s="115">
        <v>1</v>
      </c>
      <c r="I7" s="115">
        <v>1</v>
      </c>
      <c r="J7" s="115">
        <v>1.2</v>
      </c>
    </row>
    <row r="8" spans="1:10" x14ac:dyDescent="0.2">
      <c r="A8">
        <v>671.1</v>
      </c>
      <c r="D8" s="79">
        <v>300</v>
      </c>
      <c r="E8" s="79">
        <v>300</v>
      </c>
      <c r="F8" s="79">
        <v>300</v>
      </c>
      <c r="G8" s="79">
        <v>400</v>
      </c>
      <c r="H8" s="79">
        <v>500</v>
      </c>
      <c r="I8" s="79">
        <v>400</v>
      </c>
      <c r="J8" s="79">
        <v>590</v>
      </c>
    </row>
    <row r="9" spans="1:10" x14ac:dyDescent="0.2">
      <c r="A9">
        <v>671.2</v>
      </c>
      <c r="D9" s="79">
        <v>300</v>
      </c>
      <c r="E9" s="79">
        <v>300</v>
      </c>
      <c r="F9" s="79">
        <v>300</v>
      </c>
      <c r="G9" s="79">
        <v>400</v>
      </c>
      <c r="H9" s="79">
        <v>500</v>
      </c>
      <c r="I9" s="79">
        <v>400</v>
      </c>
      <c r="J9" s="79">
        <f>J8</f>
        <v>590</v>
      </c>
    </row>
    <row r="10" spans="1:10" x14ac:dyDescent="0.2">
      <c r="A10">
        <v>671.3</v>
      </c>
      <c r="D10" s="79">
        <v>300</v>
      </c>
      <c r="E10" s="79">
        <v>300</v>
      </c>
      <c r="F10" s="79">
        <v>300</v>
      </c>
      <c r="G10" s="79">
        <v>400</v>
      </c>
      <c r="H10" s="79">
        <v>500</v>
      </c>
      <c r="I10" s="79">
        <v>400</v>
      </c>
      <c r="J10" s="79">
        <f>J8</f>
        <v>590</v>
      </c>
    </row>
    <row r="11" spans="1:10" x14ac:dyDescent="0.2">
      <c r="A11">
        <v>645.20000000000005</v>
      </c>
      <c r="D11" s="79">
        <v>0</v>
      </c>
      <c r="E11" s="79">
        <v>0</v>
      </c>
      <c r="F11" s="79">
        <v>240</v>
      </c>
      <c r="G11" s="79">
        <v>200</v>
      </c>
      <c r="H11" s="79">
        <v>200</v>
      </c>
      <c r="I11" s="79">
        <v>240</v>
      </c>
      <c r="J11" s="79">
        <v>240</v>
      </c>
    </row>
    <row r="12" spans="1:10" x14ac:dyDescent="0.2">
      <c r="A12">
        <v>675.1</v>
      </c>
      <c r="D12" s="79">
        <v>500</v>
      </c>
      <c r="E12" s="79">
        <v>500</v>
      </c>
      <c r="F12" s="79">
        <v>500</v>
      </c>
      <c r="G12" s="79">
        <v>500</v>
      </c>
      <c r="H12" s="79">
        <v>500</v>
      </c>
      <c r="I12" s="79">
        <v>500</v>
      </c>
      <c r="J12" s="79">
        <v>500</v>
      </c>
    </row>
    <row r="13" spans="1:10" x14ac:dyDescent="0.2">
      <c r="A13">
        <v>675.2</v>
      </c>
      <c r="D13" s="79">
        <v>0</v>
      </c>
      <c r="E13" s="79">
        <v>0</v>
      </c>
      <c r="F13" s="79">
        <v>90</v>
      </c>
      <c r="G13" s="79">
        <v>0</v>
      </c>
      <c r="H13" s="79">
        <v>75</v>
      </c>
      <c r="I13" s="79">
        <v>150</v>
      </c>
      <c r="J13" s="79">
        <v>150</v>
      </c>
    </row>
    <row r="14" spans="1:10" x14ac:dyDescent="0.2">
      <c r="A14">
        <v>675.3</v>
      </c>
      <c r="D14" s="79">
        <v>300</v>
      </c>
      <c r="E14" s="79">
        <v>300</v>
      </c>
      <c r="F14" s="79">
        <v>300</v>
      </c>
      <c r="G14" s="79">
        <v>300</v>
      </c>
      <c r="H14" s="79">
        <v>300</v>
      </c>
      <c r="I14" s="79">
        <v>300</v>
      </c>
      <c r="J14" s="79">
        <v>300</v>
      </c>
    </row>
    <row r="15" spans="1:10" x14ac:dyDescent="0.2">
      <c r="A15">
        <v>670.1</v>
      </c>
      <c r="D15" s="79">
        <v>0</v>
      </c>
      <c r="E15" s="79">
        <v>20</v>
      </c>
      <c r="F15" s="79">
        <v>40</v>
      </c>
      <c r="G15" s="79">
        <v>40</v>
      </c>
      <c r="H15" s="79">
        <v>20</v>
      </c>
      <c r="I15" s="79">
        <v>40</v>
      </c>
      <c r="J15" s="79">
        <v>40</v>
      </c>
    </row>
    <row r="16" spans="1:10" x14ac:dyDescent="0.2">
      <c r="A16">
        <v>670.2</v>
      </c>
      <c r="D16" s="79">
        <v>0</v>
      </c>
      <c r="E16" s="79">
        <v>75</v>
      </c>
      <c r="F16" s="79">
        <v>150</v>
      </c>
      <c r="G16" s="79">
        <v>95</v>
      </c>
      <c r="H16" s="79">
        <v>75</v>
      </c>
      <c r="I16" s="79">
        <v>150</v>
      </c>
      <c r="J16" s="79">
        <v>150</v>
      </c>
    </row>
    <row r="17" spans="1:12" x14ac:dyDescent="0.2">
      <c r="A17">
        <v>670.3</v>
      </c>
      <c r="D17" s="79">
        <v>0</v>
      </c>
      <c r="E17" s="79">
        <v>125</v>
      </c>
      <c r="F17" s="79">
        <v>200</v>
      </c>
      <c r="G17" s="79">
        <v>125</v>
      </c>
      <c r="H17" s="79">
        <v>125</v>
      </c>
      <c r="I17" s="79">
        <v>215</v>
      </c>
      <c r="J17" s="79">
        <v>215</v>
      </c>
    </row>
    <row r="18" spans="1:12" s="104" customFormat="1" x14ac:dyDescent="0.2">
      <c r="A18" s="104" t="s">
        <v>90</v>
      </c>
      <c r="D18" s="104">
        <f t="shared" ref="D18:J18" si="0">SUM(D8:D17)</f>
        <v>1700</v>
      </c>
      <c r="E18" s="104">
        <f t="shared" si="0"/>
        <v>1920</v>
      </c>
      <c r="F18" s="104">
        <f t="shared" si="0"/>
        <v>2420</v>
      </c>
      <c r="G18" s="104">
        <f t="shared" si="0"/>
        <v>2460</v>
      </c>
      <c r="H18" s="104">
        <f t="shared" si="0"/>
        <v>2795</v>
      </c>
      <c r="I18" s="104">
        <f t="shared" si="0"/>
        <v>2795</v>
      </c>
      <c r="J18" s="104">
        <f t="shared" si="0"/>
        <v>3365</v>
      </c>
    </row>
    <row r="19" spans="1:12" x14ac:dyDescent="0.2">
      <c r="A19" s="104" t="s">
        <v>134</v>
      </c>
      <c r="B19" s="104"/>
      <c r="D19" s="118">
        <f t="shared" ref="D19:J19" si="1">D18/peak_kW</f>
        <v>0.76452271485287937</v>
      </c>
      <c r="E19" s="118">
        <f t="shared" si="1"/>
        <v>0.86346094853972266</v>
      </c>
      <c r="F19" s="118">
        <f t="shared" si="1"/>
        <v>1.0883205705552754</v>
      </c>
      <c r="G19" s="118">
        <f t="shared" si="1"/>
        <v>1.1063093403165196</v>
      </c>
      <c r="H19" s="118">
        <f t="shared" si="1"/>
        <v>1.2569652870669399</v>
      </c>
      <c r="I19" s="118">
        <f t="shared" si="1"/>
        <v>1.2569652870669399</v>
      </c>
      <c r="J19" s="118">
        <f t="shared" si="1"/>
        <v>1.51330525616467</v>
      </c>
    </row>
    <row r="22" spans="1:12" x14ac:dyDescent="0.2">
      <c r="A22" s="104" t="s">
        <v>149</v>
      </c>
    </row>
    <row r="23" spans="1:12" x14ac:dyDescent="0.2">
      <c r="B23" t="s">
        <v>89</v>
      </c>
      <c r="C23" t="s">
        <v>88</v>
      </c>
      <c r="D23" s="186" t="s">
        <v>87</v>
      </c>
      <c r="E23" s="186"/>
      <c r="F23" s="186"/>
      <c r="G23" s="186"/>
      <c r="H23" s="186"/>
      <c r="I23" s="186"/>
      <c r="J23" s="186"/>
      <c r="K23" s="187" t="s">
        <v>142</v>
      </c>
      <c r="L23" s="187"/>
    </row>
    <row r="24" spans="1:12" x14ac:dyDescent="0.2">
      <c r="A24" t="s">
        <v>86</v>
      </c>
      <c r="B24">
        <v>1000</v>
      </c>
      <c r="C24">
        <v>5000</v>
      </c>
      <c r="D24" s="2" t="s">
        <v>81</v>
      </c>
      <c r="E24" s="2" t="s">
        <v>81</v>
      </c>
      <c r="F24" s="2" t="s">
        <v>81</v>
      </c>
      <c r="G24" s="2" t="s">
        <v>81</v>
      </c>
      <c r="H24" s="2" t="s">
        <v>81</v>
      </c>
      <c r="I24" s="2" t="s">
        <v>141</v>
      </c>
      <c r="J24" s="2" t="s">
        <v>141</v>
      </c>
      <c r="K24" s="2" t="s">
        <v>143</v>
      </c>
      <c r="L24" s="114" t="s">
        <v>85</v>
      </c>
    </row>
    <row r="25" spans="1:12" x14ac:dyDescent="0.2">
      <c r="A25" t="s">
        <v>84</v>
      </c>
      <c r="B25">
        <v>1000</v>
      </c>
      <c r="C25" t="s">
        <v>83</v>
      </c>
      <c r="D25" s="2">
        <v>1000</v>
      </c>
      <c r="E25" s="2">
        <v>1000</v>
      </c>
      <c r="F25" s="2">
        <v>1000</v>
      </c>
      <c r="G25" s="2">
        <v>1000</v>
      </c>
      <c r="H25" s="2">
        <v>1000</v>
      </c>
      <c r="I25" s="2" t="s">
        <v>141</v>
      </c>
      <c r="J25" s="2" t="s">
        <v>141</v>
      </c>
      <c r="K25" s="114" t="s">
        <v>144</v>
      </c>
      <c r="L25" s="2" t="s">
        <v>66</v>
      </c>
    </row>
    <row r="26" spans="1:12" x14ac:dyDescent="0.2">
      <c r="A26" t="s">
        <v>82</v>
      </c>
      <c r="B26">
        <v>200</v>
      </c>
      <c r="C26">
        <v>1000</v>
      </c>
      <c r="D26" s="2" t="s">
        <v>81</v>
      </c>
      <c r="E26" s="2" t="s">
        <v>81</v>
      </c>
      <c r="F26" s="2" t="s">
        <v>81</v>
      </c>
      <c r="G26" s="2" t="s">
        <v>81</v>
      </c>
      <c r="H26" s="2" t="s">
        <v>81</v>
      </c>
      <c r="I26" s="2"/>
      <c r="K26" s="2" t="s">
        <v>143</v>
      </c>
      <c r="L26" s="114" t="s">
        <v>80</v>
      </c>
    </row>
  </sheetData>
  <mergeCells count="2">
    <mergeCell ref="D23:J23"/>
    <mergeCell ref="K23:L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"/>
  <sheetViews>
    <sheetView workbookViewId="0">
      <selection activeCell="A4" sqref="A4"/>
    </sheetView>
  </sheetViews>
  <sheetFormatPr baseColWidth="10" defaultRowHeight="16" x14ac:dyDescent="0.2"/>
  <cols>
    <col min="3" max="4" width="11.5" bestFit="1" customWidth="1"/>
    <col min="5" max="5" width="12.5" bestFit="1" customWidth="1"/>
    <col min="8" max="8" width="11.5" bestFit="1" customWidth="1"/>
  </cols>
  <sheetData>
    <row r="1" spans="1:8" ht="19" x14ac:dyDescent="0.25">
      <c r="A1" s="82" t="s">
        <v>185</v>
      </c>
    </row>
    <row r="2" spans="1:8" x14ac:dyDescent="0.2">
      <c r="A2" s="150" t="s">
        <v>186</v>
      </c>
    </row>
    <row r="3" spans="1:8" x14ac:dyDescent="0.2">
      <c r="A3" s="150" t="s">
        <v>192</v>
      </c>
    </row>
    <row r="5" spans="1:8" x14ac:dyDescent="0.2">
      <c r="A5" s="104" t="s">
        <v>180</v>
      </c>
      <c r="B5" s="104" t="s">
        <v>181</v>
      </c>
      <c r="C5" s="104" t="s">
        <v>187</v>
      </c>
      <c r="D5" s="104" t="s">
        <v>188</v>
      </c>
      <c r="E5" s="104" t="s">
        <v>189</v>
      </c>
    </row>
    <row r="6" spans="1:8" x14ac:dyDescent="0.2">
      <c r="A6" t="s">
        <v>64</v>
      </c>
      <c r="B6" s="118">
        <v>0.35</v>
      </c>
      <c r="C6" s="118">
        <f>C4+B6</f>
        <v>0.35</v>
      </c>
      <c r="D6" s="4">
        <v>1758960.8036775447</v>
      </c>
      <c r="E6" s="141">
        <f>D6*B6</f>
        <v>615636.28128714056</v>
      </c>
    </row>
    <row r="7" spans="1:8" x14ac:dyDescent="0.2">
      <c r="A7" t="s">
        <v>64</v>
      </c>
      <c r="B7" s="118">
        <v>0.15000000000000002</v>
      </c>
      <c r="C7" s="118">
        <f t="shared" ref="C7:C9" si="0">C6+B7</f>
        <v>0.5</v>
      </c>
      <c r="D7" s="4">
        <v>1958960.8036775447</v>
      </c>
      <c r="E7" s="141">
        <f t="shared" ref="E7:E21" si="1">D7*B7</f>
        <v>293844.12055163173</v>
      </c>
    </row>
    <row r="8" spans="1:8" x14ac:dyDescent="0.2">
      <c r="A8" t="s">
        <v>64</v>
      </c>
      <c r="B8" s="118">
        <v>0.35</v>
      </c>
      <c r="C8" s="118">
        <f t="shared" si="0"/>
        <v>0.85</v>
      </c>
      <c r="D8" s="4">
        <v>2291018.3127126517</v>
      </c>
      <c r="E8" s="141">
        <f t="shared" si="1"/>
        <v>801856.40944942809</v>
      </c>
    </row>
    <row r="9" spans="1:8" x14ac:dyDescent="0.2">
      <c r="A9" t="s">
        <v>64</v>
      </c>
      <c r="B9" s="118">
        <v>0.15</v>
      </c>
      <c r="C9" s="118">
        <f t="shared" si="0"/>
        <v>1</v>
      </c>
      <c r="D9" s="4">
        <v>2347988.068001545</v>
      </c>
      <c r="E9" s="141">
        <f t="shared" si="1"/>
        <v>352198.21020023176</v>
      </c>
      <c r="G9">
        <v>0</v>
      </c>
      <c r="H9" s="141">
        <f>E10</f>
        <v>2063535.0214884321</v>
      </c>
    </row>
    <row r="10" spans="1:8" x14ac:dyDescent="0.2">
      <c r="D10" s="123" t="s">
        <v>184</v>
      </c>
      <c r="E10" s="141">
        <f>SUM(E6:E9)</f>
        <v>2063535.0214884321</v>
      </c>
      <c r="G10">
        <v>1</v>
      </c>
      <c r="H10" s="141">
        <f>H9</f>
        <v>2063535.0214884321</v>
      </c>
    </row>
    <row r="11" spans="1:8" x14ac:dyDescent="0.2">
      <c r="E11" s="141"/>
    </row>
    <row r="12" spans="1:8" x14ac:dyDescent="0.2">
      <c r="A12" t="s">
        <v>63</v>
      </c>
      <c r="B12">
        <v>0.35</v>
      </c>
      <c r="C12" s="118">
        <f>C10+B12</f>
        <v>0.35</v>
      </c>
      <c r="D12" s="4">
        <v>550960.8036775447</v>
      </c>
      <c r="E12" s="141">
        <f t="shared" si="1"/>
        <v>192836.28128714062</v>
      </c>
    </row>
    <row r="13" spans="1:8" x14ac:dyDescent="0.2">
      <c r="A13" t="s">
        <v>63</v>
      </c>
      <c r="B13">
        <v>0.15</v>
      </c>
      <c r="C13" s="118">
        <f t="shared" ref="C13:C15" si="2">C12+B13</f>
        <v>0.5</v>
      </c>
      <c r="D13" s="4">
        <v>1139988.0680015448</v>
      </c>
      <c r="E13" s="141">
        <f t="shared" si="1"/>
        <v>170998.21020023173</v>
      </c>
    </row>
    <row r="14" spans="1:8" x14ac:dyDescent="0.2">
      <c r="A14" t="s">
        <v>63</v>
      </c>
      <c r="B14">
        <v>0.15000000000000002</v>
      </c>
      <c r="C14" s="118">
        <f t="shared" si="2"/>
        <v>0.65</v>
      </c>
      <c r="D14" s="4">
        <v>1550960.8036775447</v>
      </c>
      <c r="E14" s="141">
        <f t="shared" si="1"/>
        <v>232644.12055163173</v>
      </c>
    </row>
    <row r="15" spans="1:8" x14ac:dyDescent="0.2">
      <c r="A15" t="s">
        <v>63</v>
      </c>
      <c r="B15">
        <v>0.35</v>
      </c>
      <c r="C15" s="118">
        <f t="shared" si="2"/>
        <v>1</v>
      </c>
      <c r="D15" s="4">
        <v>1883018.3127126517</v>
      </c>
      <c r="E15" s="141">
        <f t="shared" si="1"/>
        <v>659056.40944942809</v>
      </c>
      <c r="G15">
        <v>0</v>
      </c>
      <c r="H15" s="141">
        <f>E16</f>
        <v>1255535.0214884321</v>
      </c>
    </row>
    <row r="16" spans="1:8" x14ac:dyDescent="0.2">
      <c r="D16" s="123" t="s">
        <v>184</v>
      </c>
      <c r="E16" s="141">
        <f>SUM(E12:E15)</f>
        <v>1255535.0214884321</v>
      </c>
      <c r="G16">
        <v>1</v>
      </c>
      <c r="H16" s="141">
        <f>H15</f>
        <v>1255535.0214884321</v>
      </c>
    </row>
    <row r="17" spans="1:8" x14ac:dyDescent="0.2">
      <c r="E17" s="141"/>
    </row>
    <row r="18" spans="1:8" x14ac:dyDescent="0.2">
      <c r="A18" t="s">
        <v>62</v>
      </c>
      <c r="B18">
        <v>0.35</v>
      </c>
      <c r="C18" s="118">
        <f>C16+B18</f>
        <v>0.35</v>
      </c>
      <c r="D18" s="4">
        <v>445928.8200658462</v>
      </c>
      <c r="E18" s="141">
        <f t="shared" si="1"/>
        <v>156075.08702304616</v>
      </c>
    </row>
    <row r="19" spans="1:8" x14ac:dyDescent="0.2">
      <c r="A19" t="s">
        <v>62</v>
      </c>
      <c r="B19">
        <v>0.15</v>
      </c>
      <c r="C19" s="118">
        <f t="shared" ref="C19:C21" si="3">C18+B19</f>
        <v>0.5</v>
      </c>
      <c r="D19" s="4">
        <v>1013334.008365358</v>
      </c>
      <c r="E19" s="141">
        <f t="shared" si="1"/>
        <v>152000.10125480368</v>
      </c>
    </row>
    <row r="20" spans="1:8" x14ac:dyDescent="0.2">
      <c r="A20" t="s">
        <v>62</v>
      </c>
      <c r="B20">
        <v>0.15000000000000002</v>
      </c>
      <c r="C20" s="118">
        <f t="shared" si="3"/>
        <v>0.65</v>
      </c>
      <c r="D20" s="4">
        <v>1789342.8109555615</v>
      </c>
      <c r="E20" s="141">
        <f t="shared" si="1"/>
        <v>268401.42164333427</v>
      </c>
    </row>
    <row r="21" spans="1:8" x14ac:dyDescent="0.2">
      <c r="A21" t="s">
        <v>62</v>
      </c>
      <c r="B21">
        <v>0.35</v>
      </c>
      <c r="C21" s="118">
        <f t="shared" si="3"/>
        <v>1</v>
      </c>
      <c r="D21" s="4">
        <v>2121400.3199906684</v>
      </c>
      <c r="E21" s="141">
        <f t="shared" si="1"/>
        <v>742490.11199673393</v>
      </c>
      <c r="G21">
        <v>0</v>
      </c>
      <c r="H21" s="141">
        <f>E22</f>
        <v>1318966.721917918</v>
      </c>
    </row>
    <row r="22" spans="1:8" x14ac:dyDescent="0.2">
      <c r="D22" s="123" t="s">
        <v>184</v>
      </c>
      <c r="E22" s="141">
        <f>SUM(E18:E21)</f>
        <v>1318966.721917918</v>
      </c>
      <c r="G22">
        <v>1</v>
      </c>
      <c r="H22" s="141">
        <f>H21</f>
        <v>1318966.721917918</v>
      </c>
    </row>
  </sheetData>
  <sortState ref="A14:C17">
    <sortCondition ref="C14:C1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6"/>
  <sheetViews>
    <sheetView workbookViewId="0">
      <selection activeCell="C27" sqref="C27"/>
    </sheetView>
  </sheetViews>
  <sheetFormatPr baseColWidth="10" defaultRowHeight="16" x14ac:dyDescent="0.2"/>
  <sheetData>
    <row r="1" spans="1:28" x14ac:dyDescent="0.2">
      <c r="A1">
        <v>0</v>
      </c>
      <c r="B1">
        <v>0</v>
      </c>
      <c r="C1">
        <v>0.76452271500000002</v>
      </c>
      <c r="D1">
        <v>0</v>
      </c>
      <c r="E1">
        <v>935.24867440000003</v>
      </c>
      <c r="F1">
        <v>929.49736819999998</v>
      </c>
      <c r="G1">
        <v>901.26084470000001</v>
      </c>
      <c r="H1">
        <v>924.85210659999996</v>
      </c>
      <c r="I1">
        <v>1020.444022</v>
      </c>
      <c r="J1">
        <v>1200.318884</v>
      </c>
      <c r="K1">
        <v>1473.686318</v>
      </c>
      <c r="L1">
        <v>1763.7436600000001</v>
      </c>
      <c r="M1">
        <v>1596.280755</v>
      </c>
      <c r="N1">
        <v>1164.7479510000001</v>
      </c>
      <c r="O1">
        <v>854.39571460000002</v>
      </c>
      <c r="P1">
        <v>650.55358079999996</v>
      </c>
      <c r="Q1">
        <v>551.31250820000002</v>
      </c>
      <c r="R1">
        <v>618.41737620000004</v>
      </c>
      <c r="S1">
        <v>724.97173220000002</v>
      </c>
      <c r="T1">
        <v>877.61196040000004</v>
      </c>
      <c r="U1">
        <v>1139.5257750000001</v>
      </c>
      <c r="V1">
        <v>1605.1824529999999</v>
      </c>
      <c r="W1">
        <v>1527.562416</v>
      </c>
      <c r="X1">
        <v>1391.5698609999999</v>
      </c>
      <c r="Y1">
        <v>1285.8320329999999</v>
      </c>
      <c r="Z1">
        <v>1189.6424629999999</v>
      </c>
      <c r="AA1">
        <v>1068.0119259999999</v>
      </c>
      <c r="AB1">
        <v>969.18132900000001</v>
      </c>
    </row>
    <row r="2" spans="1:28" x14ac:dyDescent="0.2">
      <c r="A2">
        <v>200</v>
      </c>
      <c r="B2">
        <v>1000</v>
      </c>
      <c r="C2">
        <v>0.76452271500000002</v>
      </c>
      <c r="D2">
        <v>0</v>
      </c>
      <c r="E2">
        <v>1016.080495</v>
      </c>
      <c r="F2">
        <v>1010.338117</v>
      </c>
      <c r="G2">
        <v>1002.686026</v>
      </c>
      <c r="H2">
        <v>1026.2331610000001</v>
      </c>
      <c r="I2">
        <v>1020.446159</v>
      </c>
      <c r="J2">
        <v>1162.661398</v>
      </c>
      <c r="K2">
        <v>1271.877334</v>
      </c>
      <c r="L2">
        <v>1567.083785</v>
      </c>
      <c r="M2">
        <v>1396.2369920000001</v>
      </c>
      <c r="N2">
        <v>1126.4543570000001</v>
      </c>
      <c r="O2">
        <v>953.29468329999997</v>
      </c>
      <c r="P2">
        <v>853.35647770000003</v>
      </c>
      <c r="Q2">
        <v>755.49330999999995</v>
      </c>
      <c r="R2">
        <v>821.21675449999998</v>
      </c>
      <c r="S2">
        <v>925.92159619999995</v>
      </c>
      <c r="T2">
        <v>978.29592920000005</v>
      </c>
      <c r="U2">
        <v>1102.2144840000001</v>
      </c>
      <c r="V2">
        <v>1403.441384</v>
      </c>
      <c r="W2">
        <v>1333.636193</v>
      </c>
      <c r="X2">
        <v>1197.2423799999999</v>
      </c>
      <c r="Y2">
        <v>1187.493804</v>
      </c>
      <c r="Z2">
        <v>1151.255692</v>
      </c>
      <c r="AA2">
        <v>1068.0260760000001</v>
      </c>
      <c r="AB2">
        <v>1020.627059</v>
      </c>
    </row>
    <row r="3" spans="1:28" x14ac:dyDescent="0.2">
      <c r="A3">
        <v>1000</v>
      </c>
      <c r="B3">
        <v>1000</v>
      </c>
      <c r="C3">
        <v>0.76452271500000002</v>
      </c>
      <c r="D3">
        <v>0</v>
      </c>
      <c r="E3">
        <v>935.24867440000003</v>
      </c>
      <c r="F3">
        <v>929.49736819999998</v>
      </c>
      <c r="G3">
        <v>901.26084470000001</v>
      </c>
      <c r="H3">
        <v>924.85210659999996</v>
      </c>
      <c r="I3">
        <v>1020.444022</v>
      </c>
      <c r="J3">
        <v>1200.318884</v>
      </c>
      <c r="K3">
        <v>1354.2236210000001</v>
      </c>
      <c r="L3">
        <v>1447.097933</v>
      </c>
      <c r="M3">
        <v>1384.380069</v>
      </c>
      <c r="N3">
        <v>1163.4922329999999</v>
      </c>
      <c r="O3">
        <v>891.07039010000005</v>
      </c>
      <c r="P3">
        <v>915.60489280000002</v>
      </c>
      <c r="Q3">
        <v>817.66417100000001</v>
      </c>
      <c r="R3">
        <v>883.43179869999994</v>
      </c>
      <c r="S3">
        <v>888.86512660000005</v>
      </c>
      <c r="T3">
        <v>895.73414460000004</v>
      </c>
      <c r="U3">
        <v>1139.407825</v>
      </c>
      <c r="V3">
        <v>1391.474158</v>
      </c>
      <c r="W3">
        <v>1381.6269569999999</v>
      </c>
      <c r="X3">
        <v>1373.6745579999999</v>
      </c>
      <c r="Y3">
        <v>1285.059088</v>
      </c>
      <c r="Z3">
        <v>1188.922041</v>
      </c>
      <c r="AA3">
        <v>1068.0269989999999</v>
      </c>
      <c r="AB3">
        <v>969.18132990000004</v>
      </c>
    </row>
    <row r="4" spans="1:28" x14ac:dyDescent="0.2">
      <c r="A4">
        <v>1000</v>
      </c>
      <c r="B4">
        <v>5000</v>
      </c>
      <c r="C4">
        <v>0.76452271500000002</v>
      </c>
      <c r="D4">
        <v>0</v>
      </c>
      <c r="E4">
        <v>1105.5887640000001</v>
      </c>
      <c r="F4">
        <v>1099.86085</v>
      </c>
      <c r="G4">
        <v>1099.1005869999999</v>
      </c>
      <c r="H4">
        <v>1107.966486</v>
      </c>
      <c r="I4">
        <v>1104.022363</v>
      </c>
      <c r="J4">
        <v>1100.5341109999999</v>
      </c>
      <c r="K4">
        <v>1079.171188</v>
      </c>
      <c r="L4">
        <v>1123.823662</v>
      </c>
      <c r="M4">
        <v>1101.4389980000001</v>
      </c>
      <c r="N4">
        <v>1087.834777</v>
      </c>
      <c r="O4">
        <v>1090.326274</v>
      </c>
      <c r="P4">
        <v>1112.4372679999999</v>
      </c>
      <c r="Q4">
        <v>1059.7103629999999</v>
      </c>
      <c r="R4">
        <v>1089.9705690000001</v>
      </c>
      <c r="S4">
        <v>1091.790227</v>
      </c>
      <c r="T4">
        <v>1098.66374</v>
      </c>
      <c r="U4">
        <v>1092.8722749999999</v>
      </c>
      <c r="V4">
        <v>1095.08915</v>
      </c>
      <c r="W4">
        <v>1095.8219979999999</v>
      </c>
      <c r="X4">
        <v>1094.103083</v>
      </c>
      <c r="Y4">
        <v>1096.9697040000001</v>
      </c>
      <c r="Z4">
        <v>1089.0956200000001</v>
      </c>
      <c r="AA4">
        <v>1100.4063160000001</v>
      </c>
      <c r="AB4">
        <v>1108.8178640000001</v>
      </c>
    </row>
    <row r="5" spans="1:28" x14ac:dyDescent="0.2">
      <c r="A5">
        <v>200</v>
      </c>
      <c r="B5">
        <v>1000</v>
      </c>
      <c r="C5">
        <v>0.86346094900000003</v>
      </c>
      <c r="D5">
        <v>0</v>
      </c>
      <c r="E5">
        <v>935.2905422</v>
      </c>
      <c r="F5">
        <v>929.49741940000001</v>
      </c>
      <c r="G5">
        <v>901.26084470000001</v>
      </c>
      <c r="H5">
        <v>924.85210659999996</v>
      </c>
      <c r="I5">
        <v>1020.444022</v>
      </c>
      <c r="J5">
        <v>1200.318884</v>
      </c>
      <c r="K5">
        <v>1335.3749459999999</v>
      </c>
      <c r="L5">
        <v>1558.5352680000001</v>
      </c>
      <c r="M5">
        <v>1362.740348</v>
      </c>
      <c r="N5">
        <v>1054.134849</v>
      </c>
      <c r="O5">
        <v>826.48651729999995</v>
      </c>
      <c r="P5">
        <v>673.07203049999998</v>
      </c>
      <c r="Q5">
        <v>555.4685422</v>
      </c>
      <c r="R5">
        <v>625.65985609999996</v>
      </c>
      <c r="S5">
        <v>759.55921999999998</v>
      </c>
      <c r="T5">
        <v>837.66265169999997</v>
      </c>
      <c r="U5">
        <v>1055.9253470000001</v>
      </c>
      <c r="V5">
        <v>1404.4895879999999</v>
      </c>
      <c r="W5">
        <v>1336.444344</v>
      </c>
      <c r="X5">
        <v>1277.3685499999999</v>
      </c>
      <c r="Y5">
        <v>1284.5204859999999</v>
      </c>
      <c r="Z5">
        <v>1188.42482</v>
      </c>
      <c r="AA5">
        <v>1067.5771339999999</v>
      </c>
      <c r="AB5">
        <v>968.77053190000004</v>
      </c>
    </row>
    <row r="6" spans="1:28" x14ac:dyDescent="0.2">
      <c r="A6">
        <v>1000</v>
      </c>
      <c r="B6">
        <v>1000</v>
      </c>
      <c r="C6">
        <v>0.86346094900000003</v>
      </c>
      <c r="D6">
        <v>0</v>
      </c>
      <c r="E6">
        <v>935.2905422</v>
      </c>
      <c r="F6">
        <v>929.49741940000001</v>
      </c>
      <c r="G6">
        <v>901.26084470000001</v>
      </c>
      <c r="H6">
        <v>924.85210659999996</v>
      </c>
      <c r="I6">
        <v>1020.444022</v>
      </c>
      <c r="J6">
        <v>1200.318884</v>
      </c>
      <c r="K6">
        <v>1357.64699</v>
      </c>
      <c r="L6">
        <v>1441.9405159999999</v>
      </c>
      <c r="M6">
        <v>1384.716371</v>
      </c>
      <c r="N6">
        <v>1054.1349889999999</v>
      </c>
      <c r="O6">
        <v>741.10184830000003</v>
      </c>
      <c r="P6">
        <v>705.06011100000001</v>
      </c>
      <c r="Q6">
        <v>646.36410739999997</v>
      </c>
      <c r="R6">
        <v>716.59951579999995</v>
      </c>
      <c r="S6">
        <v>724.24090999999999</v>
      </c>
      <c r="T6">
        <v>745.30717619999996</v>
      </c>
      <c r="U6">
        <v>1055.919725</v>
      </c>
      <c r="V6">
        <v>1375.424612</v>
      </c>
      <c r="W6">
        <v>1358.7309949999999</v>
      </c>
      <c r="X6">
        <v>1356.036059</v>
      </c>
      <c r="Y6">
        <v>1284.52387</v>
      </c>
      <c r="Z6">
        <v>1188.4248210000001</v>
      </c>
      <c r="AA6">
        <v>1067.5771339999999</v>
      </c>
      <c r="AB6">
        <v>968.77053190000004</v>
      </c>
    </row>
    <row r="7" spans="1:28" x14ac:dyDescent="0.2">
      <c r="A7">
        <v>1000</v>
      </c>
      <c r="B7">
        <v>5000</v>
      </c>
      <c r="C7">
        <v>0.86346094900000003</v>
      </c>
      <c r="D7">
        <v>0</v>
      </c>
      <c r="E7">
        <v>1052.986588</v>
      </c>
      <c r="F7">
        <v>1047.2955380000001</v>
      </c>
      <c r="G7">
        <v>1046.5814009999999</v>
      </c>
      <c r="H7">
        <v>1048.996537</v>
      </c>
      <c r="I7">
        <v>1044.8659869999999</v>
      </c>
      <c r="J7">
        <v>1041.4366689999999</v>
      </c>
      <c r="K7">
        <v>1034.6312789999999</v>
      </c>
      <c r="L7">
        <v>1071.1286789999999</v>
      </c>
      <c r="M7">
        <v>1050.7259220000001</v>
      </c>
      <c r="N7">
        <v>1042.9200069999999</v>
      </c>
      <c r="O7">
        <v>1048.6777870000001</v>
      </c>
      <c r="P7">
        <v>1034.815333</v>
      </c>
      <c r="Q7">
        <v>1007.519482</v>
      </c>
      <c r="R7">
        <v>1041.9589510000001</v>
      </c>
      <c r="S7">
        <v>1044.0241390000001</v>
      </c>
      <c r="T7">
        <v>1045.5053370000001</v>
      </c>
      <c r="U7">
        <v>1045.4746250000001</v>
      </c>
      <c r="V7">
        <v>1036.226298</v>
      </c>
      <c r="W7">
        <v>1035.8922540000001</v>
      </c>
      <c r="X7">
        <v>1034.374137</v>
      </c>
      <c r="Y7">
        <v>1037.724557</v>
      </c>
      <c r="Z7">
        <v>1042.9175499999999</v>
      </c>
      <c r="AA7">
        <v>1047.9155960000001</v>
      </c>
      <c r="AB7">
        <v>1049.795443</v>
      </c>
    </row>
    <row r="8" spans="1:28" x14ac:dyDescent="0.2">
      <c r="A8">
        <v>200</v>
      </c>
      <c r="B8">
        <v>1000</v>
      </c>
      <c r="C8">
        <v>1.0883205709999999</v>
      </c>
      <c r="D8">
        <v>0</v>
      </c>
      <c r="E8">
        <v>935.2905422</v>
      </c>
      <c r="F8">
        <v>929.49741940000001</v>
      </c>
      <c r="G8">
        <v>901.26084470000001</v>
      </c>
      <c r="H8">
        <v>924.85210659999996</v>
      </c>
      <c r="I8">
        <v>1020.444022</v>
      </c>
      <c r="J8">
        <v>1200.318884</v>
      </c>
      <c r="K8">
        <v>1319.9480410000001</v>
      </c>
      <c r="L8">
        <v>1575.628778</v>
      </c>
      <c r="M8">
        <v>1294.563709</v>
      </c>
      <c r="N8">
        <v>805.83822850000001</v>
      </c>
      <c r="O8">
        <v>508.36049650000001</v>
      </c>
      <c r="P8">
        <v>254.56987480000001</v>
      </c>
      <c r="Q8">
        <v>119.74537340000001</v>
      </c>
      <c r="R8">
        <v>200.57446429999999</v>
      </c>
      <c r="S8">
        <v>384.8737893</v>
      </c>
      <c r="T8">
        <v>546.64353449999999</v>
      </c>
      <c r="U8">
        <v>867.36700989999997</v>
      </c>
      <c r="V8">
        <v>1377.310223</v>
      </c>
      <c r="W8">
        <v>1338.1589799999999</v>
      </c>
      <c r="X8">
        <v>1261.9397449999999</v>
      </c>
      <c r="Y8">
        <v>1264.020031</v>
      </c>
      <c r="Z8">
        <v>1188.4241199999999</v>
      </c>
      <c r="AA8">
        <v>1067.5771339999999</v>
      </c>
      <c r="AB8">
        <v>968.77053190000004</v>
      </c>
    </row>
    <row r="9" spans="1:28" x14ac:dyDescent="0.2">
      <c r="A9">
        <v>1000</v>
      </c>
      <c r="B9">
        <v>1000</v>
      </c>
      <c r="C9">
        <v>1.0883205709999999</v>
      </c>
      <c r="D9">
        <v>0</v>
      </c>
      <c r="E9">
        <v>935.2905422</v>
      </c>
      <c r="F9">
        <v>929.49741940000001</v>
      </c>
      <c r="G9">
        <v>901.26084470000001</v>
      </c>
      <c r="H9">
        <v>924.85210659999996</v>
      </c>
      <c r="I9">
        <v>1020.444022</v>
      </c>
      <c r="J9">
        <v>1200.318884</v>
      </c>
      <c r="K9">
        <v>1355.9353779999999</v>
      </c>
      <c r="L9">
        <v>1423.0197780000001</v>
      </c>
      <c r="M9">
        <v>1355.0869869999999</v>
      </c>
      <c r="N9">
        <v>805.83678139999995</v>
      </c>
      <c r="O9">
        <v>357.79118949999997</v>
      </c>
      <c r="P9">
        <v>329.61295849999999</v>
      </c>
      <c r="Q9">
        <v>246.17523499999999</v>
      </c>
      <c r="R9">
        <v>324.68988519999999</v>
      </c>
      <c r="S9">
        <v>309.38041829999997</v>
      </c>
      <c r="T9">
        <v>444.5997989</v>
      </c>
      <c r="U9">
        <v>867.35959660000003</v>
      </c>
      <c r="V9">
        <v>1332.8199159999999</v>
      </c>
      <c r="W9">
        <v>1339.866824</v>
      </c>
      <c r="X9">
        <v>1338.958155</v>
      </c>
      <c r="Y9">
        <v>1284.5231309999999</v>
      </c>
      <c r="Z9">
        <v>1188.42482</v>
      </c>
      <c r="AA9">
        <v>1067.5771339999999</v>
      </c>
      <c r="AB9">
        <v>968.77053190000004</v>
      </c>
    </row>
    <row r="10" spans="1:28" x14ac:dyDescent="0.2">
      <c r="A10">
        <v>1000</v>
      </c>
      <c r="B10">
        <v>5000</v>
      </c>
      <c r="C10">
        <v>1.0883205709999999</v>
      </c>
      <c r="D10">
        <v>0</v>
      </c>
      <c r="E10">
        <v>919.72868619999997</v>
      </c>
      <c r="F10">
        <v>921.95613949999995</v>
      </c>
      <c r="G10">
        <v>935.42341690000001</v>
      </c>
      <c r="H10">
        <v>924.68058069999995</v>
      </c>
      <c r="I10">
        <v>923.64446810000004</v>
      </c>
      <c r="J10">
        <v>912.52666390000002</v>
      </c>
      <c r="K10">
        <v>921.32200369999998</v>
      </c>
      <c r="L10">
        <v>945.43894509999996</v>
      </c>
      <c r="M10">
        <v>925.96073939999997</v>
      </c>
      <c r="N10">
        <v>933.66574030000004</v>
      </c>
      <c r="O10">
        <v>929.99292820000005</v>
      </c>
      <c r="P10">
        <v>926.54859720000002</v>
      </c>
      <c r="Q10">
        <v>885.41482269999995</v>
      </c>
      <c r="R10">
        <v>924.80109389999996</v>
      </c>
      <c r="S10">
        <v>920.53155849999996</v>
      </c>
      <c r="T10">
        <v>928.30204679999997</v>
      </c>
      <c r="U10">
        <v>925.46495900000002</v>
      </c>
      <c r="V10">
        <v>901.86738590000004</v>
      </c>
      <c r="W10">
        <v>909.39649989999998</v>
      </c>
      <c r="X10">
        <v>910.03048860000001</v>
      </c>
      <c r="Y10">
        <v>907.9791209</v>
      </c>
      <c r="Z10">
        <v>913.57787020000001</v>
      </c>
      <c r="AA10">
        <v>919.11452059999999</v>
      </c>
      <c r="AB10">
        <v>918.86711439999999</v>
      </c>
    </row>
    <row r="11" spans="1:28" x14ac:dyDescent="0.2">
      <c r="A11">
        <v>200</v>
      </c>
      <c r="B11">
        <v>1000</v>
      </c>
      <c r="C11">
        <v>1.1063093399999999</v>
      </c>
      <c r="D11">
        <v>0</v>
      </c>
      <c r="E11">
        <v>935.2905422</v>
      </c>
      <c r="F11">
        <v>929.49741940000001</v>
      </c>
      <c r="G11">
        <v>901.26084470000001</v>
      </c>
      <c r="H11">
        <v>924.85210659999996</v>
      </c>
      <c r="I11">
        <v>1020.444022</v>
      </c>
      <c r="J11">
        <v>1200.318884</v>
      </c>
      <c r="K11">
        <v>1319.9480410000001</v>
      </c>
      <c r="L11">
        <v>1575.628778</v>
      </c>
      <c r="M11">
        <v>1286.5746360000001</v>
      </c>
      <c r="N11">
        <v>787.45802000000003</v>
      </c>
      <c r="O11">
        <v>479.9293073</v>
      </c>
      <c r="P11">
        <v>220.1889223</v>
      </c>
      <c r="Q11">
        <v>84.082406469999995</v>
      </c>
      <c r="R11">
        <v>165.0201333</v>
      </c>
      <c r="S11">
        <v>352.71345170000001</v>
      </c>
      <c r="T11">
        <v>521.52253800000005</v>
      </c>
      <c r="U11">
        <v>852.01308919999997</v>
      </c>
      <c r="V11">
        <v>1375.4160939999999</v>
      </c>
      <c r="W11">
        <v>1338.158338</v>
      </c>
      <c r="X11">
        <v>1261.9397449999999</v>
      </c>
      <c r="Y11">
        <v>1264.020031</v>
      </c>
      <c r="Z11">
        <v>1188.4241199999999</v>
      </c>
      <c r="AA11">
        <v>1067.5771339999999</v>
      </c>
      <c r="AB11">
        <v>968.77053190000004</v>
      </c>
    </row>
    <row r="12" spans="1:28" x14ac:dyDescent="0.2">
      <c r="A12">
        <v>1000</v>
      </c>
      <c r="B12">
        <v>1000</v>
      </c>
      <c r="C12">
        <v>1.1063093399999999</v>
      </c>
      <c r="D12">
        <v>0</v>
      </c>
      <c r="E12">
        <v>935.2905422</v>
      </c>
      <c r="F12">
        <v>929.49741940000001</v>
      </c>
      <c r="G12">
        <v>901.26084470000001</v>
      </c>
      <c r="H12">
        <v>924.85210659999996</v>
      </c>
      <c r="I12">
        <v>1020.444022</v>
      </c>
      <c r="J12">
        <v>1200.318884</v>
      </c>
      <c r="K12">
        <v>1355.9353779999999</v>
      </c>
      <c r="L12">
        <v>1423.0197780000001</v>
      </c>
      <c r="M12">
        <v>1347.1605199999999</v>
      </c>
      <c r="N12">
        <v>787.45636730000001</v>
      </c>
      <c r="O12">
        <v>329.38018110000002</v>
      </c>
      <c r="P12">
        <v>294.87448319999999</v>
      </c>
      <c r="Q12">
        <v>209.0076755</v>
      </c>
      <c r="R12">
        <v>289.34582510000001</v>
      </c>
      <c r="S12">
        <v>277.77348710000001</v>
      </c>
      <c r="T12">
        <v>420.18631740000001</v>
      </c>
      <c r="U12">
        <v>852.00675139999998</v>
      </c>
      <c r="V12">
        <v>1330.933781</v>
      </c>
      <c r="W12">
        <v>1339.8657229999999</v>
      </c>
      <c r="X12">
        <v>1338.9581539999999</v>
      </c>
      <c r="Y12">
        <v>1284.5231309999999</v>
      </c>
      <c r="Z12">
        <v>1188.42482</v>
      </c>
      <c r="AA12">
        <v>1067.5771339999999</v>
      </c>
      <c r="AB12">
        <v>968.77053190000004</v>
      </c>
    </row>
    <row r="13" spans="1:28" x14ac:dyDescent="0.2">
      <c r="A13">
        <v>1000</v>
      </c>
      <c r="B13">
        <v>5000</v>
      </c>
      <c r="C13">
        <v>1.1063093399999999</v>
      </c>
      <c r="D13">
        <v>0</v>
      </c>
      <c r="E13">
        <v>912.78275369999994</v>
      </c>
      <c r="F13">
        <v>915.0111819</v>
      </c>
      <c r="G13">
        <v>912.45795069999997</v>
      </c>
      <c r="H13">
        <v>917.65219669999999</v>
      </c>
      <c r="I13">
        <v>916.68009380000001</v>
      </c>
      <c r="J13">
        <v>905.52324069999997</v>
      </c>
      <c r="K13">
        <v>909.26717919999999</v>
      </c>
      <c r="L13">
        <v>937.90164110000001</v>
      </c>
      <c r="M13">
        <v>910.18471699999998</v>
      </c>
      <c r="N13">
        <v>919.32981099999995</v>
      </c>
      <c r="O13">
        <v>912.73452740000005</v>
      </c>
      <c r="P13">
        <v>925.14528429999996</v>
      </c>
      <c r="Q13">
        <v>883.00562760000003</v>
      </c>
      <c r="R13">
        <v>922.76552059999995</v>
      </c>
      <c r="S13">
        <v>921.41640410000002</v>
      </c>
      <c r="T13">
        <v>928.53672819999997</v>
      </c>
      <c r="U13">
        <v>918.51193309999996</v>
      </c>
      <c r="V13">
        <v>892.89131529999997</v>
      </c>
      <c r="W13">
        <v>897.09672609999996</v>
      </c>
      <c r="X13">
        <v>902.99404340000001</v>
      </c>
      <c r="Y13">
        <v>900.96014349999996</v>
      </c>
      <c r="Z13">
        <v>906.57794420000005</v>
      </c>
      <c r="AA13">
        <v>912.14001829999995</v>
      </c>
      <c r="AB13">
        <v>911.91321159999995</v>
      </c>
    </row>
    <row r="14" spans="1:28" x14ac:dyDescent="0.2">
      <c r="A14">
        <v>200</v>
      </c>
      <c r="B14">
        <v>1000</v>
      </c>
      <c r="C14">
        <v>1.2569652870000001</v>
      </c>
      <c r="D14">
        <v>-343.77299429999999</v>
      </c>
      <c r="E14">
        <v>935.2905422</v>
      </c>
      <c r="F14">
        <v>929.49741940000001</v>
      </c>
      <c r="G14">
        <v>901.26084470000001</v>
      </c>
      <c r="H14">
        <v>924.85210659999996</v>
      </c>
      <c r="I14">
        <v>1020.444022</v>
      </c>
      <c r="J14">
        <v>1200.318884</v>
      </c>
      <c r="K14">
        <v>1280.4716120000001</v>
      </c>
      <c r="L14">
        <v>1558.535265</v>
      </c>
      <c r="M14">
        <v>1270.529593</v>
      </c>
      <c r="N14">
        <v>620.614598</v>
      </c>
      <c r="O14">
        <v>246.3114501</v>
      </c>
      <c r="P14">
        <v>-40.825718969999997</v>
      </c>
      <c r="Q14">
        <v>-196.01662049999999</v>
      </c>
      <c r="R14">
        <v>-106.9306548</v>
      </c>
      <c r="S14">
        <v>95.387343369999996</v>
      </c>
      <c r="T14">
        <v>264.36122369999998</v>
      </c>
      <c r="U14">
        <v>724.16228079999996</v>
      </c>
      <c r="V14">
        <v>1359.392654</v>
      </c>
      <c r="W14">
        <v>1333.009376</v>
      </c>
      <c r="X14">
        <v>1265.36906</v>
      </c>
      <c r="Y14">
        <v>1267.4380679999999</v>
      </c>
      <c r="Z14">
        <v>1188.4242369999999</v>
      </c>
      <c r="AA14">
        <v>1067.5771339999999</v>
      </c>
      <c r="AB14">
        <v>968.77053190000004</v>
      </c>
    </row>
    <row r="15" spans="1:28" x14ac:dyDescent="0.2">
      <c r="A15">
        <v>1000</v>
      </c>
      <c r="B15">
        <v>1000</v>
      </c>
      <c r="C15">
        <v>1.2569652870000001</v>
      </c>
      <c r="D15">
        <v>-82.682410910000002</v>
      </c>
      <c r="E15">
        <v>935.2905422</v>
      </c>
      <c r="F15">
        <v>929.49741940000001</v>
      </c>
      <c r="G15">
        <v>901.26084470000001</v>
      </c>
      <c r="H15">
        <v>924.85210659999996</v>
      </c>
      <c r="I15">
        <v>1020.444022</v>
      </c>
      <c r="J15">
        <v>1200.318884</v>
      </c>
      <c r="K15">
        <v>1304.5201070000001</v>
      </c>
      <c r="L15">
        <v>1388.577755</v>
      </c>
      <c r="M15">
        <v>1317.426068</v>
      </c>
      <c r="N15">
        <v>620.6123278</v>
      </c>
      <c r="O15">
        <v>91.801844669999994</v>
      </c>
      <c r="P15">
        <v>-15.052211160000001</v>
      </c>
      <c r="Q15">
        <v>-67.630199750000003</v>
      </c>
      <c r="R15">
        <v>21.316103850000001</v>
      </c>
      <c r="S15">
        <v>18.134373310000001</v>
      </c>
      <c r="T15">
        <v>212.76137309999999</v>
      </c>
      <c r="U15">
        <v>724.15601630000003</v>
      </c>
      <c r="V15">
        <v>1383.3064879999999</v>
      </c>
      <c r="W15">
        <v>1357.0208439999999</v>
      </c>
      <c r="X15">
        <v>1297.9184130000001</v>
      </c>
      <c r="Y15">
        <v>1284.5213650000001</v>
      </c>
      <c r="Z15">
        <v>1188.42482</v>
      </c>
      <c r="AA15">
        <v>1067.5771339999999</v>
      </c>
      <c r="AB15">
        <v>968.77053190000004</v>
      </c>
    </row>
    <row r="16" spans="1:28" x14ac:dyDescent="0.2">
      <c r="A16">
        <v>1000</v>
      </c>
      <c r="B16">
        <v>5000</v>
      </c>
      <c r="C16">
        <v>1.2569652870000001</v>
      </c>
      <c r="D16">
        <v>0</v>
      </c>
      <c r="E16">
        <v>886.37906629999998</v>
      </c>
      <c r="F16">
        <v>888.61129719999997</v>
      </c>
      <c r="G16">
        <v>888.36169859999995</v>
      </c>
      <c r="H16">
        <v>891.25245459999996</v>
      </c>
      <c r="I16">
        <v>890.20726460000003</v>
      </c>
      <c r="J16">
        <v>878.90373309999995</v>
      </c>
      <c r="K16">
        <v>875.01563859999999</v>
      </c>
      <c r="L16">
        <v>957.62236050000001</v>
      </c>
      <c r="M16">
        <v>896.13469629999997</v>
      </c>
      <c r="N16">
        <v>710.50920150000002</v>
      </c>
      <c r="O16">
        <v>719.02778690000002</v>
      </c>
      <c r="P16">
        <v>680.99075319999997</v>
      </c>
      <c r="Q16">
        <v>596.04693889999999</v>
      </c>
      <c r="R16">
        <v>685.20360530000005</v>
      </c>
      <c r="S16">
        <v>723.21084610000003</v>
      </c>
      <c r="T16">
        <v>727.45372710000004</v>
      </c>
      <c r="U16">
        <v>754.95188680000001</v>
      </c>
      <c r="V16">
        <v>955.02223879999997</v>
      </c>
      <c r="W16">
        <v>927.94199279999998</v>
      </c>
      <c r="X16">
        <v>869.27975860000004</v>
      </c>
      <c r="Y16">
        <v>874.28189870000006</v>
      </c>
      <c r="Z16">
        <v>879.97153639999999</v>
      </c>
      <c r="AA16">
        <v>885.62904930000002</v>
      </c>
      <c r="AB16">
        <v>885.47964969999998</v>
      </c>
    </row>
    <row r="17" spans="1:28" x14ac:dyDescent="0.2">
      <c r="A17">
        <v>200</v>
      </c>
      <c r="B17">
        <v>1000</v>
      </c>
      <c r="C17">
        <v>1.2569652870000001</v>
      </c>
      <c r="D17">
        <v>-344.56140219999997</v>
      </c>
      <c r="E17">
        <v>935.2905422</v>
      </c>
      <c r="F17">
        <v>929.49741940000001</v>
      </c>
      <c r="G17">
        <v>901.26084470000001</v>
      </c>
      <c r="H17">
        <v>924.85210659999996</v>
      </c>
      <c r="I17">
        <v>1020.444022</v>
      </c>
      <c r="J17">
        <v>1200.318884</v>
      </c>
      <c r="K17">
        <v>1280.4716120000001</v>
      </c>
      <c r="L17">
        <v>1558.535265</v>
      </c>
      <c r="M17">
        <v>1270.181992</v>
      </c>
      <c r="N17">
        <v>618.43132990000004</v>
      </c>
      <c r="O17">
        <v>244.79564669999999</v>
      </c>
      <c r="P17">
        <v>-41.150455129999997</v>
      </c>
      <c r="Q17">
        <v>-196.17916159999999</v>
      </c>
      <c r="R17">
        <v>-107.2317855</v>
      </c>
      <c r="S17">
        <v>94.972332510000001</v>
      </c>
      <c r="T17">
        <v>264.29289010000002</v>
      </c>
      <c r="U17">
        <v>724.01287990000003</v>
      </c>
      <c r="V17">
        <v>1359.394978</v>
      </c>
      <c r="W17">
        <v>1333.0099</v>
      </c>
      <c r="X17">
        <v>1265.36906</v>
      </c>
      <c r="Y17">
        <v>1267.4380679999999</v>
      </c>
      <c r="Z17">
        <v>1188.4242369999999</v>
      </c>
      <c r="AA17">
        <v>1067.5771339999999</v>
      </c>
      <c r="AB17">
        <v>968.77053190000004</v>
      </c>
    </row>
    <row r="18" spans="1:28" x14ac:dyDescent="0.2">
      <c r="A18">
        <v>1000</v>
      </c>
      <c r="B18">
        <v>5000</v>
      </c>
      <c r="C18">
        <v>1.2569652870000001</v>
      </c>
      <c r="D18">
        <v>0</v>
      </c>
      <c r="E18">
        <v>886.37906629999998</v>
      </c>
      <c r="F18">
        <v>888.61129719999997</v>
      </c>
      <c r="G18">
        <v>888.36169859999995</v>
      </c>
      <c r="H18">
        <v>891.25245459999996</v>
      </c>
      <c r="I18">
        <v>890.20726460000003</v>
      </c>
      <c r="J18">
        <v>878.90373309999995</v>
      </c>
      <c r="K18">
        <v>875.01563859999999</v>
      </c>
      <c r="L18">
        <v>957.62236050000001</v>
      </c>
      <c r="M18">
        <v>895.75993730000005</v>
      </c>
      <c r="N18">
        <v>707.47384650000004</v>
      </c>
      <c r="O18">
        <v>712.50446020000004</v>
      </c>
      <c r="P18">
        <v>677.48089040000002</v>
      </c>
      <c r="Q18">
        <v>590.0952691</v>
      </c>
      <c r="R18">
        <v>676.43239470000003</v>
      </c>
      <c r="S18">
        <v>714.92104789999996</v>
      </c>
      <c r="T18">
        <v>722.35516310000003</v>
      </c>
      <c r="U18">
        <v>755.09360030000005</v>
      </c>
      <c r="V18">
        <v>955.01489430000004</v>
      </c>
      <c r="W18">
        <v>927.94290100000001</v>
      </c>
      <c r="X18">
        <v>869.27975879999997</v>
      </c>
      <c r="Y18">
        <v>874.28189870000006</v>
      </c>
      <c r="Z18">
        <v>879.97153639999999</v>
      </c>
      <c r="AA18">
        <v>885.62904930000002</v>
      </c>
      <c r="AB18">
        <v>885.47964969999998</v>
      </c>
    </row>
    <row r="19" spans="1:28" x14ac:dyDescent="0.2">
      <c r="A19">
        <v>1000</v>
      </c>
      <c r="B19">
        <v>5000</v>
      </c>
      <c r="C19">
        <v>1.2569652870000001</v>
      </c>
      <c r="D19">
        <v>0</v>
      </c>
      <c r="E19">
        <v>886.37906629999998</v>
      </c>
      <c r="F19">
        <v>888.61129719999997</v>
      </c>
      <c r="G19">
        <v>888.36169859999995</v>
      </c>
      <c r="H19">
        <v>891.25245459999996</v>
      </c>
      <c r="I19">
        <v>890.20726460000003</v>
      </c>
      <c r="J19">
        <v>878.90373309999995</v>
      </c>
      <c r="K19">
        <v>875.01563859999999</v>
      </c>
      <c r="L19">
        <v>957.62236050000001</v>
      </c>
      <c r="M19">
        <v>895.75993730000005</v>
      </c>
      <c r="N19">
        <v>707.47384650000004</v>
      </c>
      <c r="O19">
        <v>712.50446020000004</v>
      </c>
      <c r="P19">
        <v>677.48089040000002</v>
      </c>
      <c r="Q19">
        <v>590.0952691</v>
      </c>
      <c r="R19">
        <v>676.43239470000003</v>
      </c>
      <c r="S19">
        <v>714.92104789999996</v>
      </c>
      <c r="T19">
        <v>722.35516310000003</v>
      </c>
      <c r="U19">
        <v>755.09360030000005</v>
      </c>
      <c r="V19">
        <v>955.01489430000004</v>
      </c>
      <c r="W19">
        <v>927.94290100000001</v>
      </c>
      <c r="X19">
        <v>869.27975879999997</v>
      </c>
      <c r="Y19">
        <v>874.28189870000006</v>
      </c>
      <c r="Z19">
        <v>879.97153639999999</v>
      </c>
      <c r="AA19">
        <v>885.62904930000002</v>
      </c>
      <c r="AB19">
        <v>885.47964969999998</v>
      </c>
    </row>
    <row r="20" spans="1:28" x14ac:dyDescent="0.2">
      <c r="A20">
        <v>200</v>
      </c>
      <c r="B20">
        <v>1000</v>
      </c>
      <c r="C20">
        <v>1.513305256</v>
      </c>
      <c r="D20">
        <v>-2419.8326649999999</v>
      </c>
      <c r="E20">
        <v>935.2905422</v>
      </c>
      <c r="F20">
        <v>929.49741940000001</v>
      </c>
      <c r="G20">
        <v>901.26084470000001</v>
      </c>
      <c r="H20">
        <v>924.85210659999996</v>
      </c>
      <c r="I20">
        <v>1020.444022</v>
      </c>
      <c r="J20">
        <v>1200.318884</v>
      </c>
      <c r="K20">
        <v>1270.1612050000001</v>
      </c>
      <c r="L20">
        <v>1558.5352640000001</v>
      </c>
      <c r="M20">
        <v>1232.065664</v>
      </c>
      <c r="N20">
        <v>333.11958679999998</v>
      </c>
      <c r="O20">
        <v>-158.67971199999999</v>
      </c>
      <c r="P20">
        <v>-518.12631250000004</v>
      </c>
      <c r="Q20">
        <v>-703.40544629999999</v>
      </c>
      <c r="R20">
        <v>-602.47162590000005</v>
      </c>
      <c r="S20">
        <v>-348.72743930000001</v>
      </c>
      <c r="T20">
        <v>-88.422128749999999</v>
      </c>
      <c r="U20">
        <v>504.56386520000001</v>
      </c>
      <c r="V20">
        <v>1321.973524</v>
      </c>
      <c r="W20">
        <v>1322.7075970000001</v>
      </c>
      <c r="X20">
        <v>1255.0777370000001</v>
      </c>
      <c r="Y20">
        <v>1226.3842979999999</v>
      </c>
      <c r="Z20">
        <v>1188.4228430000001</v>
      </c>
      <c r="AA20">
        <v>1067.577133</v>
      </c>
      <c r="AB20">
        <v>968.77053190000004</v>
      </c>
    </row>
    <row r="21" spans="1:28" x14ac:dyDescent="0.2">
      <c r="A21">
        <v>1000</v>
      </c>
      <c r="B21">
        <v>5000</v>
      </c>
      <c r="C21">
        <v>1.513305256</v>
      </c>
      <c r="D21">
        <v>0</v>
      </c>
      <c r="E21">
        <v>880.41232190000005</v>
      </c>
      <c r="F21">
        <v>882.64543230000004</v>
      </c>
      <c r="G21">
        <v>881.90914780000003</v>
      </c>
      <c r="H21">
        <v>877.99684360000003</v>
      </c>
      <c r="I21">
        <v>874.8029861</v>
      </c>
      <c r="J21">
        <v>873.83534380000003</v>
      </c>
      <c r="K21">
        <v>865.92040459999998</v>
      </c>
      <c r="L21">
        <v>948.50440760000004</v>
      </c>
      <c r="M21">
        <v>885.89009820000001</v>
      </c>
      <c r="N21">
        <v>383.4242577</v>
      </c>
      <c r="O21">
        <v>332.20983940000002</v>
      </c>
      <c r="P21">
        <v>261.46807009999998</v>
      </c>
      <c r="Q21">
        <v>78.324643769999994</v>
      </c>
      <c r="R21">
        <v>176.3018817</v>
      </c>
      <c r="S21">
        <v>314.89009140000002</v>
      </c>
      <c r="T21">
        <v>331.17713400000002</v>
      </c>
      <c r="U21">
        <v>500.17975300000001</v>
      </c>
      <c r="V21">
        <v>918.6782978</v>
      </c>
      <c r="W21">
        <v>918.85421180000003</v>
      </c>
      <c r="X21">
        <v>860.19939039999997</v>
      </c>
      <c r="Y21">
        <v>879.14417060000005</v>
      </c>
      <c r="Z21">
        <v>874.906837</v>
      </c>
      <c r="AA21">
        <v>880.58169899999996</v>
      </c>
      <c r="AB21">
        <v>879.50637200000006</v>
      </c>
    </row>
    <row r="22" spans="1:28" x14ac:dyDescent="0.2">
      <c r="A22">
        <v>1000</v>
      </c>
      <c r="B22">
        <v>5000</v>
      </c>
      <c r="C22">
        <v>1.513305256</v>
      </c>
      <c r="D22">
        <v>0</v>
      </c>
      <c r="E22">
        <v>880.41232190000005</v>
      </c>
      <c r="F22">
        <v>882.64543230000004</v>
      </c>
      <c r="G22">
        <v>881.90914780000003</v>
      </c>
      <c r="H22">
        <v>877.99684360000003</v>
      </c>
      <c r="I22">
        <v>874.8029861</v>
      </c>
      <c r="J22">
        <v>873.83534380000003</v>
      </c>
      <c r="K22">
        <v>865.92040459999998</v>
      </c>
      <c r="L22">
        <v>948.50440760000004</v>
      </c>
      <c r="M22">
        <v>885.89009820000001</v>
      </c>
      <c r="N22">
        <v>383.4242577</v>
      </c>
      <c r="O22">
        <v>332.20983940000002</v>
      </c>
      <c r="P22">
        <v>261.46807009999998</v>
      </c>
      <c r="Q22">
        <v>78.324643769999994</v>
      </c>
      <c r="R22">
        <v>176.3018817</v>
      </c>
      <c r="S22">
        <v>314.89009140000002</v>
      </c>
      <c r="T22">
        <v>331.17713400000002</v>
      </c>
      <c r="U22">
        <v>500.17975300000001</v>
      </c>
      <c r="V22">
        <v>918.6782978</v>
      </c>
      <c r="W22">
        <v>918.85421180000003</v>
      </c>
      <c r="X22">
        <v>860.19939039999997</v>
      </c>
      <c r="Y22">
        <v>879.14417060000005</v>
      </c>
      <c r="Z22">
        <v>874.906837</v>
      </c>
      <c r="AA22">
        <v>880.58169899999996</v>
      </c>
      <c r="AB22">
        <v>879.50637200000006</v>
      </c>
    </row>
    <row r="23" spans="1:28" x14ac:dyDescent="0.2">
      <c r="A23">
        <v>200</v>
      </c>
      <c r="B23">
        <v>1000</v>
      </c>
      <c r="C23">
        <v>1.513305256</v>
      </c>
      <c r="D23">
        <v>-2419.8326649999999</v>
      </c>
      <c r="E23">
        <v>935.2905422</v>
      </c>
      <c r="F23">
        <v>929.49741940000001</v>
      </c>
      <c r="G23">
        <v>901.26084470000001</v>
      </c>
      <c r="H23">
        <v>924.85210659999996</v>
      </c>
      <c r="I23">
        <v>1020.444022</v>
      </c>
      <c r="J23">
        <v>1200.318884</v>
      </c>
      <c r="K23">
        <v>1270.1612050000001</v>
      </c>
      <c r="L23">
        <v>1558.5352640000001</v>
      </c>
      <c r="M23">
        <v>1232.065664</v>
      </c>
      <c r="N23">
        <v>333.11958679999998</v>
      </c>
      <c r="O23">
        <v>-158.67971199999999</v>
      </c>
      <c r="P23">
        <v>-518.12631250000004</v>
      </c>
      <c r="Q23">
        <v>-703.40544629999999</v>
      </c>
      <c r="R23">
        <v>-602.47162590000005</v>
      </c>
      <c r="S23">
        <v>-348.72743930000001</v>
      </c>
      <c r="T23">
        <v>-88.422128749999999</v>
      </c>
      <c r="U23">
        <v>504.56386520000001</v>
      </c>
      <c r="V23">
        <v>1321.973524</v>
      </c>
      <c r="W23">
        <v>1322.7075970000001</v>
      </c>
      <c r="X23">
        <v>1255.0777370000001</v>
      </c>
      <c r="Y23">
        <v>1226.3842979999999</v>
      </c>
      <c r="Z23">
        <v>1188.4228430000001</v>
      </c>
      <c r="AA23">
        <v>1067.577133</v>
      </c>
      <c r="AB23">
        <v>968.77053190000004</v>
      </c>
    </row>
    <row r="24" spans="1:28" x14ac:dyDescent="0.2">
      <c r="A24">
        <v>1000</v>
      </c>
      <c r="B24">
        <v>1000</v>
      </c>
      <c r="C24">
        <v>1.513305256</v>
      </c>
      <c r="D24">
        <v>-2420.767374</v>
      </c>
      <c r="E24">
        <v>935.2905422</v>
      </c>
      <c r="F24">
        <v>929.49741940000001</v>
      </c>
      <c r="G24">
        <v>901.26084470000001</v>
      </c>
      <c r="H24">
        <v>924.85210659999996</v>
      </c>
      <c r="I24">
        <v>1020.444022</v>
      </c>
      <c r="J24">
        <v>1200.318884</v>
      </c>
      <c r="K24">
        <v>1294.2216820000001</v>
      </c>
      <c r="L24">
        <v>1378.2350269999999</v>
      </c>
      <c r="M24">
        <v>1248.7319150000001</v>
      </c>
      <c r="N24">
        <v>333.12025840000001</v>
      </c>
      <c r="O24">
        <v>-313.31289570000001</v>
      </c>
      <c r="P24">
        <v>-449.50233650000001</v>
      </c>
      <c r="Q24">
        <v>-532.13159589999998</v>
      </c>
      <c r="R24">
        <v>-533.93314559999999</v>
      </c>
      <c r="S24">
        <v>-451.83312799999999</v>
      </c>
      <c r="T24">
        <v>-140.05427180000001</v>
      </c>
      <c r="U24">
        <v>504.55765209999998</v>
      </c>
      <c r="V24">
        <v>1345.8994399999999</v>
      </c>
      <c r="W24">
        <v>1346.731479</v>
      </c>
      <c r="X24">
        <v>1287.6435180000001</v>
      </c>
      <c r="Y24">
        <v>1284.520925</v>
      </c>
      <c r="Z24">
        <v>1188.42482</v>
      </c>
      <c r="AA24">
        <v>1067.5771339999999</v>
      </c>
      <c r="AB24">
        <v>968.77053190000004</v>
      </c>
    </row>
    <row r="25" spans="1:28" x14ac:dyDescent="0.2">
      <c r="A25">
        <v>1000</v>
      </c>
      <c r="B25">
        <v>5000</v>
      </c>
      <c r="C25">
        <v>1.513305256</v>
      </c>
      <c r="D25">
        <v>0</v>
      </c>
      <c r="E25">
        <v>880.41232190000005</v>
      </c>
      <c r="F25">
        <v>882.64543230000004</v>
      </c>
      <c r="G25">
        <v>881.90914780000003</v>
      </c>
      <c r="H25">
        <v>877.99684360000003</v>
      </c>
      <c r="I25">
        <v>874.8029861</v>
      </c>
      <c r="J25">
        <v>873.83534380000003</v>
      </c>
      <c r="K25">
        <v>865.92040459999998</v>
      </c>
      <c r="L25">
        <v>948.50440760000004</v>
      </c>
      <c r="M25">
        <v>885.89009820000001</v>
      </c>
      <c r="N25">
        <v>383.4242577</v>
      </c>
      <c r="O25">
        <v>332.20983940000002</v>
      </c>
      <c r="P25">
        <v>261.46807009999998</v>
      </c>
      <c r="Q25">
        <v>78.324643769999994</v>
      </c>
      <c r="R25">
        <v>176.3018817</v>
      </c>
      <c r="S25">
        <v>314.89009140000002</v>
      </c>
      <c r="T25">
        <v>331.17713400000002</v>
      </c>
      <c r="U25">
        <v>500.17975300000001</v>
      </c>
      <c r="V25">
        <v>918.6782978</v>
      </c>
      <c r="W25">
        <v>918.85421180000003</v>
      </c>
      <c r="X25">
        <v>860.19939039999997</v>
      </c>
      <c r="Y25">
        <v>879.14417060000005</v>
      </c>
      <c r="Z25">
        <v>874.906837</v>
      </c>
      <c r="AA25">
        <v>880.58169899999996</v>
      </c>
      <c r="AB25">
        <v>879.50637200000006</v>
      </c>
    </row>
    <row r="26" spans="1:28" x14ac:dyDescent="0.2">
      <c r="A26">
        <v>0</v>
      </c>
      <c r="B26">
        <v>0</v>
      </c>
      <c r="C26" s="164">
        <v>0</v>
      </c>
      <c r="D26">
        <v>0</v>
      </c>
      <c r="E26">
        <v>935.24867440000003</v>
      </c>
      <c r="F26">
        <v>929.49736819999998</v>
      </c>
      <c r="G26">
        <v>901.26084470000001</v>
      </c>
      <c r="H26">
        <v>924.85210659999996</v>
      </c>
      <c r="I26">
        <v>1020.444022</v>
      </c>
      <c r="J26">
        <v>1200.318884</v>
      </c>
      <c r="K26">
        <v>1473.686318</v>
      </c>
      <c r="L26">
        <v>1763.7436600000001</v>
      </c>
      <c r="M26">
        <v>1953.2472909999999</v>
      </c>
      <c r="N26">
        <v>2016.113742</v>
      </c>
      <c r="O26">
        <v>2044.3638020000001</v>
      </c>
      <c r="P26">
        <v>2050.8038200000001</v>
      </c>
      <c r="Q26">
        <v>2039.3337750000001</v>
      </c>
      <c r="R26">
        <v>2071.3292040000001</v>
      </c>
      <c r="S26">
        <v>2029.1878320000001</v>
      </c>
      <c r="T26">
        <v>1917.0665650000001</v>
      </c>
      <c r="U26">
        <v>1790.275672</v>
      </c>
      <c r="V26">
        <v>1688.1083860000001</v>
      </c>
      <c r="W26">
        <v>1528.8792410000001</v>
      </c>
      <c r="X26">
        <v>1392.7743210000001</v>
      </c>
      <c r="Y26">
        <v>1285.8081460000001</v>
      </c>
      <c r="Z26">
        <v>1189.6424609999999</v>
      </c>
      <c r="AA26">
        <v>1068.0119259999999</v>
      </c>
      <c r="AB26">
        <v>969.18132900000001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size="48" baseType="lpstr">
      <vt:lpstr>Ver History</vt:lpstr>
      <vt:lpstr>Decision_Tree</vt:lpstr>
      <vt:lpstr>Summary Tables</vt:lpstr>
      <vt:lpstr>Decision Cost</vt:lpstr>
      <vt:lpstr>Op_Cost</vt:lpstr>
      <vt:lpstr>RAW_ops</vt:lpstr>
      <vt:lpstr>ISGT Scenarios</vt:lpstr>
      <vt:lpstr>VARG</vt:lpstr>
      <vt:lpstr>Jan</vt:lpstr>
      <vt:lpstr>Apr</vt:lpstr>
      <vt:lpstr>Jul</vt:lpstr>
      <vt:lpstr>Oct</vt:lpstr>
      <vt:lpstr>Apr_old</vt:lpstr>
      <vt:lpstr>add_down_down</vt:lpstr>
      <vt:lpstr>add_down_up</vt:lpstr>
      <vt:lpstr>add_up_down</vt:lpstr>
      <vt:lpstr>add_up_up</vt:lpstr>
      <vt:lpstr>chance_abbrev</vt:lpstr>
      <vt:lpstr>chance_name</vt:lpstr>
      <vt:lpstr>cost_backfeed</vt:lpstr>
      <vt:lpstr>cost_energy</vt:lpstr>
      <vt:lpstr>dec_abbrev</vt:lpstr>
      <vt:lpstr>dec_name</vt:lpstr>
      <vt:lpstr>decision_code_col_num</vt:lpstr>
      <vt:lpstr>decision_cost_col_num</vt:lpstr>
      <vt:lpstr>decision_cost_table</vt:lpstr>
      <vt:lpstr>decision_total_col_num</vt:lpstr>
      <vt:lpstr>disc_rate</vt:lpstr>
      <vt:lpstr>op_cost_table</vt:lpstr>
      <vt:lpstr>op_cost_total_col_num</vt:lpstr>
      <vt:lpstr>op_factor</vt:lpstr>
      <vt:lpstr>p_down_down</vt:lpstr>
      <vt:lpstr>p_down_up</vt:lpstr>
      <vt:lpstr>p_up_down</vt:lpstr>
      <vt:lpstr>p_up_up</vt:lpstr>
      <vt:lpstr>p1_choice</vt:lpstr>
      <vt:lpstr>p1_decision</vt:lpstr>
      <vt:lpstr>p1_decision_table_ul</vt:lpstr>
      <vt:lpstr>p1_picked</vt:lpstr>
      <vt:lpstr>p1_prob</vt:lpstr>
      <vt:lpstr>p1_value_flex</vt:lpstr>
      <vt:lpstr>p1_value_large</vt:lpstr>
      <vt:lpstr>p1_value_small</vt:lpstr>
      <vt:lpstr>p2_picked</vt:lpstr>
      <vt:lpstr>p2_prob</vt:lpstr>
      <vt:lpstr>peak_kW</vt:lpstr>
      <vt:lpstr>scale_to_annual</vt:lpstr>
      <vt:lpstr>varg_table_ul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2016-02-18T22:25:49Z</dcterms:created>
  <dcterms:modified xsi:type="dcterms:W3CDTF">2018-03-23T09:05:53Z</dcterms:modified>
</cp:coreProperties>
</file>