
<file path=[Content_Types].xml><?xml version="1.0" encoding="utf-8"?>
<Types xmlns="http://schemas.openxmlformats.org/package/2006/content-types">
  <Default Extension="png" ContentType="image/p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苄钛实验室出品" sheetId="1" r:id="rId1"/>
  </sheets>
  <definedNames>
    <definedName name="_xlnm._FilterDatabase" localSheetId="0" hidden="1">苄钛实验室出品!$A$1:$O$263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237C4BDA51D7F8813679264129342F6" descr="2023-06-21 10:57:23.747000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2019935" cy="1945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" name="ID_F440741B42F2CE37B513126204DF5A05" descr="/private/var/mobile/Containers/Data/Application/BD30E208-1B85-4526-9E4C-F3C69F2A0685/tmp/insert_image_tmp_dir/2022-02-20 18:11:13.282000.png2022-02-20 18:11:13.282000"/>
        <xdr:cNvPicPr/>
      </xdr:nvPicPr>
      <xdr:blipFill>
        <a:blip r:embed="rId2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" name="ID_A1C5F772EECF96DD401312623DC2AF96" descr="2022-02-20 18:09:04.159000"/>
        <xdr:cNvPicPr/>
      </xdr:nvPicPr>
      <xdr:blipFill>
        <a:blip r:embed="rId3"/>
        <a:srcRect/>
        <a:stretch>
          <a:fillRect/>
        </a:stretch>
      </xdr:blipFill>
      <xdr:spPr>
        <a:xfrm>
          <a:off x="0" y="0"/>
          <a:ext cx="2019935" cy="1945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" name="ID_33C35331057502D718F414623B107465" descr="2022-02-22 22:32:56.901000"/>
        <xdr:cNvPicPr/>
      </xdr:nvPicPr>
      <xdr:blipFill>
        <a:blip r:embed="rId4"/>
        <a:srcRect/>
        <a:stretch>
          <a:fillRect/>
        </a:stretch>
      </xdr:blipFill>
      <xdr:spPr>
        <a:xfrm>
          <a:off x="0" y="0"/>
          <a:ext cx="1094105" cy="7854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" name="ID_03793C180AC35AC08012126250A81BDF" descr="2022-02-20 18:05:52.199000"/>
        <xdr:cNvPicPr/>
      </xdr:nvPicPr>
      <xdr:blipFill>
        <a:blip r:embed="rId5"/>
        <a:srcRect/>
        <a:stretch>
          <a:fillRect/>
        </a:stretch>
      </xdr:blipFill>
      <xdr:spPr>
        <a:xfrm>
          <a:off x="0" y="0"/>
          <a:ext cx="104775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" name="ID_246BE312284ACA45D41512628E709CF0" descr="2022-02-20 18:20:04.336000"/>
        <xdr:cNvPicPr/>
      </xdr:nvPicPr>
      <xdr:blipFill>
        <a:blip r:embed="rId6"/>
        <a:srcRect/>
        <a:stretch>
          <a:fillRect/>
        </a:stretch>
      </xdr:blipFill>
      <xdr:spPr>
        <a:xfrm>
          <a:off x="0" y="0"/>
          <a:ext cx="3029585" cy="14401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" name="ID_1BC5E0B38ADBB6DA5F649264E6E061AD" descr="2023-06-21 10:45:51.204000"/>
        <xdr:cNvPicPr/>
      </xdr:nvPicPr>
      <xdr:blipFill>
        <a:blip r:embed="rId7"/>
        <a:srcRect/>
        <a:stretch>
          <a:fillRect/>
        </a:stretch>
      </xdr:blipFill>
      <xdr:spPr>
        <a:xfrm>
          <a:off x="0" y="0"/>
          <a:ext cx="2225675" cy="14401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" name="ID_3F162F8FE93217D062F114628162A570" descr="2022-02-22 22:21:22.898000"/>
        <xdr:cNvPicPr/>
      </xdr:nvPicPr>
      <xdr:blipFill>
        <a:blip r:embed="rId8"/>
        <a:srcRect/>
        <a:stretch>
          <a:fillRect/>
        </a:stretch>
      </xdr:blipFill>
      <xdr:spPr>
        <a:xfrm>
          <a:off x="0" y="0"/>
          <a:ext cx="117856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" name="ID_030EA28488B42A04B5021562E05389D4" descr="2022-02-22 23:35:17.269000"/>
        <xdr:cNvPicPr/>
      </xdr:nvPicPr>
      <xdr:blipFill>
        <a:blip r:embed="rId9"/>
        <a:srcRect/>
        <a:stretch>
          <a:fillRect/>
        </a:stretch>
      </xdr:blipFill>
      <xdr:spPr>
        <a:xfrm>
          <a:off x="0" y="0"/>
          <a:ext cx="1066165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" name="ID_74BF335D92883AA870F4146226FBCEF6" descr="2022-02-22 22:34:24.856000"/>
        <xdr:cNvPicPr/>
      </xdr:nvPicPr>
      <xdr:blipFill>
        <a:blip r:embed="rId10"/>
        <a:srcRect/>
        <a:stretch>
          <a:fillRect/>
        </a:stretch>
      </xdr:blipFill>
      <xdr:spPr>
        <a:xfrm>
          <a:off x="0" y="0"/>
          <a:ext cx="411480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" name="ID_A03AADED33A2BDF7F5111262CA780EAE" descr="2022-02-20 18:02:28.157000"/>
        <xdr:cNvPicPr/>
      </xdr:nvPicPr>
      <xdr:blipFill>
        <a:blip r:embed="rId11"/>
        <a:srcRect/>
        <a:stretch>
          <a:fillRect/>
        </a:stretch>
      </xdr:blipFill>
      <xdr:spPr>
        <a:xfrm>
          <a:off x="6725285" y="40488872"/>
          <a:ext cx="839470" cy="35496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" name="ID_F20A60903AEDF59765AC3A6215348752" descr="2022-03-23 13:13:09.186000"/>
        <xdr:cNvPicPr/>
      </xdr:nvPicPr>
      <xdr:blipFill>
        <a:blip r:embed="rId12"/>
        <a:srcRect/>
        <a:stretch>
          <a:fillRect/>
        </a:stretch>
      </xdr:blipFill>
      <xdr:spPr>
        <a:xfrm>
          <a:off x="0" y="0"/>
          <a:ext cx="692150" cy="4584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" name="ID_1787436E1B3EF0F995C815625998499E" descr="2022-02-20 17:39:37.549000"/>
        <xdr:cNvPicPr/>
      </xdr:nvPicPr>
      <xdr:blipFill>
        <a:blip r:embed="rId13"/>
        <a:srcRect/>
        <a:stretch>
          <a:fillRect/>
        </a:stretch>
      </xdr:blipFill>
      <xdr:spPr>
        <a:xfrm>
          <a:off x="9735185" y="44718604"/>
          <a:ext cx="461645" cy="431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" name="ID_5FDBF784E39036B002F314620EBB6F2C" descr="2022-02-22 22:28:18.969000"/>
        <xdr:cNvPicPr/>
      </xdr:nvPicPr>
      <xdr:blipFill>
        <a:blip r:embed="rId14"/>
        <a:srcRect/>
        <a:stretch>
          <a:fillRect/>
        </a:stretch>
      </xdr:blipFill>
      <xdr:spPr>
        <a:xfrm>
          <a:off x="0" y="0"/>
          <a:ext cx="1552575" cy="1832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" name="ID_F56CC6CE2B61061824A84562DD757588" descr="/private/var/mobile/Containers/Data/Application/E71103CC-7AED-4137-875C-110A2775DCEA/tmp/insert_image_tmp_dir/2022-03-31 21:10:06.833000.png2022-03-31 21:10:06.833000"/>
        <xdr:cNvPicPr/>
      </xdr:nvPicPr>
      <xdr:blipFill>
        <a:blip r:embed="rId1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" name="ID_0F9418E5C746C8EF9CB25762DE75CF4B" descr="2022-04-14 13:35:24.176000"/>
        <xdr:cNvPicPr/>
      </xdr:nvPicPr>
      <xdr:blipFill>
        <a:blip r:embed="rId16"/>
        <a:srcRect/>
        <a:stretch>
          <a:fillRect/>
        </a:stretch>
      </xdr:blipFill>
      <xdr:spPr>
        <a:xfrm>
          <a:off x="0" y="0"/>
          <a:ext cx="3114040" cy="1935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" name="ID_C8342A7D16D3FB2112C815628D429DA8" descr="2022-02-20 17:48:58.390000"/>
        <xdr:cNvPicPr/>
      </xdr:nvPicPr>
      <xdr:blipFill>
        <a:blip r:embed="rId17"/>
        <a:srcRect/>
        <a:stretch>
          <a:fillRect/>
        </a:stretch>
      </xdr:blipFill>
      <xdr:spPr>
        <a:xfrm>
          <a:off x="9734550" y="62184280"/>
          <a:ext cx="420370" cy="33083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" name="ID_608C9934B109333E5DF11462EE504499" descr="2022-02-22 22:21:17.789000"/>
        <xdr:cNvPicPr/>
      </xdr:nvPicPr>
      <xdr:blipFill>
        <a:blip r:embed="rId8"/>
        <a:srcRect/>
        <a:stretch>
          <a:fillRect/>
        </a:stretch>
      </xdr:blipFill>
      <xdr:spPr>
        <a:xfrm>
          <a:off x="0" y="0"/>
          <a:ext cx="117856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" name="ID_976E8DA543CEF8DCB70E126207E4765C" descr="/private/var/mobile/Containers/Data/Application/BD30E208-1B85-4526-9E4C-F3C69F2A0685/tmp/insert_image_tmp_dir/2022-02-20 17:49:27.772000.png2022-02-20 17:49:27.772000"/>
        <xdr:cNvPicPr/>
      </xdr:nvPicPr>
      <xdr:blipFill>
        <a:blip r:embed="rId18"/>
        <a:srcRect/>
        <a:stretch>
          <a:fillRect/>
        </a:stretch>
      </xdr:blipFill>
      <xdr:spPr>
        <a:xfrm>
          <a:off x="6728460" y="35370136"/>
          <a:ext cx="676910" cy="6769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1" name="ID_B6E2B3E9C90415F80DF31462EFD6BCCB" descr="2022-02-22 22:28:29.553000"/>
        <xdr:cNvPicPr/>
      </xdr:nvPicPr>
      <xdr:blipFill>
        <a:blip r:embed="rId19"/>
        <a:srcRect/>
        <a:stretch>
          <a:fillRect/>
        </a:stretch>
      </xdr:blipFill>
      <xdr:spPr>
        <a:xfrm>
          <a:off x="0" y="0"/>
          <a:ext cx="1169035" cy="9537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2" name="ID_28C59DD0609EA13A0FC54E628E08428F" descr="2022-04-07 19:03:43.906000"/>
        <xdr:cNvPicPr/>
      </xdr:nvPicPr>
      <xdr:blipFill>
        <a:blip r:embed="rId20"/>
        <a:srcRect/>
        <a:stretch>
          <a:fillRect/>
        </a:stretch>
      </xdr:blipFill>
      <xdr:spPr>
        <a:xfrm>
          <a:off x="0" y="0"/>
          <a:ext cx="183261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3" name="ID_DEF9CABB668AAC0D35F41462518BE229" descr="2022-02-22 22:33:25.175000"/>
        <xdr:cNvPicPr/>
      </xdr:nvPicPr>
      <xdr:blipFill>
        <a:blip r:embed="rId21"/>
        <a:srcRect/>
        <a:stretch>
          <a:fillRect/>
        </a:stretch>
      </xdr:blipFill>
      <xdr:spPr>
        <a:xfrm>
          <a:off x="0" y="0"/>
          <a:ext cx="1094105" cy="5613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4" name="ID_492E29B18BCBFE48E1F41462412970EC" descr="2022-02-22 22:36:17.284000"/>
        <xdr:cNvPicPr/>
      </xdr:nvPicPr>
      <xdr:blipFill>
        <a:blip r:embed="rId22"/>
        <a:srcRect/>
        <a:stretch>
          <a:fillRect/>
        </a:stretch>
      </xdr:blipFill>
      <xdr:spPr>
        <a:xfrm>
          <a:off x="0" y="0"/>
          <a:ext cx="1758315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5" name="ID_40B059DAD0EF6514B3F31462ED240FF6" descr="2022-02-22 22:31:15.513000"/>
        <xdr:cNvPicPr/>
      </xdr:nvPicPr>
      <xdr:blipFill>
        <a:blip r:embed="rId23"/>
        <a:srcRect/>
        <a:stretch>
          <a:fillRect/>
        </a:stretch>
      </xdr:blipFill>
      <xdr:spPr>
        <a:xfrm>
          <a:off x="0" y="0"/>
          <a:ext cx="1187450" cy="8420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6" name="ID_38AE7E1895E549A7F9F1146248966B3D" descr="2022-02-22 22:23:53.001000"/>
        <xdr:cNvPicPr/>
      </xdr:nvPicPr>
      <xdr:blipFill>
        <a:blip r:embed="rId24"/>
        <a:srcRect/>
        <a:stretch>
          <a:fillRect/>
        </a:stretch>
      </xdr:blipFill>
      <xdr:spPr>
        <a:xfrm>
          <a:off x="0" y="0"/>
          <a:ext cx="1159510" cy="935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7" name="ID_9529B398CA994B829FFFDA2DD1C83F86" descr=" "/>
        <xdr:cNvPicPr/>
      </xdr:nvPicPr>
      <xdr:blipFill>
        <a:blip r:embed="rId25"/>
        <a:srcRect/>
        <a:stretch>
          <a:fillRect/>
        </a:stretch>
      </xdr:blipFill>
      <xdr:spPr>
        <a:xfrm>
          <a:off x="0" y="0"/>
          <a:ext cx="2447945" cy="744583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8" name="ID_6D9E6412774AC14B93246462C955DFF9" descr="2022-04-24 00:08:51.839000"/>
        <xdr:cNvPicPr/>
      </xdr:nvPicPr>
      <xdr:blipFill>
        <a:blip r:embed="rId26"/>
        <a:srcRect/>
        <a:stretch>
          <a:fillRect/>
        </a:stretch>
      </xdr:blipFill>
      <xdr:spPr>
        <a:xfrm>
          <a:off x="0" y="0"/>
          <a:ext cx="128143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9" name="ID_A7316DA51BCE8A5B230D12629DF54EC2" descr="2022-02-20 17:42:59.108000"/>
        <xdr:cNvPicPr/>
      </xdr:nvPicPr>
      <xdr:blipFill>
        <a:blip r:embed="rId27"/>
        <a:srcRect/>
        <a:stretch>
          <a:fillRect/>
        </a:stretch>
      </xdr:blipFill>
      <xdr:spPr>
        <a:xfrm>
          <a:off x="0" y="0"/>
          <a:ext cx="748030" cy="4400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0" name="ID_623BC2BB86197DEE600E1B6257D07B35" descr="2022-02-27 13:38:40.224000"/>
        <xdr:cNvPicPr/>
      </xdr:nvPicPr>
      <xdr:blipFill>
        <a:blip r:embed="rId28"/>
        <a:srcRect/>
        <a:stretch>
          <a:fillRect/>
        </a:stretch>
      </xdr:blipFill>
      <xdr:spPr>
        <a:xfrm>
          <a:off x="0" y="0"/>
          <a:ext cx="1468120" cy="11131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1" name="ID_36E98F13BA7D53A98AB25762C37C66AD" descr="2022-04-14 13:35:06.388000"/>
        <xdr:cNvPicPr/>
      </xdr:nvPicPr>
      <xdr:blipFill>
        <a:blip r:embed="rId29"/>
        <a:srcRect/>
        <a:stretch>
          <a:fillRect/>
        </a:stretch>
      </xdr:blipFill>
      <xdr:spPr>
        <a:xfrm>
          <a:off x="0" y="0"/>
          <a:ext cx="916305" cy="9632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2" name="ID_8FE2F8DC33B61A6AF3F11462473196E9" descr="2022-02-22 22:23:47.120000"/>
        <xdr:cNvPicPr/>
      </xdr:nvPicPr>
      <xdr:blipFill>
        <a:blip r:embed="rId30"/>
        <a:srcRect/>
        <a:stretch>
          <a:fillRect/>
        </a:stretch>
      </xdr:blipFill>
      <xdr:spPr>
        <a:xfrm>
          <a:off x="0" y="0"/>
          <a:ext cx="2786380" cy="9632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3" name="ID_96D4044E838D27AF520C1262399BDAF9" descr="2022-02-20 17:39:30.153000"/>
        <xdr:cNvPicPr/>
      </xdr:nvPicPr>
      <xdr:blipFill>
        <a:blip r:embed="rId31"/>
        <a:srcRect/>
        <a:stretch>
          <a:fillRect/>
        </a:stretch>
      </xdr:blipFill>
      <xdr:spPr>
        <a:xfrm>
          <a:off x="0" y="0"/>
          <a:ext cx="1038225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4" name="ID_C780A28AFA3C43C76FF1146201EBD337" descr="2022-02-22 22:21:35.127000"/>
        <xdr:cNvPicPr/>
      </xdr:nvPicPr>
      <xdr:blipFill>
        <a:blip r:embed="rId32"/>
        <a:srcRect/>
        <a:stretch>
          <a:fillRect/>
        </a:stretch>
      </xdr:blipFill>
      <xdr:spPr>
        <a:xfrm>
          <a:off x="0" y="0"/>
          <a:ext cx="1187450" cy="8134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5" name="ID_86F385E9A79AB6DDDB0D1262644CC7AD" descr="2022-02-20 17:45:44.607000"/>
        <xdr:cNvPicPr/>
      </xdr:nvPicPr>
      <xdr:blipFill>
        <a:blip r:embed="rId33"/>
        <a:srcRect/>
        <a:stretch>
          <a:fillRect/>
        </a:stretch>
      </xdr:blipFill>
      <xdr:spPr>
        <a:xfrm>
          <a:off x="5389245" y="31979870"/>
          <a:ext cx="334645" cy="37147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6" name="ID_F146C57A98B8A70B22C8156237143BC5" descr="2022-02-20 18:01:55.732000"/>
        <xdr:cNvPicPr/>
      </xdr:nvPicPr>
      <xdr:blipFill>
        <a:blip r:embed="rId34"/>
        <a:srcRect/>
        <a:stretch>
          <a:fillRect/>
        </a:stretch>
      </xdr:blipFill>
      <xdr:spPr>
        <a:xfrm>
          <a:off x="9734550" y="65315464"/>
          <a:ext cx="440690" cy="4718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7" name="ID_1D5A7DC61D8408B2D0233062D51258CC" descr="/private/var/mobile/Containers/Data/Application/BD30E208-1B85-4526-9E4C-F3C69F2A0685/tmp/insert_image_tmp_dir/2022-03-15 13:27:53.999000.png2022-03-15 13:27:53.999000"/>
        <xdr:cNvPicPr/>
      </xdr:nvPicPr>
      <xdr:blipFill>
        <a:blip r:embed="rId3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8" name="ID_4FEB8B426AD5A5A267C81562948352B6" descr="/private/var/mobile/Containers/Data/Application/BD30E208-1B85-4526-9E4C-F3C69F2A0685/tmp/insert_image_tmp_dir/2022-02-20 18:07:43.675000.png2022-02-20 18:07:43.675000"/>
        <xdr:cNvPicPr/>
      </xdr:nvPicPr>
      <xdr:blipFill>
        <a:blip r:embed="rId36"/>
        <a:srcRect/>
        <a:stretch>
          <a:fillRect/>
        </a:stretch>
      </xdr:blipFill>
      <xdr:spPr>
        <a:xfrm>
          <a:off x="9734550" y="74644248"/>
          <a:ext cx="431165" cy="4311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9" name="ID_29D64A03F3D5516B94F21462C387DE6E" descr="2022-02-22 22:26:28.692000"/>
        <xdr:cNvPicPr/>
      </xdr:nvPicPr>
      <xdr:blipFill>
        <a:blip r:embed="rId37"/>
        <a:srcRect/>
        <a:stretch>
          <a:fillRect/>
        </a:stretch>
      </xdr:blipFill>
      <xdr:spPr>
        <a:xfrm>
          <a:off x="0" y="0"/>
          <a:ext cx="87947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0" name="ID_AD6D2DE9A46ADE5576F414626F88C648" descr="2022-02-22 22:34:30.782000"/>
        <xdr:cNvPicPr/>
      </xdr:nvPicPr>
      <xdr:blipFill>
        <a:blip r:embed="rId38"/>
        <a:srcRect/>
        <a:stretch>
          <a:fillRect/>
        </a:stretch>
      </xdr:blipFill>
      <xdr:spPr>
        <a:xfrm>
          <a:off x="0" y="0"/>
          <a:ext cx="523875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1" name="ID_0E750995F02B7D0C8D121262DF1FEF72" descr="2022-02-20 18:06:05.009000"/>
        <xdr:cNvPicPr/>
      </xdr:nvPicPr>
      <xdr:blipFill>
        <a:blip r:embed="rId39"/>
        <a:srcRect/>
        <a:stretch>
          <a:fillRect/>
        </a:stretch>
      </xdr:blipFill>
      <xdr:spPr>
        <a:xfrm>
          <a:off x="0" y="0"/>
          <a:ext cx="748030" cy="318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2" name="ID_423E6820FAAFB91EA0F31462142A6F22" descr="2022-02-22 22:30:56.010000"/>
        <xdr:cNvPicPr/>
      </xdr:nvPicPr>
      <xdr:blipFill>
        <a:blip r:embed="rId40"/>
        <a:srcRect/>
        <a:stretch>
          <a:fillRect/>
        </a:stretch>
      </xdr:blipFill>
      <xdr:spPr>
        <a:xfrm>
          <a:off x="0" y="0"/>
          <a:ext cx="523875" cy="4959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3" name="ID_165F1DE329179A33580D1262BAB68A30" descr="2022-02-20 17:43:42.381000"/>
        <xdr:cNvPicPr/>
      </xdr:nvPicPr>
      <xdr:blipFill>
        <a:blip r:embed="rId41"/>
        <a:srcRect/>
        <a:stretch>
          <a:fillRect/>
        </a:stretch>
      </xdr:blipFill>
      <xdr:spPr>
        <a:xfrm>
          <a:off x="5459095" y="26099136"/>
          <a:ext cx="440055" cy="43052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4" name="ID_2696B8C337118B1C4EF31462E1F7DB13" descr="2022-02-22 22:29:34.022000"/>
        <xdr:cNvPicPr/>
      </xdr:nvPicPr>
      <xdr:blipFill>
        <a:blip r:embed="rId42"/>
        <a:srcRect/>
        <a:stretch>
          <a:fillRect/>
        </a:stretch>
      </xdr:blipFill>
      <xdr:spPr>
        <a:xfrm>
          <a:off x="0" y="0"/>
          <a:ext cx="1384300" cy="822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5" name="ID_0375F28A2631823818862D628D2AB253" descr="2022-03-13 13:50:16.264000"/>
        <xdr:cNvPicPr/>
      </xdr:nvPicPr>
      <xdr:blipFill>
        <a:blip r:embed="rId43"/>
        <a:srcRect/>
        <a:stretch>
          <a:fillRect/>
        </a:stretch>
      </xdr:blipFill>
      <xdr:spPr>
        <a:xfrm>
          <a:off x="0" y="0"/>
          <a:ext cx="155257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6" name="ID_5C82768D3267BD2E45C815628F5DC7F9" descr="2022-02-20 18:05:35.483000"/>
        <xdr:cNvPicPr/>
      </xdr:nvPicPr>
      <xdr:blipFill>
        <a:blip r:embed="rId44"/>
        <a:srcRect/>
        <a:stretch>
          <a:fillRect/>
        </a:stretch>
      </xdr:blipFill>
      <xdr:spPr>
        <a:xfrm>
          <a:off x="9743440" y="70184008"/>
          <a:ext cx="417195" cy="4286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7" name="ID_D7FB772FC8646661A6F114626B568894" descr="2022-02-22 22:22:30.117000"/>
        <xdr:cNvPicPr/>
      </xdr:nvPicPr>
      <xdr:blipFill>
        <a:blip r:embed="rId45"/>
        <a:srcRect/>
        <a:stretch>
          <a:fillRect/>
        </a:stretch>
      </xdr:blipFill>
      <xdr:spPr>
        <a:xfrm>
          <a:off x="0" y="0"/>
          <a:ext cx="1823720" cy="12439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8" name="ID_41C5DB60DBD94E2B94F4146210C51985" descr="2022-02-22 22:35:00.691000"/>
        <xdr:cNvPicPr/>
      </xdr:nvPicPr>
      <xdr:blipFill>
        <a:blip r:embed="rId46"/>
        <a:srcRect/>
        <a:stretch>
          <a:fillRect/>
        </a:stretch>
      </xdr:blipFill>
      <xdr:spPr>
        <a:xfrm>
          <a:off x="0" y="0"/>
          <a:ext cx="1533525" cy="1421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9" name="ID_24D135757CF74DA72FC815629640763A" descr="2022-02-20 18:02:15.043000"/>
        <xdr:cNvPicPr/>
      </xdr:nvPicPr>
      <xdr:blipFill>
        <a:blip r:embed="rId47"/>
        <a:srcRect/>
        <a:stretch>
          <a:fillRect/>
        </a:stretch>
      </xdr:blipFill>
      <xdr:spPr>
        <a:xfrm>
          <a:off x="9733915" y="66781680"/>
          <a:ext cx="436880" cy="4254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0" name="ID_29D29FD113B65E5DB17F28621F427F17" descr="/private/var/mobile/Containers/Data/Application/BD30E208-1B85-4526-9E4C-F3C69F2A0685/tmp/insert_image_tmp_dir/2022-02-20 18:05:08.062000.png2022-02-20 18:05:08.062000"/>
        <xdr:cNvPicPr/>
      </xdr:nvPicPr>
      <xdr:blipFill>
        <a:blip r:embed="rId48"/>
        <a:srcRect/>
        <a:stretch>
          <a:fillRect/>
        </a:stretch>
      </xdr:blipFill>
      <xdr:spPr>
        <a:xfrm>
          <a:off x="9848215" y="70940296"/>
          <a:ext cx="676275" cy="6762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1" name="ID_92DAA17304BB09C86AF4146235DE7120" descr="2022-02-22 22:34:18.042000"/>
        <xdr:cNvPicPr/>
      </xdr:nvPicPr>
      <xdr:blipFill>
        <a:blip r:embed="rId49"/>
        <a:srcRect/>
        <a:stretch>
          <a:fillRect/>
        </a:stretch>
      </xdr:blipFill>
      <xdr:spPr>
        <a:xfrm>
          <a:off x="0" y="0"/>
          <a:ext cx="1487170" cy="14871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2" name="ID_C4E133CE89C318AFA50C12625694494E" descr="2022-02-20 17:40:20.174000"/>
        <xdr:cNvPicPr/>
      </xdr:nvPicPr>
      <xdr:blipFill>
        <a:blip r:embed="rId50"/>
        <a:srcRect/>
        <a:stretch>
          <a:fillRect/>
        </a:stretch>
      </xdr:blipFill>
      <xdr:spPr>
        <a:xfrm>
          <a:off x="5349240" y="20718144"/>
          <a:ext cx="859790" cy="32448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3" name="ID_591C34E56AC418360F1212627459B139" descr="2022-02-20 18:03:44.834000"/>
        <xdr:cNvPicPr/>
      </xdr:nvPicPr>
      <xdr:blipFill>
        <a:blip r:embed="rId51"/>
        <a:srcRect/>
        <a:stretch>
          <a:fillRect/>
        </a:stretch>
      </xdr:blipFill>
      <xdr:spPr>
        <a:xfrm>
          <a:off x="6730365" y="40738424"/>
          <a:ext cx="671830" cy="47815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4" name="ID_4687D2FBC02231D2B5F414621A276C29" descr="2022-02-22 22:35:33.511000"/>
        <xdr:cNvPicPr/>
      </xdr:nvPicPr>
      <xdr:blipFill>
        <a:blip r:embed="rId52"/>
        <a:srcRect/>
        <a:stretch>
          <a:fillRect/>
        </a:stretch>
      </xdr:blipFill>
      <xdr:spPr>
        <a:xfrm>
          <a:off x="0" y="0"/>
          <a:ext cx="402590" cy="177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5" name="ID_091A12B8E8674E99DCC54E6231E149B8" descr="2022-04-07 19:07:08.131000"/>
        <xdr:cNvPicPr/>
      </xdr:nvPicPr>
      <xdr:blipFill>
        <a:blip r:embed="rId53"/>
        <a:srcRect/>
        <a:stretch>
          <a:fillRect/>
        </a:stretch>
      </xdr:blipFill>
      <xdr:spPr>
        <a:xfrm>
          <a:off x="0" y="0"/>
          <a:ext cx="1047750" cy="11410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6" name="ID_79E79004936245329AF11462272753D4" descr="2022-02-22 22:22:18.595000"/>
        <xdr:cNvPicPr/>
      </xdr:nvPicPr>
      <xdr:blipFill>
        <a:blip r:embed="rId54"/>
        <a:srcRect/>
        <a:stretch>
          <a:fillRect/>
        </a:stretch>
      </xdr:blipFill>
      <xdr:spPr>
        <a:xfrm>
          <a:off x="0" y="0"/>
          <a:ext cx="218821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7" name="ID_4B5C00517BB465A2D9689264646786E3" descr="2023-06-21 11:04:57.865000"/>
        <xdr:cNvPicPr/>
      </xdr:nvPicPr>
      <xdr:blipFill>
        <a:blip r:embed="rId55"/>
        <a:srcRect/>
        <a:stretch>
          <a:fillRect/>
        </a:stretch>
      </xdr:blipFill>
      <xdr:spPr>
        <a:xfrm>
          <a:off x="0" y="0"/>
          <a:ext cx="3253740" cy="3556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8" name="ID_B68025656BC912C0A1F11462942FDFAA" descr="2022-02-22 22:22:25.010000"/>
        <xdr:cNvPicPr/>
      </xdr:nvPicPr>
      <xdr:blipFill>
        <a:blip r:embed="rId56"/>
        <a:srcRect/>
        <a:stretch>
          <a:fillRect/>
        </a:stretch>
      </xdr:blipFill>
      <xdr:spPr>
        <a:xfrm>
          <a:off x="0" y="0"/>
          <a:ext cx="3253740" cy="22256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9" name="ID_16678819A079BA24B5CB4E62B268495A" descr="2022-04-07 19:32:05.654000"/>
        <xdr:cNvPicPr/>
      </xdr:nvPicPr>
      <xdr:blipFill>
        <a:blip r:embed="rId57"/>
        <a:srcRect/>
        <a:stretch>
          <a:fillRect/>
        </a:stretch>
      </xdr:blipFill>
      <xdr:spPr>
        <a:xfrm>
          <a:off x="0" y="0"/>
          <a:ext cx="1673860" cy="10566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0" name="ID_A64E983A984399136AAC3A623C9F4C10" descr="2022-03-23 13:13:14.387000"/>
        <xdr:cNvPicPr/>
      </xdr:nvPicPr>
      <xdr:blipFill>
        <a:blip r:embed="rId58"/>
        <a:srcRect/>
        <a:stretch>
          <a:fillRect/>
        </a:stretch>
      </xdr:blipFill>
      <xdr:spPr>
        <a:xfrm>
          <a:off x="0" y="0"/>
          <a:ext cx="154305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1" name="ID_A58BB5397C19CBE4F3F41462B8829CBB" descr="2022-02-22 22:36:35.110000"/>
        <xdr:cNvPicPr/>
      </xdr:nvPicPr>
      <xdr:blipFill>
        <a:blip r:embed="rId59"/>
        <a:srcRect/>
        <a:stretch>
          <a:fillRect/>
        </a:stretch>
      </xdr:blipFill>
      <xdr:spPr>
        <a:xfrm>
          <a:off x="0" y="0"/>
          <a:ext cx="8509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2" name="ID_2294FBEAE5F517D456C81562D3DF4F5C" descr="2022-02-20 18:09:10.840000"/>
        <xdr:cNvPicPr/>
      </xdr:nvPicPr>
      <xdr:blipFill>
        <a:blip r:embed="rId60"/>
        <a:srcRect/>
        <a:stretch>
          <a:fillRect/>
        </a:stretch>
      </xdr:blipFill>
      <xdr:spPr>
        <a:xfrm>
          <a:off x="9734550" y="75361800"/>
          <a:ext cx="404495" cy="4140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3" name="ID_14E7C03337B13476C6F31462C850D578" descr="2022-02-22 22:31:34.427000"/>
        <xdr:cNvPicPr/>
      </xdr:nvPicPr>
      <xdr:blipFill>
        <a:blip r:embed="rId61"/>
        <a:srcRect/>
        <a:stretch>
          <a:fillRect/>
        </a:stretch>
      </xdr:blipFill>
      <xdr:spPr>
        <a:xfrm>
          <a:off x="0" y="0"/>
          <a:ext cx="116903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4" name="ID_8E7389FA94FDC6F5650D1262F69D7BF5" descr="2022-02-20 17:44:05.696000"/>
        <xdr:cNvPicPr/>
      </xdr:nvPicPr>
      <xdr:blipFill>
        <a:blip r:embed="rId62"/>
        <a:srcRect/>
        <a:stretch>
          <a:fillRect/>
        </a:stretch>
      </xdr:blipFill>
      <xdr:spPr>
        <a:xfrm>
          <a:off x="0" y="0"/>
          <a:ext cx="570865" cy="5797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5" name="ID_7C57C10C12C00C3B2AC81562FE62FDBC" descr="2022-02-20 18:02:01.865000"/>
        <xdr:cNvPicPr/>
      </xdr:nvPicPr>
      <xdr:blipFill>
        <a:blip r:embed="rId47"/>
        <a:srcRect/>
        <a:stretch>
          <a:fillRect/>
        </a:stretch>
      </xdr:blipFill>
      <xdr:spPr>
        <a:xfrm>
          <a:off x="9733915" y="66082544"/>
          <a:ext cx="410210" cy="40005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6" name="ID_75D5624820D7E8C5E40E12628CF38B90" descr="2022-02-20 17:50:28.441000"/>
        <xdr:cNvPicPr/>
      </xdr:nvPicPr>
      <xdr:blipFill>
        <a:blip r:embed="rId63"/>
        <a:srcRect/>
        <a:stretch>
          <a:fillRect/>
        </a:stretch>
      </xdr:blipFill>
      <xdr:spPr>
        <a:xfrm>
          <a:off x="0" y="0"/>
          <a:ext cx="117856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7" name="ID_ADEC5414A98DAED1163809624C6644E0" descr="2022-02-14 00:54:42.257000"/>
        <xdr:cNvPicPr/>
      </xdr:nvPicPr>
      <xdr:blipFill>
        <a:blip r:embed="rId64"/>
        <a:srcRect/>
        <a:stretch>
          <a:fillRect/>
        </a:stretch>
      </xdr:blipFill>
      <xdr:spPr>
        <a:xfrm>
          <a:off x="3099435" y="28714700"/>
          <a:ext cx="660400" cy="67881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8" name="ID_F55F0A39E5CE49DA1CC715625786B143" descr="2022-02-23 13:33:16.828000"/>
        <xdr:cNvPicPr/>
      </xdr:nvPicPr>
      <xdr:blipFill>
        <a:blip r:embed="rId65"/>
        <a:srcRect/>
        <a:stretch>
          <a:fillRect/>
        </a:stretch>
      </xdr:blipFill>
      <xdr:spPr>
        <a:xfrm>
          <a:off x="0" y="0"/>
          <a:ext cx="89789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9" name="ID_AD8DB0E26825B433850D12624262A40E" descr="2022-02-20 17:44:37.333000"/>
        <xdr:cNvPicPr/>
      </xdr:nvPicPr>
      <xdr:blipFill>
        <a:blip r:embed="rId66"/>
        <a:srcRect/>
        <a:stretch>
          <a:fillRect/>
        </a:stretch>
      </xdr:blipFill>
      <xdr:spPr>
        <a:xfrm>
          <a:off x="0" y="0"/>
          <a:ext cx="1430655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0" name="ID_6655FA744B7248EB90176B3850A990B8" descr=" "/>
        <xdr:cNvPicPr/>
      </xdr:nvPicPr>
      <xdr:blipFill>
        <a:blip r:embed="rId67"/>
        <a:srcRect/>
        <a:stretch>
          <a:fillRect/>
        </a:stretch>
      </xdr:blipFill>
      <xdr:spPr>
        <a:xfrm>
          <a:off x="0" y="0"/>
          <a:ext cx="1876758" cy="795582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1" name="ID_12F517C8DBCF55D9BAF214623CD76574" descr="2022-02-22 22:27:06.200000"/>
        <xdr:cNvPicPr/>
      </xdr:nvPicPr>
      <xdr:blipFill>
        <a:blip r:embed="rId68"/>
        <a:srcRect/>
        <a:stretch>
          <a:fillRect/>
        </a:stretch>
      </xdr:blipFill>
      <xdr:spPr>
        <a:xfrm>
          <a:off x="0" y="0"/>
          <a:ext cx="13843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2" name="ID_B432244DF0965A0CD91212624BE481CF" descr="2022-02-20 18:07:21.363000"/>
        <xdr:cNvPicPr/>
      </xdr:nvPicPr>
      <xdr:blipFill>
        <a:blip r:embed="rId69"/>
        <a:srcRect/>
        <a:stretch>
          <a:fillRect/>
        </a:stretch>
      </xdr:blipFill>
      <xdr:spPr>
        <a:xfrm>
          <a:off x="0" y="0"/>
          <a:ext cx="1084580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3" name="ID_E45A08DA23827E79CF0E126292F82034" descr="2022-02-20 17:50:07.804000"/>
        <xdr:cNvPicPr/>
      </xdr:nvPicPr>
      <xdr:blipFill>
        <a:blip r:embed="rId70"/>
        <a:srcRect/>
        <a:stretch>
          <a:fillRect/>
        </a:stretch>
      </xdr:blipFill>
      <xdr:spPr>
        <a:xfrm>
          <a:off x="0" y="0"/>
          <a:ext cx="842010" cy="299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4" name="ID_DD078635ABEEA84259F2146292B81570" descr="2022-02-22 22:25:29.723000"/>
        <xdr:cNvPicPr/>
      </xdr:nvPicPr>
      <xdr:blipFill>
        <a:blip r:embed="rId71"/>
        <a:srcRect/>
        <a:stretch>
          <a:fillRect/>
        </a:stretch>
      </xdr:blipFill>
      <xdr:spPr>
        <a:xfrm>
          <a:off x="0" y="0"/>
          <a:ext cx="1066165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5" name="ID_CDF69E750FE83954490C1262047F519C" descr="2022-02-20 17:39:21.849000"/>
        <xdr:cNvPicPr/>
      </xdr:nvPicPr>
      <xdr:blipFill>
        <a:blip r:embed="rId31"/>
        <a:srcRect/>
        <a:stretch>
          <a:fillRect/>
        </a:stretch>
      </xdr:blipFill>
      <xdr:spPr>
        <a:xfrm>
          <a:off x="0" y="0"/>
          <a:ext cx="1038225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6" name="ID_FA4469E3B97CE7B082C715624972328B" descr="2022-02-23 13:34:58.047000"/>
        <xdr:cNvPicPr/>
      </xdr:nvPicPr>
      <xdr:blipFill>
        <a:blip r:embed="rId72"/>
        <a:srcRect/>
        <a:stretch>
          <a:fillRect/>
        </a:stretch>
      </xdr:blipFill>
      <xdr:spPr>
        <a:xfrm>
          <a:off x="0" y="0"/>
          <a:ext cx="215265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7" name="ID_18A19360F9C9E323380D12624FD6FCC3" descr="2022-02-20 17:43:20.259000"/>
        <xdr:cNvPicPr/>
      </xdr:nvPicPr>
      <xdr:blipFill>
        <a:blip r:embed="rId73"/>
        <a:srcRect/>
        <a:stretch>
          <a:fillRect/>
        </a:stretch>
      </xdr:blipFill>
      <xdr:spPr>
        <a:xfrm>
          <a:off x="0" y="0"/>
          <a:ext cx="430530" cy="2622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8" name="ID_7E40BAFE8F6BE6C0AF1512624913D0B5" descr="2022-02-20 18:19:27.688000"/>
        <xdr:cNvPicPr/>
      </xdr:nvPicPr>
      <xdr:blipFill>
        <a:blip r:embed="rId74"/>
        <a:srcRect/>
        <a:stretch>
          <a:fillRect/>
        </a:stretch>
      </xdr:blipFill>
      <xdr:spPr>
        <a:xfrm>
          <a:off x="0" y="0"/>
          <a:ext cx="17018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9" name="ID_EFAD5781AF36764FB623306238686F12" descr="/private/var/mobile/Containers/Data/Application/BD30E208-1B85-4526-9E4C-F3C69F2A0685/tmp/insert_image_tmp_dir/2022-03-15 13:27:33.275000.png2022-03-15 13:27:33.275000"/>
        <xdr:cNvPicPr/>
      </xdr:nvPicPr>
      <xdr:blipFill>
        <a:blip r:embed="rId7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0" name="ID_95FA91724FBBF9D9EC0E1262FB1E7691" descr="2022-02-20 17:50:36.636000"/>
        <xdr:cNvPicPr/>
      </xdr:nvPicPr>
      <xdr:blipFill>
        <a:blip r:embed="rId76"/>
        <a:srcRect/>
        <a:stretch>
          <a:fillRect/>
        </a:stretch>
      </xdr:blipFill>
      <xdr:spPr>
        <a:xfrm>
          <a:off x="0" y="0"/>
          <a:ext cx="1964055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1" name="ID_E0D0E9EAC9AF17173AF21462BFA957C9" descr="2022-02-22 22:24:58.054000"/>
        <xdr:cNvPicPr/>
      </xdr:nvPicPr>
      <xdr:blipFill>
        <a:blip r:embed="rId77"/>
        <a:srcRect/>
        <a:stretch>
          <a:fillRect/>
        </a:stretch>
      </xdr:blipFill>
      <xdr:spPr>
        <a:xfrm>
          <a:off x="0" y="0"/>
          <a:ext cx="1094105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2" name="ID_44575BF424E11CE18DF414621E0D8521" descr="2022-02-22 22:34:53.589000"/>
        <xdr:cNvPicPr/>
      </xdr:nvPicPr>
      <xdr:blipFill>
        <a:blip r:embed="rId78"/>
        <a:srcRect/>
        <a:stretch>
          <a:fillRect/>
        </a:stretch>
      </xdr:blipFill>
      <xdr:spPr>
        <a:xfrm>
          <a:off x="0" y="0"/>
          <a:ext cx="879475" cy="6737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3" name="ID_9294EFB3A04C364437F3146289619C34" descr="2022-02-22 22:29:11.407000"/>
        <xdr:cNvPicPr/>
      </xdr:nvPicPr>
      <xdr:blipFill>
        <a:blip r:embed="rId79"/>
        <a:srcRect/>
        <a:stretch>
          <a:fillRect/>
        </a:stretch>
      </xdr:blipFill>
      <xdr:spPr>
        <a:xfrm>
          <a:off x="0" y="0"/>
          <a:ext cx="1711325" cy="11969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4" name="ID_EA9035A2816620C164F214629649AAA9" descr="2022-02-22 22:25:40.291000"/>
        <xdr:cNvPicPr/>
      </xdr:nvPicPr>
      <xdr:blipFill>
        <a:blip r:embed="rId80"/>
        <a:srcRect/>
        <a:stretch>
          <a:fillRect/>
        </a:stretch>
      </xdr:blipFill>
      <xdr:spPr>
        <a:xfrm>
          <a:off x="0" y="0"/>
          <a:ext cx="64516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5" name="ID_101ABF3004C0CD0F1CA84562A81E3E5B" descr="2022-03-31 21:09:48.347000"/>
        <xdr:cNvPicPr/>
      </xdr:nvPicPr>
      <xdr:blipFill>
        <a:blip r:embed="rId81"/>
        <a:srcRect/>
        <a:stretch>
          <a:fillRect/>
        </a:stretch>
      </xdr:blipFill>
      <xdr:spPr>
        <a:xfrm>
          <a:off x="0" y="0"/>
          <a:ext cx="2356485" cy="17113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6" name="ID_00D8ED1D2FECCAF0D6F3146271564CF6" descr="2022-02-22 22:31:50.805000"/>
        <xdr:cNvPicPr/>
      </xdr:nvPicPr>
      <xdr:blipFill>
        <a:blip r:embed="rId82"/>
        <a:srcRect/>
        <a:stretch>
          <a:fillRect/>
        </a:stretch>
      </xdr:blipFill>
      <xdr:spPr>
        <a:xfrm>
          <a:off x="0" y="0"/>
          <a:ext cx="3150870" cy="31603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7" name="ID_8B408A444F4BDC9517F314625E6CD808" descr="2022-02-22 22:28:39.003000"/>
        <xdr:cNvPicPr/>
      </xdr:nvPicPr>
      <xdr:blipFill>
        <a:blip r:embed="rId83"/>
        <a:srcRect/>
        <a:stretch>
          <a:fillRect/>
        </a:stretch>
      </xdr:blipFill>
      <xdr:spPr>
        <a:xfrm>
          <a:off x="0" y="0"/>
          <a:ext cx="1028700" cy="682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8" name="ID_422D114C0408C6468DC8156285DD4E1F" descr="2022-02-20 17:43:32.713000"/>
        <xdr:cNvPicPr/>
      </xdr:nvPicPr>
      <xdr:blipFill>
        <a:blip r:embed="rId84"/>
        <a:srcRect/>
        <a:stretch>
          <a:fillRect/>
        </a:stretch>
      </xdr:blipFill>
      <xdr:spPr>
        <a:xfrm>
          <a:off x="9735185" y="52837080"/>
          <a:ext cx="505460" cy="337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9" name="ID_0476AFF96FBC4C425F171262CDCB166A" descr="2022-02-20 18:26:39.747000"/>
        <xdr:cNvPicPr/>
      </xdr:nvPicPr>
      <xdr:blipFill>
        <a:blip r:embed="rId85"/>
        <a:srcRect/>
        <a:stretch>
          <a:fillRect/>
        </a:stretch>
      </xdr:blipFill>
      <xdr:spPr>
        <a:xfrm>
          <a:off x="0" y="0"/>
          <a:ext cx="2272030" cy="145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0" name="ID_A2CF5E8A560723EFAF0C1262025C6BFE" descr="2022-02-20 17:41:03.595000"/>
        <xdr:cNvPicPr/>
      </xdr:nvPicPr>
      <xdr:blipFill>
        <a:blip r:embed="rId86"/>
        <a:srcRect/>
        <a:stretch>
          <a:fillRect/>
        </a:stretch>
      </xdr:blipFill>
      <xdr:spPr>
        <a:xfrm>
          <a:off x="0" y="0"/>
          <a:ext cx="925830" cy="5708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1" name="ID_708BA9BA09C431BE84F31462B770FF3F" descr="2022-02-22 22:30:28.019000"/>
        <xdr:cNvPicPr/>
      </xdr:nvPicPr>
      <xdr:blipFill>
        <a:blip r:embed="rId87"/>
        <a:srcRect/>
        <a:stretch>
          <a:fillRect/>
        </a:stretch>
      </xdr:blipFill>
      <xdr:spPr>
        <a:xfrm>
          <a:off x="0" y="0"/>
          <a:ext cx="121602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2" name="ID_4947F88350E7CC3049689264B9BCA4F7" descr="2023-06-21 11:02:33.120000"/>
        <xdr:cNvPicPr/>
      </xdr:nvPicPr>
      <xdr:blipFill>
        <a:blip r:embed="rId88"/>
        <a:srcRect/>
        <a:stretch>
          <a:fillRect/>
        </a:stretch>
      </xdr:blipFill>
      <xdr:spPr>
        <a:xfrm>
          <a:off x="0" y="0"/>
          <a:ext cx="570865" cy="3460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3" name="ID_D0137861716E6E7E2BC74E6265CB1CF4" descr="2022-04-07 19:12:43.657000"/>
        <xdr:cNvPicPr/>
      </xdr:nvPicPr>
      <xdr:blipFill>
        <a:blip r:embed="rId89"/>
        <a:srcRect/>
        <a:stretch>
          <a:fillRect/>
        </a:stretch>
      </xdr:blipFill>
      <xdr:spPr>
        <a:xfrm>
          <a:off x="0" y="0"/>
          <a:ext cx="972820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4" name="ID_B262928CF7E50FF548F41462D13D939D" descr="2022-02-22 22:33:44.125000"/>
        <xdr:cNvPicPr/>
      </xdr:nvPicPr>
      <xdr:blipFill>
        <a:blip r:embed="rId90"/>
        <a:srcRect/>
        <a:stretch>
          <a:fillRect/>
        </a:stretch>
      </xdr:blipFill>
      <xdr:spPr>
        <a:xfrm>
          <a:off x="0" y="0"/>
          <a:ext cx="1159510" cy="430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5" name="ID_74E31D63B2763FF385F4146209CAA7BE" descr="2022-02-22 22:34:45.489000"/>
        <xdr:cNvPicPr/>
      </xdr:nvPicPr>
      <xdr:blipFill>
        <a:blip r:embed="rId91"/>
        <a:srcRect/>
        <a:stretch>
          <a:fillRect/>
        </a:stretch>
      </xdr:blipFill>
      <xdr:spPr>
        <a:xfrm>
          <a:off x="0" y="0"/>
          <a:ext cx="1281430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6" name="ID_3F8A39F4FE1BC68E45F21462521A8200" descr="2022-02-22 22:25:09.723000"/>
        <xdr:cNvPicPr/>
      </xdr:nvPicPr>
      <xdr:blipFill>
        <a:blip r:embed="rId92"/>
        <a:srcRect/>
        <a:stretch>
          <a:fillRect/>
        </a:stretch>
      </xdr:blipFill>
      <xdr:spPr>
        <a:xfrm>
          <a:off x="0" y="0"/>
          <a:ext cx="57975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7" name="ID_80F39C5ACD42567B0CC81562698EF13D" descr="2022-02-20 17:47:57.840000"/>
        <xdr:cNvPicPr/>
      </xdr:nvPicPr>
      <xdr:blipFill>
        <a:blip r:embed="rId93"/>
        <a:srcRect/>
        <a:stretch>
          <a:fillRect/>
        </a:stretch>
      </xdr:blipFill>
      <xdr:spPr>
        <a:xfrm>
          <a:off x="9734550" y="61755656"/>
          <a:ext cx="372745" cy="4203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8" name="ID_D380A5777442566D55F314622C8C0A51" descr="2022-02-22 22:29:41.435000"/>
        <xdr:cNvPicPr/>
      </xdr:nvPicPr>
      <xdr:blipFill>
        <a:blip r:embed="rId94"/>
        <a:srcRect/>
        <a:stretch>
          <a:fillRect/>
        </a:stretch>
      </xdr:blipFill>
      <xdr:spPr>
        <a:xfrm>
          <a:off x="0" y="0"/>
          <a:ext cx="1216025" cy="7950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9" name="ID_01FC685297E1B8723D0C1262F2E2C091" descr="2022-02-20 17:39:09.858000"/>
        <xdr:cNvPicPr/>
      </xdr:nvPicPr>
      <xdr:blipFill>
        <a:blip r:embed="rId95"/>
        <a:srcRect/>
        <a:stretch>
          <a:fillRect/>
        </a:stretch>
      </xdr:blipFill>
      <xdr:spPr>
        <a:xfrm>
          <a:off x="0" y="0"/>
          <a:ext cx="64516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0" name="ID_6C279FB2F98D0FC698C71562489FC4AE" descr="2022-02-22 22:35:12.741000"/>
        <xdr:cNvPicPr/>
      </xdr:nvPicPr>
      <xdr:blipFill>
        <a:blip r:embed="rId96"/>
        <a:srcRect/>
        <a:stretch>
          <a:fillRect/>
        </a:stretch>
      </xdr:blipFill>
      <xdr:spPr>
        <a:xfrm>
          <a:off x="9734550" y="40937180"/>
          <a:ext cx="465455" cy="6889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1" name="ID_CCFFA7C1F14467590CF514624A8D3D42" descr="2022-02-22 22:37:00.546000"/>
        <xdr:cNvPicPr/>
      </xdr:nvPicPr>
      <xdr:blipFill>
        <a:blip r:embed="rId97"/>
        <a:srcRect/>
        <a:stretch>
          <a:fillRect/>
        </a:stretch>
      </xdr:blipFill>
      <xdr:spPr>
        <a:xfrm>
          <a:off x="0" y="0"/>
          <a:ext cx="88836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2" name="ID_01EF9DCABAA6E43DAC2330625330D88E" descr="2022-03-15 13:27:08.732000"/>
        <xdr:cNvPicPr/>
      </xdr:nvPicPr>
      <xdr:blipFill>
        <a:blip r:embed="rId98"/>
        <a:srcRect/>
        <a:stretch>
          <a:fillRect/>
        </a:stretch>
      </xdr:blipFill>
      <xdr:spPr>
        <a:xfrm>
          <a:off x="0" y="0"/>
          <a:ext cx="1355725" cy="308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3" name="ID_67FA22AEF132235F73F214629FB8D3C6" descr="2022-02-22 22:25:55.723000"/>
        <xdr:cNvPicPr/>
      </xdr:nvPicPr>
      <xdr:blipFill>
        <a:blip r:embed="rId99"/>
        <a:srcRect/>
        <a:stretch>
          <a:fillRect/>
        </a:stretch>
      </xdr:blipFill>
      <xdr:spPr>
        <a:xfrm>
          <a:off x="0" y="0"/>
          <a:ext cx="991235" cy="972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4" name="ID_88D1D2512B2C53B66A0C12626C87C5A0" descr="2022-02-20 17:39:54.054000"/>
        <xdr:cNvPicPr/>
      </xdr:nvPicPr>
      <xdr:blipFill>
        <a:blip r:embed="rId100"/>
        <a:srcRect/>
        <a:stretch>
          <a:fillRect/>
        </a:stretch>
      </xdr:blipFill>
      <xdr:spPr>
        <a:xfrm>
          <a:off x="0" y="0"/>
          <a:ext cx="72961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5" name="ID_FD5C144FBB8C6901720C126205A9FC18" descr="2022-02-20 17:40:02.443000"/>
        <xdr:cNvPicPr/>
      </xdr:nvPicPr>
      <xdr:blipFill>
        <a:blip r:embed="rId101"/>
        <a:srcRect/>
        <a:stretch>
          <a:fillRect/>
        </a:stretch>
      </xdr:blipFill>
      <xdr:spPr>
        <a:xfrm>
          <a:off x="0" y="0"/>
          <a:ext cx="146812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6" name="ID_9EC14240651455C05CC8156271EB8E8B" descr="2022-02-20 18:08:57.077000"/>
        <xdr:cNvPicPr/>
      </xdr:nvPicPr>
      <xdr:blipFill>
        <a:blip r:embed="rId102"/>
        <a:srcRect/>
        <a:stretch>
          <a:fillRect/>
        </a:stretch>
      </xdr:blipFill>
      <xdr:spPr>
        <a:xfrm>
          <a:off x="9734550" y="77037568"/>
          <a:ext cx="422275" cy="3924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7" name="ID_ECD7FC7E72B8C895F4E22062C670D4B7" descr="/private/var/mobile/Containers/Data/Application/BD30E208-1B85-4526-9E4C-F3C69F2A0685/tmp/insert_image_tmp_dir/2022-03-03 23:47:09.055000.png2022-03-03 23:47:09.055000"/>
        <xdr:cNvPicPr/>
      </xdr:nvPicPr>
      <xdr:blipFill>
        <a:blip r:embed="rId103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8" name="ID_520E6992929CB38C60F41462F9017E2C" descr="2022-02-22 22:34:08.840000"/>
        <xdr:cNvPicPr/>
      </xdr:nvPicPr>
      <xdr:blipFill>
        <a:blip r:embed="rId104"/>
        <a:srcRect/>
        <a:stretch>
          <a:fillRect/>
        </a:stretch>
      </xdr:blipFill>
      <xdr:spPr>
        <a:xfrm>
          <a:off x="0" y="0"/>
          <a:ext cx="533400" cy="5613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9" name="ID_6BBC4433D4DACB74BFC71562C4EA67BA" descr="2022-02-22 22:28:58.908000"/>
        <xdr:cNvPicPr/>
      </xdr:nvPicPr>
      <xdr:blipFill>
        <a:blip r:embed="rId105"/>
        <a:srcRect/>
        <a:stretch>
          <a:fillRect/>
        </a:stretch>
      </xdr:blipFill>
      <xdr:spPr>
        <a:xfrm>
          <a:off x="9734550" y="22830156"/>
          <a:ext cx="602615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0" name="ID_BFD5E267D17E35537BF114627C25F129" descr="2022-02-22 22:21:47.060000"/>
        <xdr:cNvPicPr/>
      </xdr:nvPicPr>
      <xdr:blipFill>
        <a:blip r:embed="rId106"/>
        <a:srcRect/>
        <a:stretch>
          <a:fillRect/>
        </a:stretch>
      </xdr:blipFill>
      <xdr:spPr>
        <a:xfrm>
          <a:off x="0" y="0"/>
          <a:ext cx="2281555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1" name="ID_00FBF68918CDFE73BD151262B47ECAC9" descr="2022-02-20 18:19:41.142000"/>
        <xdr:cNvPicPr/>
      </xdr:nvPicPr>
      <xdr:blipFill>
        <a:blip r:embed="rId107"/>
        <a:srcRect/>
        <a:stretch>
          <a:fillRect/>
        </a:stretch>
      </xdr:blipFill>
      <xdr:spPr>
        <a:xfrm>
          <a:off x="0" y="0"/>
          <a:ext cx="5422900" cy="2169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2" name="ID_4529AFF83B6863B234C74E623CA15FAC" descr="/private/var/mobile/Containers/Data/Application/E71103CC-7AED-4137-875C-110A2775DCEA/tmp/insert_image_tmp_dir/2022-04-07 19:13:01.959000.png2022-04-07 19:13:01.959000"/>
        <xdr:cNvPicPr/>
      </xdr:nvPicPr>
      <xdr:blipFill>
        <a:blip r:embed="rId108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3" name="ID_067BB9518488D1F927F21462CC398701" descr="2022-02-22 22:24:39.755000"/>
        <xdr:cNvPicPr/>
      </xdr:nvPicPr>
      <xdr:blipFill>
        <a:blip r:embed="rId109"/>
        <a:srcRect/>
        <a:stretch>
          <a:fillRect/>
        </a:stretch>
      </xdr:blipFill>
      <xdr:spPr>
        <a:xfrm>
          <a:off x="0" y="0"/>
          <a:ext cx="972820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4" name="ID_01AD4A5B76D63251120C126221CBB0E1" descr="2022-02-20 17:38:26.757000"/>
        <xdr:cNvPicPr/>
      </xdr:nvPicPr>
      <xdr:blipFill>
        <a:blip r:embed="rId110"/>
        <a:srcRect/>
        <a:stretch>
          <a:fillRect/>
        </a:stretch>
      </xdr:blipFill>
      <xdr:spPr>
        <a:xfrm>
          <a:off x="0" y="0"/>
          <a:ext cx="654685" cy="430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5" name="ID_6B276C5B33FC056F18C815623E51347C" descr="2022-02-20 17:46:49.868000"/>
        <xdr:cNvPicPr/>
      </xdr:nvPicPr>
      <xdr:blipFill>
        <a:blip r:embed="rId111"/>
        <a:srcRect/>
        <a:stretch>
          <a:fillRect/>
        </a:stretch>
      </xdr:blipFill>
      <xdr:spPr>
        <a:xfrm>
          <a:off x="9735185" y="61158756"/>
          <a:ext cx="443865" cy="36893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6" name="ID_E7AA37B5835E832B92D14E622F451935" descr="2022-04-07 19:57:06.393000"/>
        <xdr:cNvPicPr/>
      </xdr:nvPicPr>
      <xdr:blipFill>
        <a:blip r:embed="rId112"/>
        <a:srcRect/>
        <a:stretch>
          <a:fillRect/>
        </a:stretch>
      </xdr:blipFill>
      <xdr:spPr>
        <a:xfrm>
          <a:off x="0" y="0"/>
          <a:ext cx="1131570" cy="4489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7" name="ID_4FCDC8303C6CD38CD6F11462BB028414" descr="2022-02-22 22:22:56.544000"/>
        <xdr:cNvPicPr/>
      </xdr:nvPicPr>
      <xdr:blipFill>
        <a:blip r:embed="rId113"/>
        <a:srcRect/>
        <a:stretch>
          <a:fillRect/>
        </a:stretch>
      </xdr:blipFill>
      <xdr:spPr>
        <a:xfrm>
          <a:off x="7260590" y="8722360"/>
          <a:ext cx="523875" cy="488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8" name="ID_BFDC4CDFD5C8ED9BD7471E622E973420" descr="2022-03-02 00:20:39.173000"/>
        <xdr:cNvPicPr/>
      </xdr:nvPicPr>
      <xdr:blipFill>
        <a:blip r:embed="rId114"/>
        <a:srcRect/>
        <a:stretch>
          <a:fillRect/>
        </a:stretch>
      </xdr:blipFill>
      <xdr:spPr>
        <a:xfrm>
          <a:off x="0" y="0"/>
          <a:ext cx="1113155" cy="6642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9" name="ID_47F66D718978165EA9121262AFC934AD" descr="2022-02-20 18:06:33.613000"/>
        <xdr:cNvPicPr/>
      </xdr:nvPicPr>
      <xdr:blipFill>
        <a:blip r:embed="rId115"/>
        <a:srcRect/>
        <a:stretch>
          <a:fillRect/>
        </a:stretch>
      </xdr:blipFill>
      <xdr:spPr>
        <a:xfrm>
          <a:off x="0" y="0"/>
          <a:ext cx="935355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0" name="ID_1C63B61A45092B8C85FA5A62369B346F" descr="2022-04-17 01:19:01.482000"/>
        <xdr:cNvPicPr/>
      </xdr:nvPicPr>
      <xdr:blipFill>
        <a:blip r:embed="rId116"/>
        <a:srcRect/>
        <a:stretch>
          <a:fillRect/>
        </a:stretch>
      </xdr:blipFill>
      <xdr:spPr>
        <a:xfrm>
          <a:off x="0" y="0"/>
          <a:ext cx="514350" cy="1498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1" name="ID_5A4253B6AE7F116B0FF41462AB441F98" descr="2022-02-22 22:32:47.839000"/>
        <xdr:cNvPicPr/>
      </xdr:nvPicPr>
      <xdr:blipFill>
        <a:blip r:embed="rId117"/>
        <a:srcRect/>
        <a:stretch>
          <a:fillRect/>
        </a:stretch>
      </xdr:blipFill>
      <xdr:spPr>
        <a:xfrm>
          <a:off x="0" y="0"/>
          <a:ext cx="1832610" cy="1309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2" name="ID_116F6ABAB2E7641201F514626874A7FE" descr="2022-02-22 22:36:49.686000"/>
        <xdr:cNvPicPr/>
      </xdr:nvPicPr>
      <xdr:blipFill>
        <a:blip r:embed="rId118"/>
        <a:srcRect/>
        <a:stretch>
          <a:fillRect/>
        </a:stretch>
      </xdr:blipFill>
      <xdr:spPr>
        <a:xfrm>
          <a:off x="0" y="0"/>
          <a:ext cx="1655445" cy="13373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3" name="ID_888E4EAF479B897CC0471E6224DC6658" descr="2022-03-02 00:20:16.919000"/>
        <xdr:cNvPicPr/>
      </xdr:nvPicPr>
      <xdr:blipFill>
        <a:blip r:embed="rId119"/>
        <a:srcRect/>
        <a:stretch>
          <a:fillRect/>
        </a:stretch>
      </xdr:blipFill>
      <xdr:spPr>
        <a:xfrm>
          <a:off x="0" y="0"/>
          <a:ext cx="1505585" cy="12903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4" name="ID_78E94FA879BD83F8A31712629CEA5A3D" descr="2022-02-20 18:27:47.740000"/>
        <xdr:cNvPicPr/>
      </xdr:nvPicPr>
      <xdr:blipFill>
        <a:blip r:embed="rId120"/>
        <a:srcRect/>
        <a:stretch>
          <a:fillRect/>
        </a:stretch>
      </xdr:blipFill>
      <xdr:spPr>
        <a:xfrm>
          <a:off x="0" y="0"/>
          <a:ext cx="1608455" cy="13557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5" name="ID_71169FDD5A2573849CC815624CCADCDF" descr="2022-02-20 17:39:46.790000"/>
        <xdr:cNvPicPr/>
      </xdr:nvPicPr>
      <xdr:blipFill>
        <a:blip r:embed="rId121"/>
        <a:srcRect/>
        <a:stretch>
          <a:fillRect/>
        </a:stretch>
      </xdr:blipFill>
      <xdr:spPr>
        <a:xfrm>
          <a:off x="9734550" y="45159296"/>
          <a:ext cx="464820" cy="518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6" name="ID_FA10CE3E557DCFC50AC74E625D976FF1" descr="2022-04-07 19:12:10.664000"/>
        <xdr:cNvPicPr/>
      </xdr:nvPicPr>
      <xdr:blipFill>
        <a:blip r:embed="rId122"/>
        <a:srcRect/>
        <a:stretch>
          <a:fillRect/>
        </a:stretch>
      </xdr:blipFill>
      <xdr:spPr>
        <a:xfrm>
          <a:off x="0" y="0"/>
          <a:ext cx="3057525" cy="17297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7" name="ID_5176AD874217D2F219161262DA9DD988" descr="2022-02-20 18:21:13.790000"/>
        <xdr:cNvPicPr/>
      </xdr:nvPicPr>
      <xdr:blipFill>
        <a:blip r:embed="rId123"/>
        <a:srcRect/>
        <a:stretch>
          <a:fillRect/>
        </a:stretch>
      </xdr:blipFill>
      <xdr:spPr>
        <a:xfrm>
          <a:off x="0" y="0"/>
          <a:ext cx="1430655" cy="9448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8" name="ID_B692FAE007A1F0759F0D1262AF9C6887" descr="2022-02-20 17:45:03.911000"/>
        <xdr:cNvPicPr/>
      </xdr:nvPicPr>
      <xdr:blipFill>
        <a:blip r:embed="rId124"/>
        <a:srcRect/>
        <a:stretch>
          <a:fillRect/>
        </a:stretch>
      </xdr:blipFill>
      <xdr:spPr>
        <a:xfrm>
          <a:off x="0" y="0"/>
          <a:ext cx="85090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9" name="ID_CF4ED6CBC8964FC6AA141262A7186EB0" descr="2022-02-20 18:15:06.769000"/>
        <xdr:cNvPicPr/>
      </xdr:nvPicPr>
      <xdr:blipFill>
        <a:blip r:embed="rId125"/>
        <a:srcRect/>
        <a:stretch>
          <a:fillRect/>
        </a:stretch>
      </xdr:blipFill>
      <xdr:spPr>
        <a:xfrm>
          <a:off x="0" y="0"/>
          <a:ext cx="3029585" cy="23190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0" name="ID_7EA985047574EE82FE0D12621F5767D9" descr="2022-02-20 17:46:38.278000"/>
        <xdr:cNvPicPr/>
      </xdr:nvPicPr>
      <xdr:blipFill>
        <a:blip r:embed="rId126"/>
        <a:srcRect/>
        <a:stretch>
          <a:fillRect/>
        </a:stretch>
      </xdr:blipFill>
      <xdr:spPr>
        <a:xfrm>
          <a:off x="0" y="0"/>
          <a:ext cx="107569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1" name="ID_DAF061A951DEE8D51A1212625258B7E2" descr="2022-02-20 18:04:10.773000"/>
        <xdr:cNvPicPr/>
      </xdr:nvPicPr>
      <xdr:blipFill>
        <a:blip r:embed="rId127"/>
        <a:srcRect/>
        <a:stretch>
          <a:fillRect/>
        </a:stretch>
      </xdr:blipFill>
      <xdr:spPr>
        <a:xfrm>
          <a:off x="0" y="0"/>
          <a:ext cx="1626870" cy="8794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2" name="ID_8916435EF9FE8406B2C7156261CB47CA" descr="2022-02-22 23:36:02.286000"/>
        <xdr:cNvPicPr/>
      </xdr:nvPicPr>
      <xdr:blipFill>
        <a:blip r:embed="rId128"/>
        <a:srcRect/>
        <a:stretch>
          <a:fillRect/>
        </a:stretch>
      </xdr:blipFill>
      <xdr:spPr>
        <a:xfrm>
          <a:off x="9744710" y="25441910"/>
          <a:ext cx="469900" cy="547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3" name="ID_843FAE869B421652047F28626046AF19" descr="2022-03-09 18:18:26.031000"/>
        <xdr:cNvPicPr/>
      </xdr:nvPicPr>
      <xdr:blipFill>
        <a:blip r:embed="rId129"/>
        <a:srcRect/>
        <a:stretch>
          <a:fillRect/>
        </a:stretch>
      </xdr:blipFill>
      <xdr:spPr>
        <a:xfrm>
          <a:off x="9843770" y="80233520"/>
          <a:ext cx="782955" cy="23431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4" name="ID_7C75563411344786D6D04B62D130D35D" descr="2022-04-05 13:17:10.602000"/>
        <xdr:cNvPicPr/>
      </xdr:nvPicPr>
      <xdr:blipFill>
        <a:blip r:embed="rId130"/>
        <a:srcRect/>
        <a:stretch>
          <a:fillRect/>
        </a:stretch>
      </xdr:blipFill>
      <xdr:spPr>
        <a:xfrm>
          <a:off x="0" y="0"/>
          <a:ext cx="1075690" cy="8324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5" name="ID_CBE53CF08CA9A02FB70C1262424FB26F" descr="2022-02-20 17:41:11.660000"/>
        <xdr:cNvPicPr/>
      </xdr:nvPicPr>
      <xdr:blipFill>
        <a:blip r:embed="rId131"/>
        <a:srcRect/>
        <a:stretch>
          <a:fillRect/>
        </a:stretch>
      </xdr:blipFill>
      <xdr:spPr>
        <a:xfrm>
          <a:off x="0" y="0"/>
          <a:ext cx="44005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6" name="ID_69A7BD8CCA8257F4E2F31462A467DF4A" descr="2022-02-22 22:32:02.707000"/>
        <xdr:cNvPicPr/>
      </xdr:nvPicPr>
      <xdr:blipFill>
        <a:blip r:embed="rId132"/>
        <a:srcRect/>
        <a:stretch>
          <a:fillRect/>
        </a:stretch>
      </xdr:blipFill>
      <xdr:spPr>
        <a:xfrm>
          <a:off x="0" y="0"/>
          <a:ext cx="1626870" cy="9912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7" name="ID_ED6ADC0C4FF36B502E141262228EF533" descr="2022-02-20 18:13:02.424000"/>
        <xdr:cNvPicPr/>
      </xdr:nvPicPr>
      <xdr:blipFill>
        <a:blip r:embed="rId133"/>
        <a:srcRect/>
        <a:stretch>
          <a:fillRect/>
        </a:stretch>
      </xdr:blipFill>
      <xdr:spPr>
        <a:xfrm>
          <a:off x="0" y="0"/>
          <a:ext cx="1701800" cy="1384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8" name="ID_2486F9AE0FB98C2EFCC715620E72969C" descr="2022-02-22 22:21:59.695000"/>
        <xdr:cNvPicPr/>
      </xdr:nvPicPr>
      <xdr:blipFill>
        <a:blip r:embed="rId134"/>
        <a:srcRect/>
        <a:stretch>
          <a:fillRect/>
        </a:stretch>
      </xdr:blipFill>
      <xdr:spPr>
        <a:xfrm>
          <a:off x="9735185" y="4306570"/>
          <a:ext cx="502920" cy="4362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9" name="ID_A0D765A7881F27FCF361926454B49AD4" descr="2023-06-21 10:35:31.809000"/>
        <xdr:cNvPicPr/>
      </xdr:nvPicPr>
      <xdr:blipFill>
        <a:blip r:embed="rId135"/>
        <a:srcRect/>
        <a:stretch>
          <a:fillRect/>
        </a:stretch>
      </xdr:blipFill>
      <xdr:spPr>
        <a:xfrm>
          <a:off x="0" y="0"/>
          <a:ext cx="5984240" cy="20478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0" name="ID_94115DAF4788E699C60E12625D69F539" descr="2022-02-20 17:49:58.655000"/>
        <xdr:cNvPicPr/>
      </xdr:nvPicPr>
      <xdr:blipFill>
        <a:blip r:embed="rId136"/>
        <a:srcRect/>
        <a:stretch>
          <a:fillRect/>
        </a:stretch>
      </xdr:blipFill>
      <xdr:spPr>
        <a:xfrm>
          <a:off x="0" y="0"/>
          <a:ext cx="579755" cy="1689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1" name="ID_BFA495BA7487AF0E18C71562C7E13FC6" descr="2022-02-23 13:33:12.576000"/>
        <xdr:cNvPicPr/>
      </xdr:nvPicPr>
      <xdr:blipFill>
        <a:blip r:embed="rId65"/>
        <a:srcRect/>
        <a:stretch>
          <a:fillRect/>
        </a:stretch>
      </xdr:blipFill>
      <xdr:spPr>
        <a:xfrm>
          <a:off x="0" y="0"/>
          <a:ext cx="89789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2" name="ID_BBF84A38470DB890CFF31462392C464B" descr="2022-02-22 22:31:43.878000"/>
        <xdr:cNvPicPr/>
      </xdr:nvPicPr>
      <xdr:blipFill>
        <a:blip r:embed="rId137"/>
        <a:srcRect/>
        <a:stretch>
          <a:fillRect/>
        </a:stretch>
      </xdr:blipFill>
      <xdr:spPr>
        <a:xfrm>
          <a:off x="0" y="0"/>
          <a:ext cx="1113155" cy="4584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3" name="ID_3E6CC2C59859D25A81C81562EC43C7B1" descr="2022-02-20 18:04:19.996000"/>
        <xdr:cNvPicPr/>
      </xdr:nvPicPr>
      <xdr:blipFill>
        <a:blip r:embed="rId138"/>
        <a:srcRect/>
        <a:stretch>
          <a:fillRect/>
        </a:stretch>
      </xdr:blipFill>
      <xdr:spPr>
        <a:xfrm>
          <a:off x="9735185" y="67823712"/>
          <a:ext cx="459105" cy="4222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4" name="ID_5364F1665B3F6722FAC64E62B0EE9C5B" descr="2022-04-07 19:11:54.530000"/>
        <xdr:cNvPicPr/>
      </xdr:nvPicPr>
      <xdr:blipFill>
        <a:blip r:embed="rId139"/>
        <a:srcRect/>
        <a:stretch>
          <a:fillRect/>
        </a:stretch>
      </xdr:blipFill>
      <xdr:spPr>
        <a:xfrm>
          <a:off x="0" y="0"/>
          <a:ext cx="1570990" cy="14960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5" name="ID_BB942EFFE5C2F5B3FD0C1262CAB4CFEB" descr="2022-02-20 17:41:43.215000"/>
        <xdr:cNvPicPr/>
      </xdr:nvPicPr>
      <xdr:blipFill>
        <a:blip r:embed="rId140"/>
        <a:srcRect/>
        <a:stretch>
          <a:fillRect/>
        </a:stretch>
      </xdr:blipFill>
      <xdr:spPr>
        <a:xfrm>
          <a:off x="5567045" y="23545164"/>
          <a:ext cx="224790" cy="5219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6" name="ID_9FB68803DC4F04947C0C126205CCBADA" descr="2022-02-20 17:40:12.890000"/>
        <xdr:cNvPicPr/>
      </xdr:nvPicPr>
      <xdr:blipFill>
        <a:blip r:embed="rId141"/>
        <a:srcRect/>
        <a:stretch>
          <a:fillRect/>
        </a:stretch>
      </xdr:blipFill>
      <xdr:spPr>
        <a:xfrm>
          <a:off x="0" y="0"/>
          <a:ext cx="79502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7" name="ID_9D0D4504622C253D58AC3A62F669E2BB" descr="2022-03-23 13:12:56.144000"/>
        <xdr:cNvPicPr/>
      </xdr:nvPicPr>
      <xdr:blipFill>
        <a:blip r:embed="rId142"/>
        <a:srcRect/>
        <a:stretch>
          <a:fillRect/>
        </a:stretch>
      </xdr:blipFill>
      <xdr:spPr>
        <a:xfrm>
          <a:off x="0" y="0"/>
          <a:ext cx="1842135" cy="6172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8" name="ID_458D5EF7383B7B5375AC3A62E78B3AA2" descr="2022-03-23 13:13:25.313000"/>
        <xdr:cNvPicPr/>
      </xdr:nvPicPr>
      <xdr:blipFill>
        <a:blip r:embed="rId143"/>
        <a:srcRect/>
        <a:stretch>
          <a:fillRect/>
        </a:stretch>
      </xdr:blipFill>
      <xdr:spPr>
        <a:xfrm>
          <a:off x="0" y="0"/>
          <a:ext cx="1683385" cy="1234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9" name="ID_C91773D09709B30F6FC815626C4908C0" descr="/private/var/mobile/Containers/Data/Application/BD30E208-1B85-4526-9E4C-F3C69F2A0685/tmp/insert_image_tmp_dir/2022-02-14 01:14:49.159000.png2022-02-14 01:14:49.159000"/>
        <xdr:cNvPicPr/>
      </xdr:nvPicPr>
      <xdr:blipFill>
        <a:blip r:embed="rId144"/>
        <a:srcRect/>
        <a:stretch>
          <a:fillRect/>
        </a:stretch>
      </xdr:blipFill>
      <xdr:spPr>
        <a:xfrm>
          <a:off x="9749155" y="72205216"/>
          <a:ext cx="445770" cy="4457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0" name="ID_ABDDD818523C6653A7F414621ADD1044" descr="2022-02-22 22:35:19.451000"/>
        <xdr:cNvPicPr/>
      </xdr:nvPicPr>
      <xdr:blipFill>
        <a:blip r:embed="rId145"/>
        <a:srcRect/>
        <a:stretch>
          <a:fillRect/>
        </a:stretch>
      </xdr:blipFill>
      <xdr:spPr>
        <a:xfrm>
          <a:off x="0" y="0"/>
          <a:ext cx="53340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1" name="ID_7CC9DD6C3C2186DA861212625E5BD7CD" descr="2022-02-20 18:05:58.647000"/>
        <xdr:cNvPicPr/>
      </xdr:nvPicPr>
      <xdr:blipFill>
        <a:blip r:embed="rId146"/>
        <a:srcRect/>
        <a:stretch>
          <a:fillRect/>
        </a:stretch>
      </xdr:blipFill>
      <xdr:spPr>
        <a:xfrm>
          <a:off x="0" y="0"/>
          <a:ext cx="533400" cy="1403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2" name="ID_EBF84A45582D3DC044F31462561C11D4" descr="2022-02-22 22:29:24.149000"/>
        <xdr:cNvPicPr/>
      </xdr:nvPicPr>
      <xdr:blipFill>
        <a:blip r:embed="rId147"/>
        <a:srcRect/>
        <a:stretch>
          <a:fillRect/>
        </a:stretch>
      </xdr:blipFill>
      <xdr:spPr>
        <a:xfrm>
          <a:off x="0" y="0"/>
          <a:ext cx="1487170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3" name="ID_39F0CFA614A5804C6E14126242F826F3" descr="2022-02-20 18:14:06.659000"/>
        <xdr:cNvPicPr/>
      </xdr:nvPicPr>
      <xdr:blipFill>
        <a:blip r:embed="rId148"/>
        <a:srcRect/>
        <a:stretch>
          <a:fillRect/>
        </a:stretch>
      </xdr:blipFill>
      <xdr:spPr>
        <a:xfrm>
          <a:off x="0" y="0"/>
          <a:ext cx="1617980" cy="1038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4" name="ID_0E33A7B6E1FD936509F4146285929A5A" descr="2022-02-22 22:32:41.406000"/>
        <xdr:cNvPicPr/>
      </xdr:nvPicPr>
      <xdr:blipFill>
        <a:blip r:embed="rId149"/>
        <a:srcRect/>
        <a:stretch>
          <a:fillRect/>
        </a:stretch>
      </xdr:blipFill>
      <xdr:spPr>
        <a:xfrm>
          <a:off x="0" y="0"/>
          <a:ext cx="1524000" cy="11220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5" name="ID_73149A2629323162FBF21462A3897FBC" descr="2022-02-22 22:28:11.273000"/>
        <xdr:cNvPicPr/>
      </xdr:nvPicPr>
      <xdr:blipFill>
        <a:blip r:embed="rId150"/>
        <a:srcRect/>
        <a:stretch>
          <a:fillRect/>
        </a:stretch>
      </xdr:blipFill>
      <xdr:spPr>
        <a:xfrm>
          <a:off x="0" y="0"/>
          <a:ext cx="138430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6" name="ID_AC91ED0897B537DD33862D62CA647A32" descr="2022-03-13 13:50:43.747000"/>
        <xdr:cNvPicPr/>
      </xdr:nvPicPr>
      <xdr:blipFill>
        <a:blip r:embed="rId151"/>
        <a:srcRect/>
        <a:stretch>
          <a:fillRect/>
        </a:stretch>
      </xdr:blipFill>
      <xdr:spPr>
        <a:xfrm>
          <a:off x="0" y="0"/>
          <a:ext cx="1047750" cy="12534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7" name="ID_3F556246A785DD8DB9F3146215297846" descr="2022-02-22 22:31:21.982000"/>
        <xdr:cNvPicPr/>
      </xdr:nvPicPr>
      <xdr:blipFill>
        <a:blip r:embed="rId152"/>
        <a:srcRect/>
        <a:stretch>
          <a:fillRect/>
        </a:stretch>
      </xdr:blipFill>
      <xdr:spPr>
        <a:xfrm>
          <a:off x="0" y="0"/>
          <a:ext cx="116903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8" name="ID_442471AF2CD075DDD70E1262A4B24C95" descr="2022-02-20 17:50:15.522000"/>
        <xdr:cNvPicPr/>
      </xdr:nvPicPr>
      <xdr:blipFill>
        <a:blip r:embed="rId153"/>
        <a:srcRect/>
        <a:stretch>
          <a:fillRect/>
        </a:stretch>
      </xdr:blipFill>
      <xdr:spPr>
        <a:xfrm>
          <a:off x="0" y="0"/>
          <a:ext cx="162687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9" name="ID_8A43E75D8C41C8D6A60D1262679BCDA4" descr="2022-02-20 17:45:10.429000"/>
        <xdr:cNvPicPr/>
      </xdr:nvPicPr>
      <xdr:blipFill>
        <a:blip r:embed="rId154"/>
        <a:srcRect/>
        <a:stretch>
          <a:fillRect/>
        </a:stretch>
      </xdr:blipFill>
      <xdr:spPr>
        <a:xfrm>
          <a:off x="0" y="0"/>
          <a:ext cx="1271905" cy="10941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0" name="ID_E317E65F7BCFB903C80C12622EB8B4CC" descr="2022-02-20 17:41:28.704000"/>
        <xdr:cNvPicPr/>
      </xdr:nvPicPr>
      <xdr:blipFill>
        <a:blip r:embed="rId155"/>
        <a:srcRect/>
        <a:stretch>
          <a:fillRect/>
        </a:stretch>
      </xdr:blipFill>
      <xdr:spPr>
        <a:xfrm>
          <a:off x="0" y="0"/>
          <a:ext cx="59880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1" name="ID_C0CB91498A7CF9264AC81562E3235BE9" descr="2022-02-20 18:05:45.120000"/>
        <xdr:cNvPicPr/>
      </xdr:nvPicPr>
      <xdr:blipFill>
        <a:blip r:embed="rId156"/>
        <a:srcRect/>
        <a:stretch>
          <a:fillRect/>
        </a:stretch>
      </xdr:blipFill>
      <xdr:spPr>
        <a:xfrm>
          <a:off x="9734550" y="70903464"/>
          <a:ext cx="370205" cy="3606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2" name="ID_9720AA91CDA7B2EF150D1262B42AEEF5" descr="2022-02-20 17:42:31.438000"/>
        <xdr:cNvPicPr/>
      </xdr:nvPicPr>
      <xdr:blipFill>
        <a:blip r:embed="rId157"/>
        <a:srcRect/>
        <a:stretch>
          <a:fillRect/>
        </a:stretch>
      </xdr:blipFill>
      <xdr:spPr>
        <a:xfrm>
          <a:off x="5542280" y="23893780"/>
          <a:ext cx="271145" cy="4699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3" name="ID_AEE08F60643876D6D20C126261D2AA83" descr="2022-02-20 17:41:38.738000"/>
        <xdr:cNvPicPr/>
      </xdr:nvPicPr>
      <xdr:blipFill>
        <a:blip r:embed="rId158"/>
        <a:srcRect/>
        <a:stretch>
          <a:fillRect/>
        </a:stretch>
      </xdr:blipFill>
      <xdr:spPr>
        <a:xfrm>
          <a:off x="0" y="0"/>
          <a:ext cx="74803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4" name="ID_994A8E7551CBE50740F41462960B1B19" descr="2022-02-22 22:33:36.770000"/>
        <xdr:cNvPicPr/>
      </xdr:nvPicPr>
      <xdr:blipFill>
        <a:blip r:embed="rId159"/>
        <a:srcRect/>
        <a:stretch>
          <a:fillRect/>
        </a:stretch>
      </xdr:blipFill>
      <xdr:spPr>
        <a:xfrm>
          <a:off x="0" y="0"/>
          <a:ext cx="138430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5" name="ID_9CF63B028A7F0E7A5DF31462B313EC6F" descr="2022-02-22 22:29:49.722000"/>
        <xdr:cNvPicPr/>
      </xdr:nvPicPr>
      <xdr:blipFill>
        <a:blip r:embed="rId160"/>
        <a:srcRect/>
        <a:stretch>
          <a:fillRect/>
        </a:stretch>
      </xdr:blipFill>
      <xdr:spPr>
        <a:xfrm>
          <a:off x="0" y="0"/>
          <a:ext cx="804545" cy="4959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6" name="ID_4B96D85A20953B6882F1146263C13905" descr="2022-02-22 22:21:54.247000"/>
        <xdr:cNvPicPr/>
      </xdr:nvPicPr>
      <xdr:blipFill>
        <a:blip r:embed="rId161"/>
        <a:srcRect/>
        <a:stretch>
          <a:fillRect/>
        </a:stretch>
      </xdr:blipFill>
      <xdr:spPr>
        <a:xfrm>
          <a:off x="0" y="0"/>
          <a:ext cx="692150" cy="10191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7" name="ID_EC9597F925C367E0AAF11462AD38F129" descr="2022-02-22 22:22:34.875000"/>
        <xdr:cNvPicPr/>
      </xdr:nvPicPr>
      <xdr:blipFill>
        <a:blip r:embed="rId162"/>
        <a:srcRect/>
        <a:stretch>
          <a:fillRect/>
        </a:stretch>
      </xdr:blipFill>
      <xdr:spPr>
        <a:xfrm>
          <a:off x="0" y="0"/>
          <a:ext cx="69215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8" name="ID_35B85ED0A589E1CF0F3909625B6CC89C" descr="2022-02-14 00:59:40.391000"/>
        <xdr:cNvPicPr/>
      </xdr:nvPicPr>
      <xdr:blipFill>
        <a:blip r:embed="rId163"/>
        <a:srcRect/>
        <a:stretch>
          <a:fillRect/>
        </a:stretch>
      </xdr:blipFill>
      <xdr:spPr>
        <a:xfrm>
          <a:off x="3353435" y="28374340"/>
          <a:ext cx="685800" cy="768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9" name="ID_D60879C0DED1682527F41462AFBC7FC0" descr="2022-02-22 22:33:11.270000"/>
        <xdr:cNvPicPr/>
      </xdr:nvPicPr>
      <xdr:blipFill>
        <a:blip r:embed="rId164"/>
        <a:srcRect/>
        <a:stretch>
          <a:fillRect/>
        </a:stretch>
      </xdr:blipFill>
      <xdr:spPr>
        <a:xfrm>
          <a:off x="0" y="0"/>
          <a:ext cx="1271905" cy="776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0" name="ID_8B0814C0671D7DCDA1121262E14F36A4" descr="2022-02-20 18:06:25.356000"/>
        <xdr:cNvPicPr/>
      </xdr:nvPicPr>
      <xdr:blipFill>
        <a:blip r:embed="rId165"/>
        <a:srcRect/>
        <a:stretch>
          <a:fillRect/>
        </a:stretch>
      </xdr:blipFill>
      <xdr:spPr>
        <a:xfrm>
          <a:off x="0" y="0"/>
          <a:ext cx="1496060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1" name="ID_1532F900052A29A9A9C715627BBB5BAD" descr="2022-02-22 22:31:08.346000"/>
        <xdr:cNvPicPr/>
      </xdr:nvPicPr>
      <xdr:blipFill>
        <a:blip r:embed="rId166"/>
        <a:srcRect/>
        <a:stretch>
          <a:fillRect/>
        </a:stretch>
      </xdr:blipFill>
      <xdr:spPr>
        <a:xfrm>
          <a:off x="9734550" y="28338780"/>
          <a:ext cx="519430" cy="55689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2" name="ID_B074F258F8E54050A66FE8207450609A" descr=" "/>
        <xdr:cNvPicPr/>
      </xdr:nvPicPr>
      <xdr:blipFill>
        <a:blip r:embed="rId167"/>
        <a:srcRect/>
        <a:stretch>
          <a:fillRect/>
        </a:stretch>
      </xdr:blipFill>
      <xdr:spPr>
        <a:xfrm>
          <a:off x="0" y="0"/>
          <a:ext cx="2662141" cy="785382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3" name="ID_AC3E7D3BDBD65DF702F214622950E8AE" descr="2022-02-22 22:24:02.324000"/>
        <xdr:cNvPicPr/>
      </xdr:nvPicPr>
      <xdr:blipFill>
        <a:blip r:embed="rId168"/>
        <a:srcRect/>
        <a:stretch>
          <a:fillRect/>
        </a:stretch>
      </xdr:blipFill>
      <xdr:spPr>
        <a:xfrm>
          <a:off x="0" y="0"/>
          <a:ext cx="104775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4" name="ID_5487138B49F3076F68F11462159E441F" descr="2022-02-22 22:21:28.836000"/>
        <xdr:cNvPicPr/>
      </xdr:nvPicPr>
      <xdr:blipFill>
        <a:blip r:embed="rId169"/>
        <a:srcRect/>
        <a:stretch>
          <a:fillRect/>
        </a:stretch>
      </xdr:blipFill>
      <xdr:spPr>
        <a:xfrm>
          <a:off x="0" y="0"/>
          <a:ext cx="916305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5" name="ID_C05B2CDF55B2674997121262179962C8" descr="2022-02-20 18:06:15.198000"/>
        <xdr:cNvPicPr/>
      </xdr:nvPicPr>
      <xdr:blipFill>
        <a:blip r:embed="rId170"/>
        <a:srcRect/>
        <a:stretch>
          <a:fillRect/>
        </a:stretch>
      </xdr:blipFill>
      <xdr:spPr>
        <a:xfrm>
          <a:off x="0" y="0"/>
          <a:ext cx="1103630" cy="393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6" name="ID_70603DB931727D7C4FF41462776B855E" descr="2022-02-22 22:33:51.395000"/>
        <xdr:cNvPicPr/>
      </xdr:nvPicPr>
      <xdr:blipFill>
        <a:blip r:embed="rId171"/>
        <a:srcRect/>
        <a:stretch>
          <a:fillRect/>
        </a:stretch>
      </xdr:blipFill>
      <xdr:spPr>
        <a:xfrm>
          <a:off x="0" y="0"/>
          <a:ext cx="1430655" cy="10941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7" name="ID_4DA7E9F9CF212DBAAC1312629C1E3B9D" descr="2022-02-20 18:10:52.007000"/>
        <xdr:cNvPicPr/>
      </xdr:nvPicPr>
      <xdr:blipFill>
        <a:blip r:embed="rId172"/>
        <a:srcRect/>
        <a:stretch>
          <a:fillRect/>
        </a:stretch>
      </xdr:blipFill>
      <xdr:spPr>
        <a:xfrm>
          <a:off x="0" y="0"/>
          <a:ext cx="1365250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8" name="ID_72FCC5E81A3A9B87BF121262ADD4A686" descr="2022-02-20 18:06:55.216000"/>
        <xdr:cNvPicPr/>
      </xdr:nvPicPr>
      <xdr:blipFill>
        <a:blip r:embed="rId173"/>
        <a:srcRect/>
        <a:stretch>
          <a:fillRect/>
        </a:stretch>
      </xdr:blipFill>
      <xdr:spPr>
        <a:xfrm>
          <a:off x="0" y="0"/>
          <a:ext cx="2711450" cy="12439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9" name="ID_BB1ADCABE482BB2494F11462094831B2" descr="2022-02-22 22:22:12.005000"/>
        <xdr:cNvPicPr/>
      </xdr:nvPicPr>
      <xdr:blipFill>
        <a:blip r:embed="rId54"/>
        <a:srcRect/>
        <a:stretch>
          <a:fillRect/>
        </a:stretch>
      </xdr:blipFill>
      <xdr:spPr>
        <a:xfrm>
          <a:off x="0" y="0"/>
          <a:ext cx="218821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0" name="ID_76F801D53E501FC412972562DEDCB68C" descr="2022-03-07 13:24:34.171000"/>
        <xdr:cNvPicPr/>
      </xdr:nvPicPr>
      <xdr:blipFill>
        <a:blip r:embed="rId174"/>
        <a:srcRect/>
        <a:stretch>
          <a:fillRect/>
        </a:stretch>
      </xdr:blipFill>
      <xdr:spPr>
        <a:xfrm>
          <a:off x="0" y="0"/>
          <a:ext cx="1038225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1" name="ID_97141E7F717BCBBADAC61562D12B0443" descr="2022-02-23 13:32:10.139000"/>
        <xdr:cNvPicPr/>
      </xdr:nvPicPr>
      <xdr:blipFill>
        <a:blip r:embed="rId175"/>
        <a:srcRect/>
        <a:stretch>
          <a:fillRect/>
        </a:stretch>
      </xdr:blipFill>
      <xdr:spPr>
        <a:xfrm>
          <a:off x="0" y="0"/>
          <a:ext cx="711200" cy="1593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2" name="ID_A81DCB9F96C2C3C1B60D1262AAA10401" descr="2022-02-20 17:45:26.431000"/>
        <xdr:cNvPicPr/>
      </xdr:nvPicPr>
      <xdr:blipFill>
        <a:blip r:embed="rId176"/>
        <a:srcRect/>
        <a:stretch>
          <a:fillRect/>
        </a:stretch>
      </xdr:blipFill>
      <xdr:spPr>
        <a:xfrm>
          <a:off x="0" y="0"/>
          <a:ext cx="1122045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3" name="ID_242DB106AE5863348DF114620D054991" descr="2022-02-22 22:22:05.499000"/>
        <xdr:cNvPicPr/>
      </xdr:nvPicPr>
      <xdr:blipFill>
        <a:blip r:embed="rId177"/>
        <a:srcRect/>
        <a:stretch>
          <a:fillRect/>
        </a:stretch>
      </xdr:blipFill>
      <xdr:spPr>
        <a:xfrm>
          <a:off x="0" y="0"/>
          <a:ext cx="1365250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4" name="ID_A9F101BF22BF0324F1F214623D8C32B2" descr="2022-02-22 22:28:01.595000"/>
        <xdr:cNvPicPr/>
      </xdr:nvPicPr>
      <xdr:blipFill>
        <a:blip r:embed="rId68"/>
        <a:srcRect/>
        <a:stretch>
          <a:fillRect/>
        </a:stretch>
      </xdr:blipFill>
      <xdr:spPr>
        <a:xfrm>
          <a:off x="0" y="0"/>
          <a:ext cx="13843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5" name="ID_063083AF3FD26307270C1262882D0C10" descr="2022-02-20 17:38:46.985000"/>
        <xdr:cNvPicPr/>
      </xdr:nvPicPr>
      <xdr:blipFill>
        <a:blip r:embed="rId178"/>
        <a:srcRect/>
        <a:stretch>
          <a:fillRect/>
        </a:stretch>
      </xdr:blipFill>
      <xdr:spPr>
        <a:xfrm>
          <a:off x="0" y="0"/>
          <a:ext cx="589280" cy="4864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6" name="ID_5D7518A76636D652EE0D1262D0238E14" descr="2022-02-20 17:46:22.584000"/>
        <xdr:cNvPicPr/>
      </xdr:nvPicPr>
      <xdr:blipFill>
        <a:blip r:embed="rId179"/>
        <a:srcRect/>
        <a:stretch>
          <a:fillRect/>
        </a:stretch>
      </xdr:blipFill>
      <xdr:spPr>
        <a:xfrm>
          <a:off x="0" y="0"/>
          <a:ext cx="1131570" cy="11131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7" name="ID_A202A5EFF3AACD6820F314620998A0B4" descr="2022-02-22 22:28:48.255000"/>
        <xdr:cNvPicPr/>
      </xdr:nvPicPr>
      <xdr:blipFill>
        <a:blip r:embed="rId180"/>
        <a:srcRect/>
        <a:stretch>
          <a:fillRect/>
        </a:stretch>
      </xdr:blipFill>
      <xdr:spPr>
        <a:xfrm>
          <a:off x="0" y="0"/>
          <a:ext cx="925830" cy="5988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8" name="ID_E4274ACBAF6903639E609264A4CEB351" descr="2023-06-21 10:29:50.442000"/>
        <xdr:cNvPicPr/>
      </xdr:nvPicPr>
      <xdr:blipFill>
        <a:blip r:embed="rId181"/>
        <a:srcRect/>
        <a:stretch>
          <a:fillRect/>
        </a:stretch>
      </xdr:blipFill>
      <xdr:spPr>
        <a:xfrm>
          <a:off x="0" y="0"/>
          <a:ext cx="935355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9" name="ID_16422DFD085F2C134DF21462EBDB2CBA" descr="2022-02-22 22:25:17.424000"/>
        <xdr:cNvPicPr/>
      </xdr:nvPicPr>
      <xdr:blipFill>
        <a:blip r:embed="rId182"/>
        <a:srcRect/>
        <a:stretch>
          <a:fillRect/>
        </a:stretch>
      </xdr:blipFill>
      <xdr:spPr>
        <a:xfrm>
          <a:off x="0" y="0"/>
          <a:ext cx="897890" cy="822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0" name="ID_6341020A9A866303F2F314626D0E403E" descr="2022-02-22 22:32:18.000000"/>
        <xdr:cNvPicPr/>
      </xdr:nvPicPr>
      <xdr:blipFill>
        <a:blip r:embed="rId183"/>
        <a:srcRect/>
        <a:stretch>
          <a:fillRect/>
        </a:stretch>
      </xdr:blipFill>
      <xdr:spPr>
        <a:xfrm>
          <a:off x="0" y="0"/>
          <a:ext cx="991235" cy="972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1" name="ID_1A733582E62B4306330C126200A194B6" descr="2022-02-20 17:38:59.614000"/>
        <xdr:cNvPicPr/>
      </xdr:nvPicPr>
      <xdr:blipFill>
        <a:blip r:embed="rId184"/>
        <a:srcRect/>
        <a:stretch>
          <a:fillRect/>
        </a:stretch>
      </xdr:blipFill>
      <xdr:spPr>
        <a:xfrm>
          <a:off x="0" y="0"/>
          <a:ext cx="664210" cy="5892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2" name="ID_7073FC2B41F3657F54F214628A67C51C" descr="2022-02-22 22:25:24.409000"/>
        <xdr:cNvPicPr/>
      </xdr:nvPicPr>
      <xdr:blipFill>
        <a:blip r:embed="rId185"/>
        <a:srcRect/>
        <a:stretch>
          <a:fillRect/>
        </a:stretch>
      </xdr:blipFill>
      <xdr:spPr>
        <a:xfrm>
          <a:off x="0" y="0"/>
          <a:ext cx="842010" cy="5988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3" name="ID_B217B69E4CEDFF0F73F11462262675B7" descr="2022-02-22 22:21:39.884000"/>
        <xdr:cNvPicPr/>
      </xdr:nvPicPr>
      <xdr:blipFill>
        <a:blip r:embed="rId186"/>
        <a:srcRect/>
        <a:stretch>
          <a:fillRect/>
        </a:stretch>
      </xdr:blipFill>
      <xdr:spPr>
        <a:xfrm>
          <a:off x="0" y="0"/>
          <a:ext cx="925830" cy="682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4" name="ID_9F045E2E89161B5F0B16126205006422" descr="2022-02-20 18:20:59.746000"/>
        <xdr:cNvPicPr/>
      </xdr:nvPicPr>
      <xdr:blipFill>
        <a:blip r:embed="rId187"/>
        <a:srcRect/>
        <a:stretch>
          <a:fillRect/>
        </a:stretch>
      </xdr:blipFill>
      <xdr:spPr>
        <a:xfrm>
          <a:off x="0" y="0"/>
          <a:ext cx="2253615" cy="17487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5" name="ID_9D525417514E3F7F20F41462A7CA78FC" descr="2022-02-22 22:33:04.033000"/>
        <xdr:cNvPicPr/>
      </xdr:nvPicPr>
      <xdr:blipFill>
        <a:blip r:embed="rId188"/>
        <a:srcRect/>
        <a:stretch>
          <a:fillRect/>
        </a:stretch>
      </xdr:blipFill>
      <xdr:spPr>
        <a:xfrm>
          <a:off x="0" y="0"/>
          <a:ext cx="64516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6" name="ID_8CADCB4090E6EB11D01212624ADC652D" descr="2022-02-20 18:07:12.963000"/>
        <xdr:cNvPicPr/>
      </xdr:nvPicPr>
      <xdr:blipFill>
        <a:blip r:embed="rId189"/>
        <a:srcRect/>
        <a:stretch>
          <a:fillRect/>
        </a:stretch>
      </xdr:blipFill>
      <xdr:spPr>
        <a:xfrm>
          <a:off x="0" y="0"/>
          <a:ext cx="2711450" cy="1832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7" name="ID_E1578E6F5AE16C487DF2146201FB53A2" descr="2022-02-22 22:26:05.555000"/>
        <xdr:cNvPicPr/>
      </xdr:nvPicPr>
      <xdr:blipFill>
        <a:blip r:embed="rId190"/>
        <a:srcRect/>
        <a:stretch>
          <a:fillRect/>
        </a:stretch>
      </xdr:blipFill>
      <xdr:spPr>
        <a:xfrm>
          <a:off x="0" y="0"/>
          <a:ext cx="52387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8" name="ID_999E7E5BE2DF0EFA1CF2146212EB4DEC" descr="2022-02-22 22:24:28.567000"/>
        <xdr:cNvPicPr/>
      </xdr:nvPicPr>
      <xdr:blipFill>
        <a:blip r:embed="rId191"/>
        <a:srcRect/>
        <a:stretch>
          <a:fillRect/>
        </a:stretch>
      </xdr:blipFill>
      <xdr:spPr>
        <a:xfrm>
          <a:off x="0" y="0"/>
          <a:ext cx="589280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9" name="ID_5D15AAC2C7E944D60FA84562E05E8167" descr="2022-03-31 21:09:35.742000"/>
        <xdr:cNvPicPr/>
      </xdr:nvPicPr>
      <xdr:blipFill>
        <a:blip r:embed="rId192"/>
        <a:srcRect/>
        <a:stretch>
          <a:fillRect/>
        </a:stretch>
      </xdr:blipFill>
      <xdr:spPr>
        <a:xfrm>
          <a:off x="0" y="0"/>
          <a:ext cx="139319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0" name="ID_3183167762F0FA86EBF1146205E59B90" descr="2022-02-22 22:23:39.250000"/>
        <xdr:cNvPicPr/>
      </xdr:nvPicPr>
      <xdr:blipFill>
        <a:blip r:embed="rId193"/>
        <a:srcRect/>
        <a:stretch>
          <a:fillRect/>
        </a:stretch>
      </xdr:blipFill>
      <xdr:spPr>
        <a:xfrm>
          <a:off x="0" y="0"/>
          <a:ext cx="589280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1" name="ID_331B2A00CF712BB484151262F0644549" descr="/private/var/mobile/Containers/Data/Application/BD30E208-1B85-4526-9E4C-F3C69F2A0685/tmp/insert_image_tmp_dir/2022-02-20 18:22:33.496000.png2022-02-20 18:22:33.496000"/>
        <xdr:cNvPicPr/>
      </xdr:nvPicPr>
      <xdr:blipFill>
        <a:blip r:embed="rId194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2" name="ID_412CFAB5DA8BD20878C815626C697654" descr="2022-02-20 18:05:22.600000"/>
        <xdr:cNvPicPr/>
      </xdr:nvPicPr>
      <xdr:blipFill>
        <a:blip r:embed="rId195"/>
        <a:srcRect/>
        <a:stretch>
          <a:fillRect/>
        </a:stretch>
      </xdr:blipFill>
      <xdr:spPr>
        <a:xfrm>
          <a:off x="9734550" y="69438520"/>
          <a:ext cx="376555" cy="39179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3" name="ID_D47A8E23B75F8FB431E32062E04906E2" descr="2022-03-03 23:48:00.978000"/>
        <xdr:cNvPicPr/>
      </xdr:nvPicPr>
      <xdr:blipFill>
        <a:blip r:embed="rId196"/>
        <a:srcRect/>
        <a:stretch>
          <a:fillRect/>
        </a:stretch>
      </xdr:blipFill>
      <xdr:spPr>
        <a:xfrm>
          <a:off x="0" y="0"/>
          <a:ext cx="104775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4" name="ID_B88B128FDB1EDD536115126265E54AEE" descr="2022-02-20 18:18:09.959000"/>
        <xdr:cNvPicPr/>
      </xdr:nvPicPr>
      <xdr:blipFill>
        <a:blip r:embed="rId197"/>
        <a:srcRect/>
        <a:stretch>
          <a:fillRect/>
        </a:stretch>
      </xdr:blipFill>
      <xdr:spPr>
        <a:xfrm>
          <a:off x="0" y="0"/>
          <a:ext cx="3319145" cy="11506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5" name="ID_51AA063B5FD713A05C121262F038E654" descr="2022-02-20 18:05:16.280000"/>
        <xdr:cNvPicPr/>
      </xdr:nvPicPr>
      <xdr:blipFill>
        <a:blip r:embed="rId198"/>
        <a:srcRect/>
        <a:stretch>
          <a:fillRect/>
        </a:stretch>
      </xdr:blipFill>
      <xdr:spPr>
        <a:xfrm>
          <a:off x="0" y="0"/>
          <a:ext cx="1346835" cy="147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6" name="ID_C93046D3562A1A645DAC3A6293A4856B" descr="2022-03-23 13:13:01.631000"/>
        <xdr:cNvPicPr/>
      </xdr:nvPicPr>
      <xdr:blipFill>
        <a:blip r:embed="rId199"/>
        <a:srcRect/>
        <a:stretch>
          <a:fillRect/>
        </a:stretch>
      </xdr:blipFill>
      <xdr:spPr>
        <a:xfrm>
          <a:off x="0" y="0"/>
          <a:ext cx="1290320" cy="776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7" name="ID_D9931ED3B14B6F3256E14364ED2CD941" descr="/private/var/mobile/Containers/Data/Application/EE8A8A5B-5BE6-417D-BA63-65A9B124ACA9/tmp/insert_image_tmp_dir/2023-04-22 21:30:20.211000.png2023-04-22 21:30:20.211000"/>
        <xdr:cNvPicPr/>
      </xdr:nvPicPr>
      <xdr:blipFill>
        <a:blip r:embed="rId200"/>
        <a:srcRect/>
        <a:stretch>
          <a:fillRect/>
        </a:stretch>
      </xdr:blipFill>
      <xdr:spPr>
        <a:xfrm>
          <a:off x="0" y="0"/>
          <a:ext cx="7134225" cy="4749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8" name="ID_F92BBFCF70024119851021863ABCFE62" descr="56-53-1"/>
        <xdr:cNvPicPr>
          <a:picLocks noChangeAspect="1"/>
        </xdr:cNvPicPr>
      </xdr:nvPicPr>
      <xdr:blipFill>
        <a:blip r:embed="rId201"/>
        <a:stretch>
          <a:fillRect/>
        </a:stretch>
      </xdr:blipFill>
      <xdr:spPr>
        <a:xfrm>
          <a:off x="9923780" y="110848775"/>
          <a:ext cx="324485" cy="653415"/>
        </a:xfrm>
        <a:prstGeom prst="rect">
          <a:avLst/>
        </a:prstGeom>
      </xdr:spPr>
    </xdr:pic>
  </etc:cellImage>
  <etc:cellImage>
    <xdr:pic>
      <xdr:nvPicPr>
        <xdr:cNvPr id="209" name="ID_26577B346DA748FFA42390BE4E05C081" descr="็ป“ๆๅผ"/>
        <xdr:cNvPicPr>
          <a:picLocks noChangeAspect="1"/>
        </xdr:cNvPicPr>
      </xdr:nvPicPr>
      <xdr:blipFill>
        <a:blip r:embed="rId202" r:link="rId203"/>
        <a:stretch>
          <a:fillRect/>
        </a:stretch>
      </xdr:blipFill>
      <xdr:spPr>
        <a:xfrm>
          <a:off x="9763760" y="84063840"/>
          <a:ext cx="10668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1" name="ID_910A5DD938194DC5A09D49FD47BD30FE" descr="็ป“ๆๅผ"/>
        <xdr:cNvPicPr>
          <a:picLocks noChangeAspect="1"/>
        </xdr:cNvPicPr>
      </xdr:nvPicPr>
      <xdr:blipFill>
        <a:blip r:embed="rId204" r:link="rId203"/>
        <a:stretch>
          <a:fillRect/>
        </a:stretch>
      </xdr:blipFill>
      <xdr:spPr>
        <a:xfrm>
          <a:off x="9748520" y="58875295"/>
          <a:ext cx="7239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2" name="ID_73FC88C2D3CD4B8BA7669A79C9243A07"/>
        <xdr:cNvPicPr>
          <a:picLocks noChangeAspect="1"/>
        </xdr:cNvPicPr>
      </xdr:nvPicPr>
      <xdr:blipFill>
        <a:blip r:embed="rId205"/>
        <a:stretch>
          <a:fillRect/>
        </a:stretch>
      </xdr:blipFill>
      <xdr:spPr>
        <a:xfrm>
          <a:off x="9763760" y="22901910"/>
          <a:ext cx="2705100" cy="1866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0" name="ID_15D88BDD2F964E6EBC073D7DE23D4476" descr="็ป“ๆๅผ"/>
        <xdr:cNvPicPr>
          <a:picLocks noChangeAspect="1"/>
        </xdr:cNvPicPr>
      </xdr:nvPicPr>
      <xdr:blipFill>
        <a:blip r:embed="rId206" r:link="rId203"/>
        <a:stretch>
          <a:fillRect/>
        </a:stretch>
      </xdr:blipFill>
      <xdr:spPr>
        <a:xfrm>
          <a:off x="9763760" y="57405270"/>
          <a:ext cx="1066800" cy="6324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3" name="ID_7117D788B0EA4C599215D377E9C5A0C6"/>
        <xdr:cNvPicPr>
          <a:picLocks noChangeAspect="1"/>
        </xdr:cNvPicPr>
      </xdr:nvPicPr>
      <xdr:blipFill>
        <a:blip r:embed="rId207"/>
        <a:stretch>
          <a:fillRect/>
        </a:stretch>
      </xdr:blipFill>
      <xdr:spPr>
        <a:xfrm>
          <a:off x="9707880" y="48718470"/>
          <a:ext cx="2457450" cy="8191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<sst xmlns="http://schemas.openxmlformats.org/spreadsheetml/2006/main" count="2063" uniqueCount="1348">
  <si>
    <t>CAS号</t>
  </si>
  <si>
    <t>产品英文名称</t>
  </si>
  <si>
    <t>产品中文名称</t>
  </si>
  <si>
    <t>分子式</t>
  </si>
  <si>
    <t>分子量</t>
  </si>
  <si>
    <t>结构式</t>
  </si>
  <si>
    <t>分类</t>
  </si>
  <si>
    <t>GHS</t>
  </si>
  <si>
    <t>管制信息</t>
  </si>
  <si>
    <t>品牌</t>
  </si>
  <si>
    <t>纯度</t>
  </si>
  <si>
    <t>规格g/ml</t>
  </si>
  <si>
    <t>库存</t>
  </si>
  <si>
    <t>备注</t>
  </si>
  <si>
    <t>储存位置</t>
  </si>
  <si>
    <t>7664-93-9</t>
  </si>
  <si>
    <t>Sulfuric acid</t>
  </si>
  <si>
    <t>硫酸</t>
  </si>
  <si>
    <t>H2SO4</t>
  </si>
  <si>
    <t>无机物，酸</t>
  </si>
  <si>
    <t>05,</t>
  </si>
  <si>
    <t>易制毒-3、强腐蚀</t>
  </si>
  <si>
    <t>AR 98%</t>
  </si>
  <si>
    <t>AR 37%</t>
  </si>
  <si>
    <t>7647-01-0</t>
  </si>
  <si>
    <t>Hydrochloric acid</t>
  </si>
  <si>
    <t>盐酸</t>
  </si>
  <si>
    <t>HCl</t>
  </si>
  <si>
    <t>05,07</t>
  </si>
  <si>
    <t>广州试剂</t>
  </si>
  <si>
    <t>10035-10-6</t>
  </si>
  <si>
    <t>Hydrobromic acid</t>
  </si>
  <si>
    <t>氢溴酸</t>
  </si>
  <si>
    <t>HBr</t>
  </si>
  <si>
    <t>强腐蚀</t>
  </si>
  <si>
    <t>AR 40%</t>
  </si>
  <si>
    <t>7697-37-2</t>
  </si>
  <si>
    <t>Nitric acid</t>
  </si>
  <si>
    <t>硝酸</t>
  </si>
  <si>
    <t>HNO3</t>
  </si>
  <si>
    <t>03,05</t>
  </si>
  <si>
    <t>易制爆1.1、强腐蚀</t>
  </si>
  <si>
    <t>AR 68%</t>
  </si>
  <si>
    <t>7664-38-2</t>
  </si>
  <si>
    <t>Phosphoric acid</t>
  </si>
  <si>
    <t>磷酸</t>
  </si>
  <si>
    <t>H3PO4</t>
  </si>
  <si>
    <t>西陇科学</t>
  </si>
  <si>
    <t>AR 85%</t>
  </si>
  <si>
    <t>10043-35-3</t>
  </si>
  <si>
    <t>Orthoboric acid</t>
  </si>
  <si>
    <t>硼酸</t>
  </si>
  <si>
    <t>H3BO3</t>
  </si>
  <si>
    <t>08,</t>
  </si>
  <si>
    <t>AR 99.5%</t>
  </si>
  <si>
    <t>5949-29-1</t>
  </si>
  <si>
    <t>Citric acid</t>
  </si>
  <si>
    <t>一水合柠檬酸</t>
  </si>
  <si>
    <t>C6H8O7•H2O</t>
  </si>
  <si>
    <t>07,</t>
  </si>
  <si>
    <t>西陇化工</t>
  </si>
  <si>
    <t>6153-56-6</t>
  </si>
  <si>
    <t>Oxalic acid dihydrate</t>
  </si>
  <si>
    <t>二水合草酸；乙二酸</t>
  </si>
  <si>
    <t>H2C2O4</t>
  </si>
  <si>
    <t>64-19-7</t>
  </si>
  <si>
    <t>Acetic acid</t>
  </si>
  <si>
    <t>冰乙酸；冰醋酸</t>
  </si>
  <si>
    <t>CH3COOH</t>
  </si>
  <si>
    <t>02,05</t>
  </si>
  <si>
    <t>夏季禁限运[包装＞500g/mL]</t>
  </si>
  <si>
    <t>56-40-6</t>
  </si>
  <si>
    <t>Glycine</t>
  </si>
  <si>
    <t>氨基乙酸；甘氨酸</t>
  </si>
  <si>
    <t>H2NCH2COOH</t>
  </si>
  <si>
    <t>/</t>
  </si>
  <si>
    <t>BR 99%</t>
  </si>
  <si>
    <t>杭州茉钡特</t>
  </si>
  <si>
    <t>50-81-7</t>
  </si>
  <si>
    <t>L(+)-Ascorbic acid</t>
  </si>
  <si>
    <t>L（+）-抗坏血酸；维生素C</t>
  </si>
  <si>
    <t>C6H8O6</t>
  </si>
  <si>
    <t>AR 99.7%</t>
  </si>
  <si>
    <t>天津汴泰</t>
  </si>
  <si>
    <t>60-00-4</t>
  </si>
  <si>
    <t>Ethylenediaminetetraacetic acid</t>
  </si>
  <si>
    <t>乙二胺四乙酸</t>
  </si>
  <si>
    <t>C10H16N2O8</t>
  </si>
  <si>
    <t>65-85-0</t>
  </si>
  <si>
    <t>Benzoic acid</t>
  </si>
  <si>
    <t>苯甲酸；安息香酸</t>
  </si>
  <si>
    <t>C7H6O2</t>
  </si>
  <si>
    <t>有机物，酸，芳香衍生物</t>
  </si>
  <si>
    <t>05,08</t>
  </si>
  <si>
    <t>90-64-2</t>
  </si>
  <si>
    <t>DL-Mandelic acid</t>
  </si>
  <si>
    <t>DL-苦杏仁酸；扁桃酸</t>
  </si>
  <si>
    <t>C8H8O3</t>
  </si>
  <si>
    <t>有机物，酸，芳香化合物，羟基</t>
  </si>
  <si>
    <t>上海展云</t>
  </si>
  <si>
    <t>AR 99%</t>
  </si>
  <si>
    <t>69-72-7</t>
  </si>
  <si>
    <t>Salicylic acid</t>
  </si>
  <si>
    <t>水杨酸；邻羟基苯甲酸</t>
  </si>
  <si>
    <t>C7H6O3</t>
  </si>
  <si>
    <t>有机物，酸，芳香化合物，酚基</t>
  </si>
  <si>
    <t>倒子赠送</t>
  </si>
  <si>
    <t>103-82-2</t>
  </si>
  <si>
    <t>Phenylacetic acid</t>
  </si>
  <si>
    <t>苯乙酸</t>
  </si>
  <si>
    <t>C8H8O2</t>
  </si>
  <si>
    <t>有机物，酸，芳香化合物</t>
  </si>
  <si>
    <t>易制毒-2</t>
  </si>
  <si>
    <t>1310-73-2</t>
  </si>
  <si>
    <t>Sodium hydroxide</t>
  </si>
  <si>
    <t>氢氧化钠</t>
  </si>
  <si>
    <t>NaOH</t>
  </si>
  <si>
    <t>无机物，碱</t>
  </si>
  <si>
    <t>AR 96%</t>
  </si>
  <si>
    <t>1310-58-3</t>
  </si>
  <si>
    <t>Potassium hydroxide</t>
  </si>
  <si>
    <t>氢氧化钾</t>
  </si>
  <si>
    <t>KOH</t>
  </si>
  <si>
    <t>35103-79-8</t>
  </si>
  <si>
    <t>Cesium hydroxide</t>
  </si>
  <si>
    <t>一水合氢氧化铯</t>
  </si>
  <si>
    <t>CsOH•H2O</t>
  </si>
  <si>
    <t>05,07,08</t>
  </si>
  <si>
    <t>麦克林</t>
  </si>
  <si>
    <t>AR 95%</t>
  </si>
  <si>
    <t>海盐赠送</t>
  </si>
  <si>
    <t>1305-62-0</t>
  </si>
  <si>
    <t>Calcium hydroxide</t>
  </si>
  <si>
    <t>氢氧化钙</t>
  </si>
  <si>
    <t>Ca(OH)2</t>
  </si>
  <si>
    <t>12230-71-6</t>
  </si>
  <si>
    <t>Barium hydroxide octahydrate</t>
  </si>
  <si>
    <t>八水合氢氧化钡</t>
  </si>
  <si>
    <t>Ba(OH)2•8H2O</t>
  </si>
  <si>
    <t>天津恒兴</t>
  </si>
  <si>
    <t>10217-52-4</t>
  </si>
  <si>
    <t>Hydrazinium hydroxide solution</t>
  </si>
  <si>
    <t>水合肼；水合联氨</t>
  </si>
  <si>
    <t>H2H4•H2O</t>
  </si>
  <si>
    <t>35.02(无水)</t>
  </si>
  <si>
    <t>无机物，肼</t>
  </si>
  <si>
    <t>05,06,08,09</t>
  </si>
  <si>
    <t>易制爆9.6</t>
  </si>
  <si>
    <t>天津大茂</t>
  </si>
  <si>
    <t>AR 80%</t>
  </si>
  <si>
    <t>1336-21-6</t>
  </si>
  <si>
    <t>Ammonium hydroxide</t>
  </si>
  <si>
    <t>氨水</t>
  </si>
  <si>
    <t>NH4OH</t>
  </si>
  <si>
    <t>05,07,09</t>
  </si>
  <si>
    <t>7681-49-4</t>
  </si>
  <si>
    <t>Sodium fluoride</t>
  </si>
  <si>
    <t>氟化钠</t>
  </si>
  <si>
    <t>NaF</t>
  </si>
  <si>
    <t>无机物，氟化物，钠盐</t>
  </si>
  <si>
    <t>06,</t>
  </si>
  <si>
    <t>13455-21-5</t>
  </si>
  <si>
    <t>Potassium fluoride dihydrate</t>
  </si>
  <si>
    <t>二水合氟化钾</t>
  </si>
  <si>
    <t>KF•2H2O</t>
  </si>
  <si>
    <t>无机物，氟化物，钾盐</t>
  </si>
  <si>
    <t>AR</t>
  </si>
  <si>
    <t>12125-01-8</t>
  </si>
  <si>
    <t>Ammonium fluoride</t>
  </si>
  <si>
    <t>氟化铵</t>
  </si>
  <si>
    <t>NH4F</t>
  </si>
  <si>
    <t>无机物，氟化物，铵盐</t>
  </si>
  <si>
    <t>05,06</t>
  </si>
  <si>
    <t>16712-20-2</t>
  </si>
  <si>
    <t>Lithium chloride</t>
  </si>
  <si>
    <t>无水氯化锂</t>
  </si>
  <si>
    <t>LiCl</t>
  </si>
  <si>
    <t>无机物，氯化物，锂盐</t>
  </si>
  <si>
    <t>7647-14-5</t>
  </si>
  <si>
    <t>Sodium chloride</t>
  </si>
  <si>
    <t>氯化钠</t>
  </si>
  <si>
    <t>NaCl</t>
  </si>
  <si>
    <t>无机物，氯化物，钠盐</t>
  </si>
  <si>
    <t>7447-40-7</t>
  </si>
  <si>
    <t>Potassium chloride</t>
  </si>
  <si>
    <t>氯化钾</t>
  </si>
  <si>
    <t>KCl</t>
  </si>
  <si>
    <t>无机物，氯化物，钾盐</t>
  </si>
  <si>
    <t>10043-52-4</t>
  </si>
  <si>
    <t>Calcium chloride</t>
  </si>
  <si>
    <t>无水氯化钙</t>
  </si>
  <si>
    <t>CaCl2</t>
  </si>
  <si>
    <t>无机物，氯化物，钙盐</t>
  </si>
  <si>
    <t>10035-04-8</t>
  </si>
  <si>
    <t>Calcium chloride dihydrate</t>
  </si>
  <si>
    <t>二水合氯化钙</t>
  </si>
  <si>
    <t>CaCl2•2H2O</t>
  </si>
  <si>
    <t>Titanium trichloride solution</t>
  </si>
  <si>
    <t>三氯化钛溶液</t>
  </si>
  <si>
    <t>TiCl3</t>
  </si>
  <si>
    <t>无机物，氯化物，钛盐</t>
  </si>
  <si>
    <t>7791-13-1</t>
  </si>
  <si>
    <t>Cobalt chloride hexahydrate</t>
  </si>
  <si>
    <t>六水合氯化钴</t>
  </si>
  <si>
    <t>CoCl2•6H2O</t>
  </si>
  <si>
    <t>无机物，氯化物，钴盐</t>
  </si>
  <si>
    <t>05,07,08,09</t>
  </si>
  <si>
    <t>10025-77-1</t>
  </si>
  <si>
    <t>Iron chloride hexahydrate</t>
  </si>
  <si>
    <t>六水合三氯化铁</t>
  </si>
  <si>
    <t>FeCl3•6H2O</t>
  </si>
  <si>
    <t>无机物，氯化物，铁盐</t>
  </si>
  <si>
    <t>10125-13-0</t>
  </si>
  <si>
    <t>Copper(II) chloride dihydrate</t>
  </si>
  <si>
    <t>二水合氯化铜（II）</t>
  </si>
  <si>
    <t>CuCl2•2H2O</t>
  </si>
  <si>
    <t>无机物，氯化物，铜盐</t>
  </si>
  <si>
    <t>10326-27-9</t>
  </si>
  <si>
    <t>Barium chloride dihydrate</t>
  </si>
  <si>
    <t>二水合氯化钡</t>
  </si>
  <si>
    <t>BaCl2•2H2O</t>
  </si>
  <si>
    <t>无机物，氯化物，钡盐</t>
  </si>
  <si>
    <t>7646-85-7</t>
  </si>
  <si>
    <t>Zinc chloride</t>
  </si>
  <si>
    <t>无水氯化锌</t>
  </si>
  <si>
    <t>ZnCl2</t>
  </si>
  <si>
    <t>无机物，氯化物，锌盐</t>
  </si>
  <si>
    <t>7446-70-0</t>
  </si>
  <si>
    <t>Aluminum chloride</t>
  </si>
  <si>
    <t>无水三氯化铝</t>
  </si>
  <si>
    <t>AlCl3</t>
  </si>
  <si>
    <t>无机物，氯化物，铝盐</t>
  </si>
  <si>
    <t>02,05,09</t>
  </si>
  <si>
    <t>罗恩试剂</t>
  </si>
  <si>
    <t>10025-70-4</t>
  </si>
  <si>
    <t>Strontium chloride hexahydrate</t>
  </si>
  <si>
    <t>六水合氯化锶</t>
  </si>
  <si>
    <t>SrCl2•6H2O</t>
  </si>
  <si>
    <t>无机物，氯化物，锶盐</t>
  </si>
  <si>
    <t>天津博迪</t>
  </si>
  <si>
    <t>12125-02-9</t>
  </si>
  <si>
    <t>Ammonium chloride</t>
  </si>
  <si>
    <t>氯化铵</t>
  </si>
  <si>
    <t>NH4Cl</t>
  </si>
  <si>
    <t>无机物，氯化物，铵盐</t>
  </si>
  <si>
    <t>07,09</t>
  </si>
  <si>
    <t>10060-12-5</t>
  </si>
  <si>
    <t>Chromic chloride hexahydrate</t>
  </si>
  <si>
    <t>六水合三氯化铬</t>
  </si>
  <si>
    <t>CrCl3•6H2O</t>
  </si>
  <si>
    <t>无机物，氯化物，铬盐</t>
  </si>
  <si>
    <t>7647-17-8</t>
  </si>
  <si>
    <t>Cesium chloride</t>
  </si>
  <si>
    <t>氯化铯</t>
  </si>
  <si>
    <t>CsCl</t>
  </si>
  <si>
    <t>无机物，氯化物，铯盐</t>
  </si>
  <si>
    <t>07,08</t>
  </si>
  <si>
    <t>99.9%.</t>
  </si>
  <si>
    <t>ICl赠送</t>
  </si>
  <si>
    <t>13465-55-9</t>
  </si>
  <si>
    <t>Samarium(III)chloridehexahydrate</t>
  </si>
  <si>
    <t>六水合氯化钐（III）</t>
  </si>
  <si>
    <t>SmCl3•6H2O</t>
  </si>
  <si>
    <t>无机物，氯化物，钐盐</t>
  </si>
  <si>
    <t>7775-09-9.</t>
  </si>
  <si>
    <t>Sodium chlorate</t>
  </si>
  <si>
    <t>氯酸钠</t>
  </si>
  <si>
    <t>NaClO3</t>
  </si>
  <si>
    <t>无机物，氯酸盐，钠盐</t>
  </si>
  <si>
    <t>03,07</t>
  </si>
  <si>
    <t>易制爆3.1、夏季禁限运[包装＞500g/mL]</t>
  </si>
  <si>
    <t>AG</t>
  </si>
  <si>
    <t>乙锡赠送</t>
  </si>
  <si>
    <t>3811-04-9.</t>
  </si>
  <si>
    <t>Potassium chlorate</t>
  </si>
  <si>
    <t>氯酸钾</t>
  </si>
  <si>
    <t>KClO3</t>
  </si>
  <si>
    <t>无机物，氯酸盐，钾盐</t>
  </si>
  <si>
    <t>03,07,09</t>
  </si>
  <si>
    <t>易制爆3.2、夏季禁限运[包装＞500g/mL]</t>
  </si>
  <si>
    <t>7778-74-7</t>
  </si>
  <si>
    <t>Potassium perchlorate</t>
  </si>
  <si>
    <t>高氯酸钾</t>
  </si>
  <si>
    <t>KClO4</t>
  </si>
  <si>
    <t>无机物，高氯酸盐，钾盐</t>
  </si>
  <si>
    <t>易制爆4.3、夏季禁限运[包装＞500g/mL]</t>
  </si>
  <si>
    <t>IG 99%</t>
  </si>
  <si>
    <t>星星赠送</t>
  </si>
  <si>
    <t>13454-84-7</t>
  </si>
  <si>
    <t>Cesium perchlorate</t>
  </si>
  <si>
    <t>高氯酸铯</t>
  </si>
  <si>
    <t>CsClO4</t>
  </si>
  <si>
    <t>无机物，高氯酸盐，铯盐</t>
  </si>
  <si>
    <t>03,</t>
  </si>
  <si>
    <t>铜试剂赠送</t>
  </si>
  <si>
    <t>7747-15-6</t>
  </si>
  <si>
    <t>Sodium bromide</t>
  </si>
  <si>
    <t>溴化钠</t>
  </si>
  <si>
    <t>NaBr</t>
  </si>
  <si>
    <t>无机物，溴化物，钠盐</t>
  </si>
  <si>
    <t>7758-01-2.</t>
  </si>
  <si>
    <t>Potassium bromate</t>
  </si>
  <si>
    <t>溴酸钾</t>
  </si>
  <si>
    <t>KBrO3</t>
  </si>
  <si>
    <t>167.00.</t>
  </si>
  <si>
    <t>无机物，溴酸盐，钾盐</t>
  </si>
  <si>
    <t>03,06,08</t>
  </si>
  <si>
    <t>7681-11-0</t>
  </si>
  <si>
    <t>Potassium iodide</t>
  </si>
  <si>
    <t>碘化钾</t>
  </si>
  <si>
    <t>KI</t>
  </si>
  <si>
    <t>无机物，碘化物，钾盐</t>
  </si>
  <si>
    <t>河北弘状元</t>
  </si>
  <si>
    <t>上海化学试剂分装厂</t>
  </si>
  <si>
    <t>7774-29-0</t>
  </si>
  <si>
    <t>Mercuric iodide red</t>
  </si>
  <si>
    <t>红色碘化汞，碘化汞（II）</t>
  </si>
  <si>
    <t>HgI2</t>
  </si>
  <si>
    <t>无机物，碘化物，汞盐</t>
  </si>
  <si>
    <t>06,08,09</t>
  </si>
  <si>
    <t>7758-05-6.</t>
  </si>
  <si>
    <t>Potassium iodate</t>
  </si>
  <si>
    <t>碘酸钾</t>
  </si>
  <si>
    <t>KIO3</t>
  </si>
  <si>
    <t>无机物，碘酸盐，钾盐</t>
  </si>
  <si>
    <t>7790-21-8</t>
  </si>
  <si>
    <t>Potassium periodate</t>
  </si>
  <si>
    <t>高碘酸钾</t>
  </si>
  <si>
    <t>KIO4</t>
  </si>
  <si>
    <t>无机物，高碘酸盐，钾盐</t>
  </si>
  <si>
    <t>77829-31-3</t>
  </si>
  <si>
    <t>Potassium iron periodate</t>
  </si>
  <si>
    <t>高碘酸铁钾</t>
  </si>
  <si>
    <t>K2(FeIO6)</t>
  </si>
  <si>
    <t>无机物，高碘酸盐，铁盐，钾盐</t>
  </si>
  <si>
    <t>7681-52-9</t>
  </si>
  <si>
    <t>Sodium hypochlorite</t>
  </si>
  <si>
    <t>次氯酸钠溶液；安替福民</t>
  </si>
  <si>
    <t>NaClO</t>
  </si>
  <si>
    <t>无机物，次氯酸盐，钠盐</t>
  </si>
  <si>
    <t>03,05,09</t>
  </si>
  <si>
    <t>CP</t>
  </si>
  <si>
    <t>13520-92-8</t>
  </si>
  <si>
    <t>Zirconyl chloride octahydrate</t>
  </si>
  <si>
    <t>八水合氯氧化锆</t>
  </si>
  <si>
    <t>ZrOCl•8H2O</t>
  </si>
  <si>
    <t>无机物，次氯酸盐，锆盐</t>
  </si>
  <si>
    <t>国药沪试</t>
  </si>
  <si>
    <t>老街兔赠送</t>
  </si>
  <si>
    <t>13746-66-2</t>
  </si>
  <si>
    <t>potassium ferricyanide</t>
  </si>
  <si>
    <t>铁氰化钾；赤血盐</t>
  </si>
  <si>
    <t>K3[Fe(CN)6]</t>
  </si>
  <si>
    <t>无机物，铁氰化物，钾盐</t>
  </si>
  <si>
    <t>14459-95-1</t>
  </si>
  <si>
    <t>Tetrapotassium hexacyanoferrate trihydrate</t>
  </si>
  <si>
    <t>三水合亚铁氰化钾</t>
  </si>
  <si>
    <t>K4[Fe(CN)6]•3H2O</t>
  </si>
  <si>
    <t>无机物，亚铁氰化物，钾盐</t>
  </si>
  <si>
    <t>7783-20-2</t>
  </si>
  <si>
    <t>Ammonium sulfate</t>
  </si>
  <si>
    <t>硫酸铵</t>
  </si>
  <si>
    <t>(NH4)2SO4</t>
  </si>
  <si>
    <t>无机物，硫酸盐，铵盐</t>
  </si>
  <si>
    <t>7757-82-6</t>
  </si>
  <si>
    <t>Sodium sulfate anhydrous</t>
  </si>
  <si>
    <t>无水硫酸钠；元明粉</t>
  </si>
  <si>
    <t>Na2SO4</t>
  </si>
  <si>
    <t>无机物，硫酸盐，钠盐</t>
  </si>
  <si>
    <t>Sodium sulphate hydrate</t>
  </si>
  <si>
    <t>九水合硫酸钠</t>
  </si>
  <si>
    <t>Na2SO4•9H2O</t>
  </si>
  <si>
    <t>国药沃凱</t>
  </si>
  <si>
    <t>SP</t>
  </si>
  <si>
    <t>7758-99-8</t>
  </si>
  <si>
    <t>Copper(II) sulfate pentahydrate</t>
  </si>
  <si>
    <t>五水合硫酸铜（II）</t>
  </si>
  <si>
    <t>CuSO4•5H2O</t>
  </si>
  <si>
    <t>无机物，硫酸盐，铜盐</t>
  </si>
  <si>
    <t>7782-63-0</t>
  </si>
  <si>
    <t>Ferrous sulfate heptahydrate</t>
  </si>
  <si>
    <t>七水合硫酸亚铁</t>
  </si>
  <si>
    <t>FeSO4•7H2O</t>
  </si>
  <si>
    <t>无机物，硫酸盐，亚铁盐</t>
  </si>
  <si>
    <t>7783-85-9</t>
  </si>
  <si>
    <t>Ammonium iron(Ⅱ) sulfate hexahydrate</t>
  </si>
  <si>
    <t>六水合硫酸铁（II）铵；硫酸亚铁铵</t>
  </si>
  <si>
    <t>(NH4)2Fe(SO4)2•6H2O</t>
  </si>
  <si>
    <t>无机物，硫酸盐，亚铁盐，铵盐</t>
  </si>
  <si>
    <t>10138-04-2</t>
  </si>
  <si>
    <t>Ammonium iron(III) sulfate</t>
  </si>
  <si>
    <t>十二水合硫酸铁（III）铵；硫酸铁铵</t>
  </si>
  <si>
    <t>NH4Fe(SO4)2•12H2O</t>
  </si>
  <si>
    <t>无机物，硫酸盐，铁盐，铵盐</t>
  </si>
  <si>
    <t>AR 99.0%</t>
  </si>
  <si>
    <t>7746-20-0</t>
  </si>
  <si>
    <t>Zinc sulfate heptahydrate</t>
  </si>
  <si>
    <t>七水合硫酸锌</t>
  </si>
  <si>
    <t>ZnSO4•7H2O</t>
  </si>
  <si>
    <t>无机物，硫酸盐，锌盐</t>
  </si>
  <si>
    <t>10034-93-2</t>
  </si>
  <si>
    <t>Hydrazine sulfate</t>
  </si>
  <si>
    <t>硫酸联氨，硫酸肼</t>
  </si>
  <si>
    <t>N2H4•H2SO4</t>
  </si>
  <si>
    <t>无机物，硫酸盐，肼盐</t>
  </si>
  <si>
    <t>10034-96-5</t>
  </si>
  <si>
    <t>Manganese sulfate monohydrate</t>
  </si>
  <si>
    <t>一水合硫酸锰</t>
  </si>
  <si>
    <t>MnSO4•H2O</t>
  </si>
  <si>
    <t>无机物，硫酸盐，锰盐</t>
  </si>
  <si>
    <t>08,09</t>
  </si>
  <si>
    <t>10101-97-0</t>
  </si>
  <si>
    <t>Nickel sulfate hexahydrate</t>
  </si>
  <si>
    <t>六水合硫酸镍</t>
  </si>
  <si>
    <t>NiSO4•6H2O</t>
  </si>
  <si>
    <t>无机物，硫酸盐，镍盐</t>
  </si>
  <si>
    <t>07,08,09</t>
  </si>
  <si>
    <t>7790-84-3</t>
  </si>
  <si>
    <t>Cadmium sulfate octahydrate</t>
  </si>
  <si>
    <t>三分之八水合硫酸镉</t>
  </si>
  <si>
    <t>CdSO4•3/8H2O</t>
  </si>
  <si>
    <t>无机物，硫酸盐，镉盐</t>
  </si>
  <si>
    <t>13477-91-3</t>
  </si>
  <si>
    <t>Neodymium(III) sulfate hydrate</t>
  </si>
  <si>
    <t>八水合硫酸钕（III）</t>
  </si>
  <si>
    <t>Nd2(SO4)3•8H2O</t>
  </si>
  <si>
    <t>无机物，硫酸盐，钕盐</t>
  </si>
  <si>
    <t>15123-65-6</t>
  </si>
  <si>
    <t>Samarium(III)sulfate</t>
  </si>
  <si>
    <t>硫酸钐</t>
  </si>
  <si>
    <t>Sm2(SO4)3</t>
  </si>
  <si>
    <t>无机物，硫酸盐，钐盐</t>
  </si>
  <si>
    <t>7727-21-1</t>
  </si>
  <si>
    <t>Potassium persulfate</t>
  </si>
  <si>
    <t>过硫酸钾；过二硫酸钾</t>
  </si>
  <si>
    <t>K2S2O8</t>
  </si>
  <si>
    <t>无机物，过硫酸盐，钾盐</t>
  </si>
  <si>
    <t>03,07,08</t>
  </si>
  <si>
    <t>7727-54-0</t>
  </si>
  <si>
    <t>Ammonium persulfate</t>
  </si>
  <si>
    <t>过硫酸铵</t>
  </si>
  <si>
    <t>(NH4)2S2O8</t>
  </si>
  <si>
    <t>无机物，过硫酸盐，铵盐</t>
  </si>
  <si>
    <t>7788-99-0</t>
  </si>
  <si>
    <t>Chromium potassium sulfate dodecahydrate</t>
  </si>
  <si>
    <t>十二水合硫酸铬钾；铬明矾</t>
  </si>
  <si>
    <t>KCr(SO4)2•12H2O</t>
  </si>
  <si>
    <t>无机物，硫酸盐，铬盐，钾盐</t>
  </si>
  <si>
    <t>上海化学试剂一厂</t>
  </si>
  <si>
    <t>7775-14-6</t>
  </si>
  <si>
    <t>Disodium hydrosulfite</t>
  </si>
  <si>
    <t>连二亚硫酸钠；保险粉</t>
  </si>
  <si>
    <t>Na2S2O4</t>
  </si>
  <si>
    <t>无机物，连二亚硫酸盐，钠盐</t>
  </si>
  <si>
    <t>02,07</t>
  </si>
  <si>
    <t>10102-17-7</t>
  </si>
  <si>
    <t>Sodium thiosulfate pentahydrate</t>
  </si>
  <si>
    <t>五水合硫代硫酸钠；大苏打</t>
  </si>
  <si>
    <t>Na2S2O3•5H2O</t>
  </si>
  <si>
    <t>无机物，硫代硫酸盐，钠盐</t>
  </si>
  <si>
    <t>7757-83-7</t>
  </si>
  <si>
    <t>Sodium sulfite</t>
  </si>
  <si>
    <t>无水亚硫酸钠</t>
  </si>
  <si>
    <t>Na2SO3</t>
  </si>
  <si>
    <t>无机物，亚硫酸盐，钠盐</t>
  </si>
  <si>
    <t>1752-95-4</t>
  </si>
  <si>
    <t>Ammonium thiocyanate</t>
  </si>
  <si>
    <t>硫氰酸铵</t>
  </si>
  <si>
    <t>NH4SCN</t>
  </si>
  <si>
    <t>无机物，硫氰酸盐，铵盐</t>
  </si>
  <si>
    <t>7778-77-0</t>
  </si>
  <si>
    <t>Potassium Phosphate Monobasic</t>
  </si>
  <si>
    <t>磷酸二氢钾</t>
  </si>
  <si>
    <t>KH2PO4</t>
  </si>
  <si>
    <t>无机物，磷酸二氢盐，钠盐</t>
  </si>
  <si>
    <t>7631-99-4</t>
  </si>
  <si>
    <t>Sodium nitrate</t>
  </si>
  <si>
    <t>硝酸钠</t>
  </si>
  <si>
    <t>NaNO3</t>
  </si>
  <si>
    <t>无机物，硝酸盐，钠盐</t>
  </si>
  <si>
    <t>易制爆2.1</t>
  </si>
  <si>
    <t>7757-79-1</t>
  </si>
  <si>
    <t>Potassium nitrate</t>
  </si>
  <si>
    <t>硝酸钾</t>
  </si>
  <si>
    <t>KNO3</t>
  </si>
  <si>
    <t>无机物，硝酸盐，钾盐</t>
  </si>
  <si>
    <t>03,08</t>
  </si>
  <si>
    <t>易制爆2.2</t>
  </si>
  <si>
    <t>7789-18-6</t>
  </si>
  <si>
    <t>Cesium nitrate</t>
  </si>
  <si>
    <t>硝酸铯</t>
  </si>
  <si>
    <t>CsNO3</t>
  </si>
  <si>
    <t>无机物，硝酸盐，铯盐</t>
  </si>
  <si>
    <t>易制爆2.3</t>
  </si>
  <si>
    <t>13446-18-9</t>
  </si>
  <si>
    <t>Magnesium nitrate hexahydrate</t>
  </si>
  <si>
    <t>六水合硝酸镁</t>
  </si>
  <si>
    <t>Mg(NO3)2•6H2O</t>
  </si>
  <si>
    <t>无机物，硝酸盐，镁盐</t>
  </si>
  <si>
    <t>易制爆2.4</t>
  </si>
  <si>
    <t>13477-34-4</t>
  </si>
  <si>
    <t>Calcium nitrate tetrahydrate</t>
  </si>
  <si>
    <t>四水合硝酸钙</t>
  </si>
  <si>
    <t>Ca(NO3)2•4H2O</t>
  </si>
  <si>
    <t>无机物，硝酸盐，钙盐</t>
  </si>
  <si>
    <t>03,05,07,08</t>
  </si>
  <si>
    <t>易制爆2.5</t>
  </si>
  <si>
    <t>10042-76-9</t>
  </si>
  <si>
    <t>Strontium nitrate</t>
  </si>
  <si>
    <t>硝酸锶</t>
  </si>
  <si>
    <t>Sr(NO3)2</t>
  </si>
  <si>
    <t>无机物，硝酸盐，锶盐</t>
  </si>
  <si>
    <t>10022-31-8</t>
  </si>
  <si>
    <t>Barium nitrate</t>
  </si>
  <si>
    <t>硝酸钡</t>
  </si>
  <si>
    <t>Ba(NO3)2</t>
  </si>
  <si>
    <t>无机物，硝酸盐，钡盐</t>
  </si>
  <si>
    <t>03,06,07</t>
  </si>
  <si>
    <t>易制爆2.7</t>
  </si>
  <si>
    <t>7789-02-8.</t>
  </si>
  <si>
    <t>Chromium(III) nitrate nonahydrate</t>
  </si>
  <si>
    <t>九水合硝酸铬（III）</t>
  </si>
  <si>
    <t>Cr(NO3)2•9H2O</t>
  </si>
  <si>
    <t>无机物，硝酸盐，铬盐</t>
  </si>
  <si>
    <t>10099-59-9</t>
  </si>
  <si>
    <t>Lanthanum(III) nitrate hexahydrate</t>
  </si>
  <si>
    <t>六水合硝酸镧（III）</t>
  </si>
  <si>
    <t>La(NO3)3•6H2O</t>
  </si>
  <si>
    <t>无机物，硝酸盐，镧盐</t>
  </si>
  <si>
    <t>10294-41-4</t>
  </si>
  <si>
    <t>Cerium(III) nitrate hexahydrate</t>
  </si>
  <si>
    <t>六水合硝酸铈（III）</t>
  </si>
  <si>
    <t>Ce(NO3)3•6H2O</t>
  </si>
  <si>
    <t>无机物，硝酸盐，铈盐</t>
  </si>
  <si>
    <t>7782-61-8</t>
  </si>
  <si>
    <t>Ferric nitrate nonahydrate</t>
  </si>
  <si>
    <t>九水合硝酸铁</t>
  </si>
  <si>
    <t>Fe2(NO3)3•9H2O</t>
  </si>
  <si>
    <t>无机物，硝酸盐，铁盐</t>
  </si>
  <si>
    <t>13478-00-7</t>
  </si>
  <si>
    <t>Nickel(II) nitrate hexahydrate</t>
  </si>
  <si>
    <t>六水合硝酸镍（II）</t>
  </si>
  <si>
    <t>Ni(NO3)2•6H2O</t>
  </si>
  <si>
    <t>无机物，硝酸盐，镍盐</t>
  </si>
  <si>
    <t>03,05,07,08,09</t>
  </si>
  <si>
    <t>易制爆2.8</t>
  </si>
  <si>
    <t>10031-43-3</t>
  </si>
  <si>
    <t>Cupric nitrate trihydrate</t>
  </si>
  <si>
    <t>三水合硝酸铜</t>
  </si>
  <si>
    <t>Cu(NO3)2•3H2O</t>
  </si>
  <si>
    <t>无机物，硝酸盐，铜盐</t>
  </si>
  <si>
    <t>03,05,07,09</t>
  </si>
  <si>
    <t>7761-88-8</t>
  </si>
  <si>
    <t>Silver nitrate</t>
  </si>
  <si>
    <t>硝酸银</t>
  </si>
  <si>
    <t>AgNO3</t>
  </si>
  <si>
    <t>无机物，硝酸盐，银盐</t>
  </si>
  <si>
    <t>易制爆2.9</t>
  </si>
  <si>
    <t>10196-18-6</t>
  </si>
  <si>
    <t>Zinc nitrate hexahydrate</t>
  </si>
  <si>
    <t>六水合硝酸锌</t>
  </si>
  <si>
    <t>Zn(NO3)2•6H2O</t>
  </si>
  <si>
    <t>无机物，硝酸盐，锌盐</t>
  </si>
  <si>
    <t>易制爆2.10</t>
  </si>
  <si>
    <t>7783-34-8</t>
  </si>
  <si>
    <t>Mercury nitrate</t>
  </si>
  <si>
    <t>一水合硝酸汞</t>
  </si>
  <si>
    <t>Hg(NO3)2•H2O</t>
  </si>
  <si>
    <t>无机物，硝酸盐，汞盐</t>
  </si>
  <si>
    <t>03,06,08,09</t>
  </si>
  <si>
    <t>工业区禁止</t>
  </si>
  <si>
    <t>上海</t>
  </si>
  <si>
    <t>AR 97%</t>
  </si>
  <si>
    <t>7784-27-2</t>
  </si>
  <si>
    <t>Aluminum nitrate</t>
  </si>
  <si>
    <t>九水合硝酸铝</t>
  </si>
  <si>
    <t>Al2(NO3)3•9H2O</t>
  </si>
  <si>
    <t>无机物，硝酸盐，铝盐</t>
  </si>
  <si>
    <t>10022-68-1</t>
  </si>
  <si>
    <t>Cadmium nitrate tetrahydrate</t>
  </si>
  <si>
    <t>四水合硝酸镉</t>
  </si>
  <si>
    <t>Cd(NO3)2•4H2O</t>
  </si>
  <si>
    <t>无机物，硝酸盐，镉盐</t>
  </si>
  <si>
    <t>10099-74-8</t>
  </si>
  <si>
    <t>Lead(II) nitrate</t>
  </si>
  <si>
    <t>硝酸铅（II）</t>
  </si>
  <si>
    <t>Pb(NO3)2</t>
  </si>
  <si>
    <t>无机物，硝酸盐，铅盐</t>
  </si>
  <si>
    <t>易制爆2.11</t>
  </si>
  <si>
    <t>10361-44-1</t>
  </si>
  <si>
    <t>Bismuth nitrate pentahydrate</t>
  </si>
  <si>
    <t>五水合硝酸铋</t>
  </si>
  <si>
    <t>Bi(NO3)3•5H2O</t>
  </si>
  <si>
    <t>无机物，硝酸盐，铋盐</t>
  </si>
  <si>
    <t>13823-29-5</t>
  </si>
  <si>
    <t>Thorium nitrate hydrate</t>
  </si>
  <si>
    <t>四水合硝酸钍</t>
  </si>
  <si>
    <t>Th(NO)4•4H2O</t>
  </si>
  <si>
    <t>无机物，硝酸盐，钍盐，放射物</t>
  </si>
  <si>
    <t>放射性</t>
  </si>
  <si>
    <t>13759-83-6</t>
  </si>
  <si>
    <t>Samarium(III) nitrate hexahydrate</t>
  </si>
  <si>
    <t>六水合硝酸钐（III）</t>
  </si>
  <si>
    <t>Sm(NO3)3•6H2O</t>
  </si>
  <si>
    <t>无机物，硝酸盐，钐盐</t>
  </si>
  <si>
    <t>124-47-0</t>
  </si>
  <si>
    <t>Urea nitrate</t>
  </si>
  <si>
    <t>硝酸脲</t>
  </si>
  <si>
    <t>CH5N3O4</t>
  </si>
  <si>
    <t>有机物，硝酸盐，脲盐</t>
  </si>
  <si>
    <t>506-93-4</t>
  </si>
  <si>
    <t>Guanidine nitrate</t>
  </si>
  <si>
    <t>硝酸胍</t>
  </si>
  <si>
    <t>CH6N4O3</t>
  </si>
  <si>
    <t>有机物，硝酸盐，胍盐</t>
  </si>
  <si>
    <t>7763-00-0</t>
  </si>
  <si>
    <t>Sodium nitrite</t>
  </si>
  <si>
    <t>亚硝酸钠</t>
  </si>
  <si>
    <t>NaNO2</t>
  </si>
  <si>
    <t>无机物，亚硝酸盐，钠盐</t>
  </si>
  <si>
    <t>03,06,09</t>
  </si>
  <si>
    <t>554-13-2</t>
  </si>
  <si>
    <t>Lithium carbonate</t>
  </si>
  <si>
    <t>碳酸锂</t>
  </si>
  <si>
    <t>Li2CO3</t>
  </si>
  <si>
    <t>无机物，碳酸盐，锂盐</t>
  </si>
  <si>
    <t>497-19-8</t>
  </si>
  <si>
    <t>Sodium carbonate</t>
  </si>
  <si>
    <t>无水碳酸钠；苏打</t>
  </si>
  <si>
    <t>Na2CO3</t>
  </si>
  <si>
    <t>无机物，碳酸盐，钠盐</t>
  </si>
  <si>
    <t>上海虹光化工厂</t>
  </si>
  <si>
    <t>584-08-7</t>
  </si>
  <si>
    <t>Potassium carbonate</t>
  </si>
  <si>
    <t>无水碳酸钾</t>
  </si>
  <si>
    <t>K2CO3</t>
  </si>
  <si>
    <t>无机物，碳酸盐，钾盐</t>
  </si>
  <si>
    <t>56378-72-4</t>
  </si>
  <si>
    <t>Magnesium carbonate hydroxide</t>
  </si>
  <si>
    <t>五水合碱式碳酸镁</t>
  </si>
  <si>
    <t>(MgCO3)4•Mg(OH)2•5H2O</t>
  </si>
  <si>
    <t>无机物，碱式碳酸盐，镁盐</t>
  </si>
  <si>
    <t>471-34-1</t>
  </si>
  <si>
    <t>Calcium carbonate</t>
  </si>
  <si>
    <t>碳酸钙</t>
  </si>
  <si>
    <t>CaCO3</t>
  </si>
  <si>
    <t>无机物，碳酸盐，钙盐</t>
  </si>
  <si>
    <t>513-77-9</t>
  </si>
  <si>
    <t>Barium carbonate</t>
  </si>
  <si>
    <t>碳酸钡</t>
  </si>
  <si>
    <t>BaCO3</t>
  </si>
  <si>
    <t>无机物，碳酸盐，钡盐</t>
  </si>
  <si>
    <t>06,07</t>
  </si>
  <si>
    <t>144-55-8</t>
  </si>
  <si>
    <t>Sodium bicarbonate</t>
  </si>
  <si>
    <t>碳酸氢钠；小苏打</t>
  </si>
  <si>
    <t>NaHCO3</t>
  </si>
  <si>
    <t>无机物，碳酸氢盐，钠盐</t>
  </si>
  <si>
    <t>1066-33-7</t>
  </si>
  <si>
    <t>Ammonium bicarbonate</t>
  </si>
  <si>
    <t>碳酸氢铵</t>
  </si>
  <si>
    <t>NH4HCO3</t>
  </si>
  <si>
    <t>无机物，碳酸氢盐，铵盐</t>
  </si>
  <si>
    <t>166733-69-3</t>
  </si>
  <si>
    <t>Cupric carbonate basic</t>
  </si>
  <si>
    <t>碱式碳酸铜</t>
  </si>
  <si>
    <t>CuCO3•Cu(OH)2•xH2O</t>
  </si>
  <si>
    <t>221.13(无水)</t>
  </si>
  <si>
    <t>无机物，碱式碳酸盐，铜盐</t>
  </si>
  <si>
    <t>127-08-2</t>
  </si>
  <si>
    <t>Potassium Acetate</t>
  </si>
  <si>
    <t>乙酸钾；醋酸钾</t>
  </si>
  <si>
    <t>CH3COOK</t>
  </si>
  <si>
    <t>有机物，乙酸盐，钾盐</t>
  </si>
  <si>
    <t>上海山浦</t>
  </si>
  <si>
    <t>5743-04-4.</t>
  </si>
  <si>
    <t>Cadmium acetate dihydrate</t>
  </si>
  <si>
    <t>二水合乙酸镉</t>
  </si>
  <si>
    <t>(CH3COO)2Cd•2H2O</t>
  </si>
  <si>
    <t>有机物，乙酸盐，镉盐</t>
  </si>
  <si>
    <t>西亚试剂</t>
  </si>
  <si>
    <t>6080-56-4</t>
  </si>
  <si>
    <t>Lead acetate trihydrate</t>
  </si>
  <si>
    <t>三水合乙酸铅</t>
  </si>
  <si>
    <t>(CH3COO)2Pb•3H2O</t>
  </si>
  <si>
    <t>有机物，乙酸盐，铅盐</t>
  </si>
  <si>
    <t>5970-45-6</t>
  </si>
  <si>
    <t>Zinc acetate dihydrate</t>
  </si>
  <si>
    <t>二水合乙酸锌</t>
  </si>
  <si>
    <t>(CH3COO)2Zn•2H2O</t>
  </si>
  <si>
    <t>有机物，乙酸盐，锌盐</t>
  </si>
  <si>
    <t>6046-93-1</t>
  </si>
  <si>
    <t>Cupric acetate monohydrate</t>
  </si>
  <si>
    <t>一水合乙酸铜</t>
  </si>
  <si>
    <t>(CH3COO)2Cu•H2O</t>
  </si>
  <si>
    <t>有机物，乙酸盐，铜盐</t>
  </si>
  <si>
    <t>5893-66-3</t>
  </si>
  <si>
    <t>Cupric oxalate</t>
  </si>
  <si>
    <t>半水合草酸铜</t>
  </si>
  <si>
    <t>C2O4Cu•0.5H2O</t>
  </si>
  <si>
    <t>有机物，草酸盐，铜盐</t>
  </si>
  <si>
    <t>563-72-4</t>
  </si>
  <si>
    <t>Sodium oxalate</t>
  </si>
  <si>
    <t>草酸钙</t>
  </si>
  <si>
    <t>C2O4Ca</t>
  </si>
  <si>
    <t>有机物，草酸盐，钙盐</t>
  </si>
  <si>
    <t>62-76-0</t>
  </si>
  <si>
    <t>草酸钠</t>
  </si>
  <si>
    <t>C2O4Na2</t>
  </si>
  <si>
    <t>有机物，草酸盐，钠盐</t>
  </si>
  <si>
    <t>北京化工厂</t>
  </si>
  <si>
    <t>516-03-0</t>
  </si>
  <si>
    <t>iron(II) oxalate</t>
  </si>
  <si>
    <t>草酸亚铁</t>
  </si>
  <si>
    <t>C2O4Fe</t>
  </si>
  <si>
    <t>有机物，草酸盐，铁（II）盐</t>
  </si>
  <si>
    <t>24992-60-7</t>
  </si>
  <si>
    <t>PraseodyMiuM oxalate hydrate</t>
  </si>
  <si>
    <t>六水合草酸镨</t>
  </si>
  <si>
    <t>Pr2(C2O4)3•6H2O</t>
  </si>
  <si>
    <t>有机物，草酸盐，镨盐</t>
  </si>
  <si>
    <t>14175-03-2</t>
  </si>
  <si>
    <t>Samarium (III) oxalate hydrate</t>
  </si>
  <si>
    <t>一水合草酸钐（III）</t>
  </si>
  <si>
    <t>Sm2(C2O4)3•H2O</t>
  </si>
  <si>
    <t>有机物，草酸盐，钐盐</t>
  </si>
  <si>
    <t>814-88-0,</t>
  </si>
  <si>
    <t>Cadmium oxalate monohydrate</t>
  </si>
  <si>
    <t>一水合草酸镉</t>
  </si>
  <si>
    <t>CdC2O4•H2O</t>
  </si>
  <si>
    <t>有机物，草酸盐，镉盐</t>
  </si>
  <si>
    <t>2040-52-0</t>
  </si>
  <si>
    <t>thorium dioxalate</t>
  </si>
  <si>
    <t>草酸钍</t>
  </si>
  <si>
    <t>Th(C2O4)2</t>
  </si>
  <si>
    <t>有机物，草酸盐，钍盐，放射物</t>
  </si>
  <si>
    <t>6381-92-6</t>
  </si>
  <si>
    <t>Ethylenediamine tetraacetic acid disodium salt</t>
  </si>
  <si>
    <t>二水合乙二胺四乙酸二钠；EDTA二钠</t>
  </si>
  <si>
    <t>C10H14N2Na2O8•2H2O</t>
  </si>
  <si>
    <t>有机物，乙二胺四乙酸盐，钠盐</t>
  </si>
  <si>
    <t>7789-00-6</t>
  </si>
  <si>
    <t>Potassium chromate</t>
  </si>
  <si>
    <t>铬酸钾</t>
  </si>
  <si>
    <t>K2CrO4</t>
  </si>
  <si>
    <t>无机物，铬酸盐，钾盐</t>
  </si>
  <si>
    <t>7789-12-0</t>
  </si>
  <si>
    <t>Sodium dichromate dihydrate</t>
  </si>
  <si>
    <t>二水合重铬酸钠；红矾钠</t>
  </si>
  <si>
    <t>Na2Cr2O7•2H2O</t>
  </si>
  <si>
    <t>无机物，重铬酸盐，钠盐</t>
  </si>
  <si>
    <t>03,05,06,08,09</t>
  </si>
  <si>
    <t>易制爆5.2</t>
  </si>
  <si>
    <t>7778-50-9</t>
  </si>
  <si>
    <t>Potassium dichromate</t>
  </si>
  <si>
    <t>重铬酸钾；红矾钾</t>
  </si>
  <si>
    <t>K2Cr2O7</t>
  </si>
  <si>
    <t>无机物，重铬酸盐，钾盐</t>
  </si>
  <si>
    <t>易制爆5.3</t>
  </si>
  <si>
    <t>7789-09-5.</t>
  </si>
  <si>
    <t>Ammonium dichromate</t>
  </si>
  <si>
    <t>重铬酸铵；红矾铵</t>
  </si>
  <si>
    <t>(NH4)2Cr2O7</t>
  </si>
  <si>
    <t>252.06.</t>
  </si>
  <si>
    <t>无机物，重铬酸盐，铵盐</t>
  </si>
  <si>
    <t>易制爆5.4</t>
  </si>
  <si>
    <t>7722-64-7</t>
  </si>
  <si>
    <t>Potassium permanganate</t>
  </si>
  <si>
    <t>高锰酸钾</t>
  </si>
  <si>
    <t>KMnO4</t>
  </si>
  <si>
    <t>无机物，高锰酸盐，钾盐</t>
  </si>
  <si>
    <t>易制爆9.3、易制毒-3、夏季禁限运[包装＞500g/mL]</t>
  </si>
  <si>
    <t>IG</t>
  </si>
  <si>
    <t>12208-13-8</t>
  </si>
  <si>
    <t>Potassium pyroantimonate</t>
  </si>
  <si>
    <t>焦锑酸钾；六羟基合锑酸钾</t>
  </si>
  <si>
    <t>KSbO6H6</t>
  </si>
  <si>
    <t>无机物，焦锑酸盐，钾盐</t>
  </si>
  <si>
    <t>上海化学试剂四厂</t>
  </si>
  <si>
    <t>10213-10-2,</t>
  </si>
  <si>
    <t>Sodium tungstate dihydrate</t>
  </si>
  <si>
    <t>钨酸钠</t>
  </si>
  <si>
    <t>Na2WO4•2H2O</t>
  </si>
  <si>
    <t>无机物，钨酸盐，钠盐</t>
  </si>
  <si>
    <t>上海化学试剂二厂</t>
  </si>
  <si>
    <t>1303-96-4</t>
  </si>
  <si>
    <t>Sodium tetraborate</t>
  </si>
  <si>
    <t>十水合四硼酸钠；硼砂</t>
  </si>
  <si>
    <t>Na2B4O7•10H2O</t>
  </si>
  <si>
    <t>无机物，四硼酸盐，钠盐</t>
  </si>
  <si>
    <t>21908-53-2</t>
  </si>
  <si>
    <t>Mercuric Oxide</t>
  </si>
  <si>
    <t>黄色氧化汞（II）；一氧化汞</t>
  </si>
  <si>
    <t>HgO</t>
  </si>
  <si>
    <t>无机物，金属氧化物</t>
  </si>
  <si>
    <t>剧毒品</t>
  </si>
  <si>
    <t>贵州铜仁</t>
  </si>
  <si>
    <t>1333-82-0</t>
  </si>
  <si>
    <t>Chromium(VI) oxide</t>
  </si>
  <si>
    <t>三氧化铬（VI）；铬酸酐</t>
  </si>
  <si>
    <t>CrO3</t>
  </si>
  <si>
    <t>无机物，金属氧化物，酸酐</t>
  </si>
  <si>
    <t>天津福晨</t>
  </si>
  <si>
    <t>1309-37-1</t>
  </si>
  <si>
    <t>Ferric oxide</t>
  </si>
  <si>
    <t>三氧化二铁</t>
  </si>
  <si>
    <t>Fe2O3</t>
  </si>
  <si>
    <t>1314-62-1</t>
  </si>
  <si>
    <t>Vanadium(V) oxide</t>
  </si>
  <si>
    <t>五氧化二钒（V）</t>
  </si>
  <si>
    <t>V2O5</t>
  </si>
  <si>
    <t>06,07,08,09</t>
  </si>
  <si>
    <t>1313-13-9</t>
  </si>
  <si>
    <t>Manganese dioxide</t>
  </si>
  <si>
    <t>二氧化锰</t>
  </si>
  <si>
    <t>MnO2</t>
  </si>
  <si>
    <t>7789-20-0</t>
  </si>
  <si>
    <t>Deuterium Oxide</t>
  </si>
  <si>
    <t>氧化氘；重水</t>
  </si>
  <si>
    <t>D2O</t>
  </si>
  <si>
    <t>无机物，非金属氧化物</t>
  </si>
  <si>
    <t>1317-38-0</t>
  </si>
  <si>
    <t>Linear copper oxide</t>
  </si>
  <si>
    <t>线状氧化铜</t>
  </si>
  <si>
    <t>CuO</t>
  </si>
  <si>
    <t>09,</t>
  </si>
  <si>
    <t>112926-00-8</t>
  </si>
  <si>
    <t>Discoloured silicone</t>
  </si>
  <si>
    <t>变色硅胶</t>
  </si>
  <si>
    <t>mSiO2•xH2O</t>
  </si>
  <si>
    <t>无机物，干燥剂，</t>
  </si>
  <si>
    <t>上海新火</t>
  </si>
  <si>
    <t>Silicone for chromatography</t>
  </si>
  <si>
    <t>层析用硅胶</t>
  </si>
  <si>
    <t>无机物，层析剂</t>
  </si>
  <si>
    <t>上海五四化学试剂厂</t>
  </si>
  <si>
    <t>1314-56-3</t>
  </si>
  <si>
    <t>Phosphorus pentoxide</t>
  </si>
  <si>
    <t>五氧化二磷</t>
  </si>
  <si>
    <t>P2O5</t>
  </si>
  <si>
    <t>AR 98.5%</t>
  </si>
  <si>
    <t>1309-60-0</t>
  </si>
  <si>
    <t>Lead dioxide</t>
  </si>
  <si>
    <t>二氧化铅</t>
  </si>
  <si>
    <t>PbO2</t>
  </si>
  <si>
    <t>03,07,08,09</t>
  </si>
  <si>
    <t>铌实验研究所</t>
  </si>
  <si>
    <t>铌赠送</t>
  </si>
  <si>
    <t>7722-84-1</t>
  </si>
  <si>
    <t>Hydrogen peroxide</t>
  </si>
  <si>
    <t>过氧化氢；双氧水</t>
  </si>
  <si>
    <t>H2O2</t>
  </si>
  <si>
    <t>无机物，过氧化物</t>
  </si>
  <si>
    <t>03,05,07</t>
  </si>
  <si>
    <t>易制爆6.1</t>
  </si>
  <si>
    <t>AR 30%</t>
  </si>
  <si>
    <t>1314-20-1</t>
  </si>
  <si>
    <t>Thorium dioxide</t>
  </si>
  <si>
    <t>二氧化钍</t>
  </si>
  <si>
    <t>ThO2</t>
  </si>
  <si>
    <t>75-20-7</t>
  </si>
  <si>
    <t>Calcium carbide</t>
  </si>
  <si>
    <t>碳化钙；电石</t>
  </si>
  <si>
    <t>CaC2</t>
  </si>
  <si>
    <t>无机物，碳化物，钙盐</t>
  </si>
  <si>
    <t>LR</t>
  </si>
  <si>
    <t>12069-32-8</t>
  </si>
  <si>
    <t>Boron carbide</t>
  </si>
  <si>
    <t>碳化硼</t>
  </si>
  <si>
    <t>B4C</t>
  </si>
  <si>
    <t>无机物，碳化物，硼化物</t>
  </si>
  <si>
    <t>7440-44-0</t>
  </si>
  <si>
    <t>Charcoal</t>
  </si>
  <si>
    <t>木炭</t>
  </si>
  <si>
    <t>C</t>
  </si>
  <si>
    <t>无机物，单质，非金属</t>
  </si>
  <si>
    <t>02,</t>
  </si>
  <si>
    <t>7439-95-4</t>
  </si>
  <si>
    <t>Magnesium belt</t>
  </si>
  <si>
    <t>镁带；镁盘</t>
  </si>
  <si>
    <t>Mg</t>
  </si>
  <si>
    <t>无机物，单质，金属</t>
  </si>
  <si>
    <t>易制爆7.4</t>
  </si>
  <si>
    <t>Magnesium chips</t>
  </si>
  <si>
    <t>镁条；镁屑</t>
  </si>
  <si>
    <t>Magnesium grain</t>
  </si>
  <si>
    <t>镁粒</t>
  </si>
  <si>
    <t>7429-90-5</t>
  </si>
  <si>
    <t>Aluminum100-200</t>
  </si>
  <si>
    <t>铝粉100-200</t>
  </si>
  <si>
    <t>Al</t>
  </si>
  <si>
    <t>易制爆7.6</t>
  </si>
  <si>
    <t>Aluminum pigment aluminum powder</t>
  </si>
  <si>
    <t>铝颜浆铝银粉</t>
  </si>
  <si>
    <t>7723-14-0</t>
  </si>
  <si>
    <t>Phosphorus</t>
  </si>
  <si>
    <t>红磷；赤磷</t>
  </si>
  <si>
    <t>P</t>
  </si>
  <si>
    <t>7704-34-9</t>
  </si>
  <si>
    <t>Sublimation of sulfur</t>
  </si>
  <si>
    <t>升华硫</t>
  </si>
  <si>
    <t>S8</t>
  </si>
  <si>
    <t>易制爆7.8</t>
  </si>
  <si>
    <t>7440-47-3</t>
  </si>
  <si>
    <t>Chromium</t>
  </si>
  <si>
    <t>铬粒</t>
  </si>
  <si>
    <t>Cr</t>
  </si>
  <si>
    <t>7440-66-6</t>
  </si>
  <si>
    <t>Zinc free from arsenic</t>
  </si>
  <si>
    <t>无砷锌粒</t>
  </si>
  <si>
    <t>Zn</t>
  </si>
  <si>
    <t>Zinc</t>
  </si>
  <si>
    <t>锌粉</t>
  </si>
  <si>
    <t>02,09</t>
  </si>
  <si>
    <t>易制爆7.9</t>
  </si>
  <si>
    <t>7440-50-8</t>
  </si>
  <si>
    <t>Copper</t>
  </si>
  <si>
    <t>铜丝</t>
  </si>
  <si>
    <t>Cu</t>
  </si>
  <si>
    <t>天津凯通</t>
  </si>
  <si>
    <t>7440-02-0</t>
  </si>
  <si>
    <t>Nickel</t>
  </si>
  <si>
    <t>镍粉</t>
  </si>
  <si>
    <t>Ni</t>
  </si>
  <si>
    <t>02,07,08,09</t>
  </si>
  <si>
    <t>5N</t>
  </si>
  <si>
    <t>7553-56-2</t>
  </si>
  <si>
    <t>Iodine</t>
  </si>
  <si>
    <t>碘粒</t>
  </si>
  <si>
    <t>I2</t>
  </si>
  <si>
    <t>无机物，单质，非金属，卤素</t>
  </si>
  <si>
    <t>青岛金海</t>
  </si>
  <si>
    <t>7439-98-7</t>
  </si>
  <si>
    <t>Molybdenum powder</t>
  </si>
  <si>
    <t>钼粉</t>
  </si>
  <si>
    <t>Mo</t>
  </si>
  <si>
    <t>7440-32-6</t>
  </si>
  <si>
    <t>Sponge titanium</t>
  </si>
  <si>
    <t>海绵钛</t>
  </si>
  <si>
    <t>Ti</t>
  </si>
  <si>
    <t>z.赠送</t>
  </si>
  <si>
    <t>143-66-8</t>
  </si>
  <si>
    <t>Sodium tetraphenylboron</t>
  </si>
  <si>
    <t>四苯硼钠</t>
  </si>
  <si>
    <t>(C6H5)4BNa</t>
  </si>
  <si>
    <t>有机物，钠盐</t>
  </si>
  <si>
    <t>3244-41-5</t>
  </si>
  <si>
    <t>Potassium tetraphenylborate</t>
  </si>
  <si>
    <t>四苯硼钾</t>
  </si>
  <si>
    <t>(C6H5)4BK</t>
  </si>
  <si>
    <t>有机物，钾盐</t>
  </si>
  <si>
    <t>二硫合铜酸锶Lab</t>
  </si>
  <si>
    <t>67-66-3</t>
  </si>
  <si>
    <t>Chloroform</t>
  </si>
  <si>
    <t>三氯甲烷；氯仿</t>
  </si>
  <si>
    <t>CHCl3</t>
  </si>
  <si>
    <t>有机物，卤代烃，有机溶剂</t>
  </si>
  <si>
    <t>06,08</t>
  </si>
  <si>
    <t>71-43-2</t>
  </si>
  <si>
    <t>Benzene</t>
  </si>
  <si>
    <t>苯</t>
  </si>
  <si>
    <t>C6H6</t>
  </si>
  <si>
    <t>有机物，芳香烃，有机溶剂</t>
  </si>
  <si>
    <t>02,07,08</t>
  </si>
  <si>
    <t>108-88-3</t>
  </si>
  <si>
    <t>Toluene</t>
  </si>
  <si>
    <t>甲苯</t>
  </si>
  <si>
    <t>C7H8</t>
  </si>
  <si>
    <t>易制毒-3、夏季禁限运[包装＞500g/mL]</t>
  </si>
  <si>
    <t>1330-20-7</t>
  </si>
  <si>
    <t>Xylene</t>
  </si>
  <si>
    <t>二甲苯，异构体混合物</t>
  </si>
  <si>
    <t>C8H10</t>
  </si>
  <si>
    <t>有机物，芳香烃，异构体混合物</t>
  </si>
  <si>
    <t xml:space="preserve">AR </t>
  </si>
  <si>
    <t>67-56-1</t>
  </si>
  <si>
    <t>Methanol</t>
  </si>
  <si>
    <t>无水甲醇</t>
  </si>
  <si>
    <t>CH3OH</t>
  </si>
  <si>
    <t>有机物，醇，有机溶剂</t>
  </si>
  <si>
    <t>02,06,08</t>
  </si>
  <si>
    <t>甲醇</t>
  </si>
  <si>
    <t>64-17-5</t>
  </si>
  <si>
    <t>Ethanol</t>
  </si>
  <si>
    <t>无水乙醇</t>
  </si>
  <si>
    <t>C2H5OH</t>
  </si>
  <si>
    <t>60-29-7</t>
  </si>
  <si>
    <t>Diethyl ether</t>
  </si>
  <si>
    <t>乙醚</t>
  </si>
  <si>
    <t>C4H10O</t>
  </si>
  <si>
    <t>有机物，醚，有机溶剂</t>
  </si>
  <si>
    <t>易制毒-2、夏季禁限运[包装＞500g/mL]</t>
  </si>
  <si>
    <t>迈克汽车</t>
  </si>
  <si>
    <t>56-81-5</t>
  </si>
  <si>
    <t>Glycerol</t>
  </si>
  <si>
    <t>丙三醇；甘油</t>
  </si>
  <si>
    <t>HOCH2CHOHCH2OH</t>
  </si>
  <si>
    <t>112-27-6</t>
  </si>
  <si>
    <t>Triethylene glycol</t>
  </si>
  <si>
    <t>三乙二醇；三甘醇</t>
  </si>
  <si>
    <t>C6H14O4</t>
  </si>
  <si>
    <t>有机物，醇，醚，有机溶剂</t>
  </si>
  <si>
    <t>57-55-6</t>
  </si>
  <si>
    <t>Propylene glycol</t>
  </si>
  <si>
    <t>1，2-丙二醇</t>
  </si>
  <si>
    <t>C3H8O2</t>
  </si>
  <si>
    <t>149-32-6</t>
  </si>
  <si>
    <t>Erythritol</t>
  </si>
  <si>
    <t>丁四醇；赤藓醇</t>
  </si>
  <si>
    <t>C4H10O4</t>
  </si>
  <si>
    <t>有机物，醇</t>
  </si>
  <si>
    <t>FG</t>
  </si>
  <si>
    <t>75-65-0</t>
  </si>
  <si>
    <t>tert-Butanol</t>
  </si>
  <si>
    <t>叔丁醇</t>
  </si>
  <si>
    <t>(CH3)3COH</t>
  </si>
  <si>
    <t>67-63-0</t>
  </si>
  <si>
    <t>Isopropyl alcohol</t>
  </si>
  <si>
    <t>异丙醇</t>
  </si>
  <si>
    <t>(CH3)2CHOH</t>
  </si>
  <si>
    <t>宜春白狮</t>
  </si>
  <si>
    <t>天津化学试剂二厂</t>
  </si>
  <si>
    <t>HPLC</t>
  </si>
  <si>
    <t>69-65-8</t>
  </si>
  <si>
    <t>Mannitol</t>
  </si>
  <si>
    <t>甘露醇</t>
  </si>
  <si>
    <t>C6H14O6</t>
  </si>
  <si>
    <t>108-95-2</t>
  </si>
  <si>
    <t>Phenol</t>
  </si>
  <si>
    <t>苯酚</t>
  </si>
  <si>
    <t>C6H6O</t>
  </si>
  <si>
    <t>有机物，酚，芳香衍生物</t>
  </si>
  <si>
    <t>108-46-3</t>
  </si>
  <si>
    <t>Resorcinol</t>
  </si>
  <si>
    <t>间苯二酚</t>
  </si>
  <si>
    <t>C6H6O2</t>
  </si>
  <si>
    <t>02,06</t>
  </si>
  <si>
    <t>120-80-9,</t>
  </si>
  <si>
    <t>Catechol</t>
  </si>
  <si>
    <t>邻苯二酚；儿茶酚</t>
  </si>
  <si>
    <t>05,06,08</t>
  </si>
  <si>
    <t>CP 98%</t>
  </si>
  <si>
    <t>余切赠送</t>
  </si>
  <si>
    <t>148-24-3</t>
  </si>
  <si>
    <t>8-Hydroxyquinoline</t>
  </si>
  <si>
    <t>8-羟基喹啉</t>
  </si>
  <si>
    <t>C9H7NO</t>
  </si>
  <si>
    <t>有机物，酚，芳香衍生物，喹啉衍生物</t>
  </si>
  <si>
    <t>2078-54-8</t>
  </si>
  <si>
    <t>Propofol</t>
  </si>
  <si>
    <t>异丙酚；丙泊酚</t>
  </si>
  <si>
    <t>C12H18O</t>
  </si>
  <si>
    <t>371-62-0</t>
  </si>
  <si>
    <t>Ethylene fluorohydrine</t>
  </si>
  <si>
    <t>2-氟乙醇</t>
  </si>
  <si>
    <t>C2H5FO</t>
  </si>
  <si>
    <t>有机物，醇，氟代</t>
  </si>
  <si>
    <t>安耐吉</t>
  </si>
  <si>
    <t>50-99-7</t>
  </si>
  <si>
    <t>D(+)-Glucose anhydrous</t>
  </si>
  <si>
    <t>D（+）-葡萄糖，无水</t>
  </si>
  <si>
    <t>C6H12O6</t>
  </si>
  <si>
    <t>有机物，糖类</t>
  </si>
  <si>
    <t>85-44-9</t>
  </si>
  <si>
    <t>Phthalic anhydride</t>
  </si>
  <si>
    <t>邻苯二甲酸酐；酞酸酐</t>
  </si>
  <si>
    <t>C8H4O3</t>
  </si>
  <si>
    <t>有机物，酸酐，芳环化合物，苯系衍生物</t>
  </si>
  <si>
    <t>85-41-6</t>
  </si>
  <si>
    <t>Phthalimide</t>
  </si>
  <si>
    <t>邻苯二甲酰亚胺；酞酰亚胺</t>
  </si>
  <si>
    <t>C8H5NO2</t>
  </si>
  <si>
    <t>有机物，芳环化合物，苯系衍生物，酞酰基衍生物</t>
  </si>
  <si>
    <t>877-24-7</t>
  </si>
  <si>
    <t>Potassium hydrogen phthalate</t>
  </si>
  <si>
    <t>邻苯二甲酸氢钾；酞酸氢钾</t>
  </si>
  <si>
    <t>C8H5KO4</t>
  </si>
  <si>
    <t>有机物，芳环化合物，苯系衍生物，酞酸氢盐，钾盐</t>
  </si>
  <si>
    <t>西陇化工厂</t>
  </si>
  <si>
    <t>603-11-2</t>
  </si>
  <si>
    <t>3-Nitrophthalic acid</t>
  </si>
  <si>
    <t>3-硝基邻苯二甲酸；3-硝基酞酸</t>
  </si>
  <si>
    <t>C8H5MO6</t>
  </si>
  <si>
    <t>有机物，芳环化合物，苯系衍生物，硝基化合物，酸</t>
  </si>
  <si>
    <t>109-99-9</t>
  </si>
  <si>
    <t>Tetrahydrofuran</t>
  </si>
  <si>
    <t>四氢呋喃；THF</t>
  </si>
  <si>
    <t>C4H8O</t>
  </si>
  <si>
    <t>有机物，醚，呋喃衍生物</t>
  </si>
  <si>
    <t>67-64-1</t>
  </si>
  <si>
    <t>Acetone</t>
  </si>
  <si>
    <t>丙酮</t>
  </si>
  <si>
    <t>C3H6O</t>
  </si>
  <si>
    <t>有机物，酮，有机溶剂</t>
  </si>
  <si>
    <t xml:space="preserve">	
易制毒-3、夏季禁限运[包装＞500g/mL]</t>
  </si>
  <si>
    <t>盛禾世间</t>
  </si>
  <si>
    <t>538-58-9</t>
  </si>
  <si>
    <t>Dibenzylideneacetone</t>
  </si>
  <si>
    <t>二亚苄叉丙酮</t>
  </si>
  <si>
    <t>C17H14O</t>
  </si>
  <si>
    <t>有机物，芳香衍生物，酮</t>
  </si>
  <si>
    <t>78-93-3</t>
  </si>
  <si>
    <t>2-Butanone</t>
  </si>
  <si>
    <t>2-丁酮；甲基乙基酮</t>
  </si>
  <si>
    <t>苄鈦化工廠</t>
  </si>
  <si>
    <t>50-00-0</t>
  </si>
  <si>
    <t>Formaldehyde solution</t>
  </si>
  <si>
    <t>甲醛溶液；福尔马林溶液</t>
  </si>
  <si>
    <t>HCHO</t>
  </si>
  <si>
    <t>有机物，醛</t>
  </si>
  <si>
    <t>75-07-0</t>
  </si>
  <si>
    <t>Acetaldehyde</t>
  </si>
  <si>
    <t>乙醛</t>
  </si>
  <si>
    <t>CH3CHO</t>
  </si>
  <si>
    <t>107-22-2</t>
  </si>
  <si>
    <t>Glyoxal</t>
  </si>
  <si>
    <t>乙二醛；草醛</t>
  </si>
  <si>
    <t>C2H2O2</t>
  </si>
  <si>
    <t>天津科密欧</t>
  </si>
  <si>
    <t>100-52-7</t>
  </si>
  <si>
    <t>Benzaldehyde</t>
  </si>
  <si>
    <t>苯甲醛</t>
  </si>
  <si>
    <t>C7H6O</t>
  </si>
  <si>
    <t>有机物，醛，芳香衍生物</t>
  </si>
  <si>
    <t>107-15-3</t>
  </si>
  <si>
    <t>Ethylenediamine</t>
  </si>
  <si>
    <t>无水乙二胺</t>
  </si>
  <si>
    <t>C2H8N2</t>
  </si>
  <si>
    <t>有机物，氨基衍生物</t>
  </si>
  <si>
    <t>02,05,06,08</t>
  </si>
  <si>
    <t>易制爆7.12</t>
  </si>
  <si>
    <t>5470-11-1.</t>
  </si>
  <si>
    <t>Hydroxylamine hydrochloride</t>
  </si>
  <si>
    <t>盐酸羟胺；氯化羟胺</t>
  </si>
  <si>
    <t>NH2OH•HCl</t>
  </si>
  <si>
    <t>有机物，氨基衍生物，羟基，氯化物/盐酸盐</t>
  </si>
  <si>
    <t>05,08,09</t>
  </si>
  <si>
    <t>75-57-0</t>
  </si>
  <si>
    <t>Tetramethylammonium chloride</t>
  </si>
  <si>
    <t>四甲基氯化铵</t>
  </si>
  <si>
    <t>C4H12NCl</t>
  </si>
  <si>
    <t>有机物，氯化物，甲基铵盐</t>
  </si>
  <si>
    <t>56-34-8</t>
  </si>
  <si>
    <t>Tetraethylammonium chloride</t>
  </si>
  <si>
    <t>四乙基氯化铵</t>
  </si>
  <si>
    <t>(C2H5)4NCl</t>
  </si>
  <si>
    <t>有机物，氯化物，乙基铵盐</t>
  </si>
  <si>
    <t>&lt;10g</t>
  </si>
  <si>
    <t>156-28-5</t>
  </si>
  <si>
    <t>2-PhenylethylaMine</t>
  </si>
  <si>
    <t>2-苯乙胺盐酸盐</t>
  </si>
  <si>
    <t>C8H12NCl</t>
  </si>
  <si>
    <t>有机物，芳香衍生物，氨基衍生物，氯化物/盐酸盐</t>
  </si>
  <si>
    <t>496-46-8</t>
  </si>
  <si>
    <t>Glycoluril</t>
  </si>
  <si>
    <t>甘脲</t>
  </si>
  <si>
    <t>C4H6N4O2</t>
  </si>
  <si>
    <t>有机物，酮</t>
  </si>
  <si>
    <t>75-12-7.</t>
  </si>
  <si>
    <t>Formamide</t>
  </si>
  <si>
    <t>甲酰胺</t>
  </si>
  <si>
    <t>CH3NO</t>
  </si>
  <si>
    <t>有机物，氨基衍生物，醛</t>
  </si>
  <si>
    <t>57-13-6</t>
  </si>
  <si>
    <t>Urea</t>
  </si>
  <si>
    <t>脲；尿素；碳酰胺</t>
  </si>
  <si>
    <t>CH4N2O</t>
  </si>
  <si>
    <t>有机物，碳酰化合物，酰胺</t>
  </si>
  <si>
    <t>100-97-0</t>
  </si>
  <si>
    <t>Hexamethylenetetramine</t>
  </si>
  <si>
    <t>六次甲基四胺；乌洛托品</t>
  </si>
  <si>
    <t>C6H12N4</t>
  </si>
  <si>
    <t>有机物，金刚石结构化合物</t>
  </si>
  <si>
    <t>易制爆7.11</t>
  </si>
  <si>
    <t>110-86-1</t>
  </si>
  <si>
    <t>Pyridine</t>
  </si>
  <si>
    <t>吡啶</t>
  </si>
  <si>
    <t>C5H5N</t>
  </si>
  <si>
    <t>有机物，芳香衍生物</t>
  </si>
  <si>
    <t>5144-89-8</t>
  </si>
  <si>
    <t>o-Phenanthroline</t>
  </si>
  <si>
    <t>1，10-菲罗啉</t>
  </si>
  <si>
    <t>C12H8N2·H2O</t>
  </si>
  <si>
    <t>06,09</t>
  </si>
  <si>
    <t>121-57-3</t>
  </si>
  <si>
    <t>Sulfanilic acid</t>
  </si>
  <si>
    <t>对氨基苯磺酸</t>
  </si>
  <si>
    <t>C6H7NO3S</t>
  </si>
  <si>
    <t>有机物，芳香衍生物，氨基衍生物，磺酸</t>
  </si>
  <si>
    <t>上海化学试剂研究所</t>
  </si>
  <si>
    <t>103-80-0</t>
  </si>
  <si>
    <t>Phenylacetyl chloride</t>
  </si>
  <si>
    <t>苯乙酰氯</t>
  </si>
  <si>
    <t>C8H7OCl</t>
  </si>
  <si>
    <t>有机物，苯乙酰基衍生物，氯化物</t>
  </si>
  <si>
    <t>75-36-5</t>
  </si>
  <si>
    <t>Acetyl chloride</t>
  </si>
  <si>
    <t>乙酰氯</t>
  </si>
  <si>
    <t>C2H3ClO</t>
  </si>
  <si>
    <t>有机物，乙酰基衍生物，氯化物</t>
  </si>
  <si>
    <t>02,05,07</t>
  </si>
  <si>
    <t>639-58-7</t>
  </si>
  <si>
    <t>Chlorotriphenyltin</t>
  </si>
  <si>
    <t>三苯基氯化锡</t>
  </si>
  <si>
    <t>(C6H5)3SnCl</t>
  </si>
  <si>
    <t>有机物，三苯基衍生物，氯化物，锡盐</t>
  </si>
  <si>
    <t>IG 96%</t>
  </si>
  <si>
    <t>603-35-0</t>
  </si>
  <si>
    <t>Triphenylphosphine</t>
  </si>
  <si>
    <t>三苯基磷</t>
  </si>
  <si>
    <t>(C6H5)3P</t>
  </si>
  <si>
    <t>有机物，三苯基衍生物，磷化合物</t>
  </si>
  <si>
    <t>141-78-6</t>
  </si>
  <si>
    <t>Ethyl acetate</t>
  </si>
  <si>
    <t>乙酸乙酯</t>
  </si>
  <si>
    <t>CH3COOC2H5</t>
  </si>
  <si>
    <t>有机物，酯</t>
  </si>
  <si>
    <t>02,08</t>
  </si>
  <si>
    <t>2969-81-5</t>
  </si>
  <si>
    <t>Ethyl-4-bromobutyrate</t>
  </si>
  <si>
    <t>4-溴丁酸乙酯</t>
  </si>
  <si>
    <t>C6H11BrO2</t>
  </si>
  <si>
    <t>有机物，酯，溴代</t>
  </si>
  <si>
    <t>乐妍</t>
  </si>
  <si>
    <t>459-72-3</t>
  </si>
  <si>
    <t>Ethyl fluoroacetate</t>
  </si>
  <si>
    <t>氟乙酸乙酯</t>
  </si>
  <si>
    <t>C4H7FO2</t>
  </si>
  <si>
    <t>有机物，酯，氟代</t>
  </si>
  <si>
    <t>01,06,09</t>
  </si>
  <si>
    <t>迈瑞尔</t>
  </si>
  <si>
    <t>67-03-8,</t>
  </si>
  <si>
    <t>Thiamine hydrochloride</t>
  </si>
  <si>
    <t>盐酸硫胺；维生素B1</t>
  </si>
  <si>
    <t>C12H17CIN4OS•HCl</t>
  </si>
  <si>
    <t>有机物，维生素，氯化物/盐酸盐</t>
  </si>
  <si>
    <t>50-01-1,</t>
  </si>
  <si>
    <t>Guanidine hydrochloride</t>
  </si>
  <si>
    <t>盐酸胍；氨基甲脒盐酸盐</t>
  </si>
  <si>
    <t>CH5N3•HCl</t>
  </si>
  <si>
    <t>有机物，脒类，氨基衍生物，氯化物/盐酸盐</t>
  </si>
  <si>
    <t>&lt;50g</t>
  </si>
  <si>
    <t>77-09-8,</t>
  </si>
  <si>
    <t>Phenolphthalein</t>
  </si>
  <si>
    <t>酚酞</t>
  </si>
  <si>
    <t>C20H14O4</t>
  </si>
  <si>
    <t>有机物，蒽醌，指示剂</t>
  </si>
  <si>
    <t>IND</t>
  </si>
  <si>
    <t>1611-35-4</t>
  </si>
  <si>
    <t>Xylenol Orange sodium salt</t>
  </si>
  <si>
    <t>二甲酚橙</t>
  </si>
  <si>
    <t>C31H30N2Na2O13S</t>
  </si>
  <si>
    <t>有机物，指示剂</t>
  </si>
  <si>
    <t>华东师范大学</t>
  </si>
  <si>
    <t>28983-56-4</t>
  </si>
  <si>
    <t>Acid Blue 93</t>
  </si>
  <si>
    <t>甲基蓝</t>
  </si>
  <si>
    <t>C37H27N3Na2O9S3</t>
  </si>
  <si>
    <t>有机物，指示剂，染色剂</t>
  </si>
  <si>
    <t>BS</t>
  </si>
  <si>
    <t>7220-79-3</t>
  </si>
  <si>
    <t>Methylene blue</t>
  </si>
  <si>
    <t>亚甲基蓝；次甲基蓝</t>
  </si>
  <si>
    <t>C16H18ClN3S·3H2O</t>
  </si>
  <si>
    <t>上海化学试剂三厂</t>
  </si>
  <si>
    <t>沈阳试剂三厂</t>
  </si>
  <si>
    <t>477-73-6</t>
  </si>
  <si>
    <t>SafranineT</t>
  </si>
  <si>
    <t>碱性藏红；藏红T；番红花红O</t>
  </si>
  <si>
    <t>C20H19ClN4</t>
  </si>
  <si>
    <t>547-58-0</t>
  </si>
  <si>
    <t>Methyl orange</t>
  </si>
  <si>
    <t>甲基橙</t>
  </si>
  <si>
    <t>C14H14N3NaO3S</t>
  </si>
  <si>
    <t>493-52-7</t>
  </si>
  <si>
    <t>Methyl red</t>
  </si>
  <si>
    <t>甲基红</t>
  </si>
  <si>
    <t>C15H15N3O2</t>
  </si>
  <si>
    <t>569-64-2</t>
  </si>
  <si>
    <t>Malachite green</t>
  </si>
  <si>
    <t>孔雀石绿</t>
  </si>
  <si>
    <t>C23H25ClN2</t>
  </si>
  <si>
    <t>76-60-8</t>
  </si>
  <si>
    <t>Bromocresol green</t>
  </si>
  <si>
    <t>溴甲酚绿</t>
  </si>
  <si>
    <t>C21H14Br4O5S</t>
  </si>
  <si>
    <t>89-83-8</t>
  </si>
  <si>
    <t>Thymol</t>
  </si>
  <si>
    <t>麝香草酚，百里香酚</t>
  </si>
  <si>
    <t>C10H14O</t>
  </si>
  <si>
    <t>有机物，芳环化合物，苯系衍生物，酚</t>
  </si>
  <si>
    <t>538-62-5</t>
  </si>
  <si>
    <t>Diphenylcarbazone</t>
  </si>
  <si>
    <t>二苯偶氮碳酰肼；二苯基卡巴腙</t>
  </si>
  <si>
    <t>C13H12N4O</t>
  </si>
  <si>
    <t>1914-99-4</t>
  </si>
  <si>
    <t>Chlorophosphonazo III</t>
  </si>
  <si>
    <t>偶氮氯膦III</t>
  </si>
  <si>
    <t>C22H24Cl2N4O18P2S2</t>
  </si>
  <si>
    <t>有机物，指示剂，显色剂</t>
  </si>
  <si>
    <t>23302-82-2</t>
  </si>
  <si>
    <t>Merocyanine Dye</t>
  </si>
  <si>
    <t>MOED</t>
  </si>
  <si>
    <t>C14H13NO</t>
  </si>
  <si>
    <t>S.D.C.研究部</t>
  </si>
  <si>
    <t>1787-61-7</t>
  </si>
  <si>
    <t>Eriochrome Black T</t>
  </si>
  <si>
    <t>铬黑T</t>
  </si>
  <si>
    <t>C20H12N3NaO7S</t>
  </si>
  <si>
    <t>2538-85-4</t>
  </si>
  <si>
    <t>Chrome Blue Black R</t>
  </si>
  <si>
    <t>铬兰黑R；钙试剂；钙紫红素</t>
  </si>
  <si>
    <t>C20H13N2NaO5S</t>
  </si>
  <si>
    <t>上海三爱思</t>
  </si>
  <si>
    <t>73163-53-8</t>
  </si>
  <si>
    <t>BilesaltNO.3</t>
  </si>
  <si>
    <t>三号胆盐；胆酸钠</t>
  </si>
  <si>
    <t>C24H41NaO6</t>
  </si>
  <si>
    <t>有机物，胆酸盐，钠盐</t>
  </si>
  <si>
    <t>BR</t>
  </si>
  <si>
    <t>56-53-1</t>
  </si>
  <si>
    <t>Diethylstilbestrol</t>
  </si>
  <si>
    <t>己烯雌酚</t>
  </si>
  <si>
    <t>C18H20O2</t>
  </si>
  <si>
    <t>有机物，雌激素，酚</t>
  </si>
  <si>
    <t>517-28-2</t>
  </si>
  <si>
    <t>Hematoxylin trihydrate</t>
  </si>
  <si>
    <t>苏木色精</t>
  </si>
  <si>
    <t>C16H14O6•3H2O</t>
  </si>
  <si>
    <t>有机物，芳香衍生物，酚，醇，醚</t>
  </si>
  <si>
    <t>20624-25-3</t>
  </si>
  <si>
    <t>Sodium diethyldithiocarbamate trihydrate</t>
  </si>
  <si>
    <t>二乙基二硫代氨基甲酸钠；铜试剂</t>
  </si>
  <si>
    <t>C5H10NNaS2•3H2O</t>
  </si>
  <si>
    <t>88-89-1</t>
  </si>
  <si>
    <t>2,4,6-trinitrophenol</t>
  </si>
  <si>
    <t>2，4，6-三硝基苯酚；苦味酸</t>
  </si>
  <si>
    <t>C6H3N3O7</t>
  </si>
  <si>
    <t>有机物，酚，芳香衍生物，硝基化合物</t>
  </si>
  <si>
    <t>01,02,06</t>
  </si>
  <si>
    <t>爆炸物</t>
  </si>
  <si>
    <t>江苏汴泰</t>
  </si>
  <si>
    <t>13600-98-1</t>
  </si>
  <si>
    <t>Sodium hexanitrocobaltate(III)</t>
  </si>
  <si>
    <t>六硝基合钴（III）酸钠；亚硝酸钴钠</t>
  </si>
  <si>
    <t>Na3[Co(NO)6]</t>
  </si>
  <si>
    <t>无机物，配合物，钴（III）酸盐，钠盐，硝基配体</t>
  </si>
  <si>
    <t>苄钛化工厂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</si>
</sst>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0"/>
      <color rgb="FFFF0000"/>
      <name val="Helvetica Neue For Number"/>
      <charset val="134"/>
    </font>
    <font>
      <sz val="11"/>
      <color theme="1"/>
      <name val="宋体"/>
      <charset val="134"/>
    </font>
    <font>
      <sz val="11"/>
      <color rgb="FF222222"/>
      <name val="宋体"/>
      <charset val="134"/>
    </font>
    <font>
      <sz val="11"/>
      <color rgb="FF555555"/>
      <name val="宋体"/>
      <charset val="134"/>
    </font>
    <font>
      <sz val="11"/>
      <color rgb="FF20212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5" fillId="3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1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GIF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7" Type="http://schemas.openxmlformats.org/officeDocument/2006/relationships/image" Target="media/image206.png"/><Relationship Id="rId206" Type="http://schemas.openxmlformats.org/officeDocument/2006/relationships/image" Target="media/image205.GIF"/><Relationship Id="rId205" Type="http://schemas.openxmlformats.org/officeDocument/2006/relationships/image" Target="media/image204.png"/><Relationship Id="rId204" Type="http://schemas.openxmlformats.org/officeDocument/2006/relationships/image" Target="media/image203.GIF"/><Relationship Id="rId203" Type="http://schemas.openxmlformats.org/officeDocument/2006/relationships/image" Target="NULL" TargetMode="External"/><Relationship Id="rId202" Type="http://schemas.openxmlformats.org/officeDocument/2006/relationships/image" Target="media/image202.GIF"/><Relationship Id="rId201" Type="http://schemas.openxmlformats.org/officeDocument/2006/relationships/image" Target="media/image201.GIF"/><Relationship Id="rId200" Type="http://schemas.openxmlformats.org/officeDocument/2006/relationships/image" Target="media/image200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9" Type="http://schemas.openxmlformats.org/officeDocument/2006/relationships/image" Target="media/image199.png"/><Relationship Id="rId198" Type="http://schemas.openxmlformats.org/officeDocument/2006/relationships/image" Target="media/image198.png"/><Relationship Id="rId197" Type="http://schemas.openxmlformats.org/officeDocument/2006/relationships/image" Target="media/image197.png"/><Relationship Id="rId196" Type="http://schemas.openxmlformats.org/officeDocument/2006/relationships/image" Target="media/image196.png"/><Relationship Id="rId195" Type="http://schemas.openxmlformats.org/officeDocument/2006/relationships/image" Target="media/image195.png"/><Relationship Id="rId194" Type="http://schemas.openxmlformats.org/officeDocument/2006/relationships/image" Target="media/image194.png"/><Relationship Id="rId193" Type="http://schemas.openxmlformats.org/officeDocument/2006/relationships/image" Target="media/image193.png"/><Relationship Id="rId192" Type="http://schemas.openxmlformats.org/officeDocument/2006/relationships/image" Target="media/image192.png"/><Relationship Id="rId191" Type="http://schemas.openxmlformats.org/officeDocument/2006/relationships/image" Target="media/image191.png"/><Relationship Id="rId190" Type="http://schemas.openxmlformats.org/officeDocument/2006/relationships/image" Target="media/image190.png"/><Relationship Id="rId19" Type="http://schemas.openxmlformats.org/officeDocument/2006/relationships/image" Target="media/image19.png"/><Relationship Id="rId189" Type="http://schemas.openxmlformats.org/officeDocument/2006/relationships/image" Target="media/image189.png"/><Relationship Id="rId188" Type="http://schemas.openxmlformats.org/officeDocument/2006/relationships/image" Target="media/image188.png"/><Relationship Id="rId187" Type="http://schemas.openxmlformats.org/officeDocument/2006/relationships/image" Target="media/image187.png"/><Relationship Id="rId186" Type="http://schemas.openxmlformats.org/officeDocument/2006/relationships/image" Target="media/image186.png"/><Relationship Id="rId185" Type="http://schemas.openxmlformats.org/officeDocument/2006/relationships/image" Target="media/image185.png"/><Relationship Id="rId184" Type="http://schemas.openxmlformats.org/officeDocument/2006/relationships/image" Target="media/image184.png"/><Relationship Id="rId183" Type="http://schemas.openxmlformats.org/officeDocument/2006/relationships/image" Target="media/image183.png"/><Relationship Id="rId182" Type="http://schemas.openxmlformats.org/officeDocument/2006/relationships/image" Target="media/image182.png"/><Relationship Id="rId181" Type="http://schemas.openxmlformats.org/officeDocument/2006/relationships/image" Target="media/image181.png"/><Relationship Id="rId180" Type="http://schemas.openxmlformats.org/officeDocument/2006/relationships/image" Target="media/image180.png"/><Relationship Id="rId18" Type="http://schemas.openxmlformats.org/officeDocument/2006/relationships/image" Target="media/image18.png"/><Relationship Id="rId179" Type="http://schemas.openxmlformats.org/officeDocument/2006/relationships/image" Target="media/image179.png"/><Relationship Id="rId178" Type="http://schemas.openxmlformats.org/officeDocument/2006/relationships/image" Target="media/image178.png"/><Relationship Id="rId177" Type="http://schemas.openxmlformats.org/officeDocument/2006/relationships/image" Target="media/image177.png"/><Relationship Id="rId176" Type="http://schemas.openxmlformats.org/officeDocument/2006/relationships/image" Target="media/image176.png"/><Relationship Id="rId175" Type="http://schemas.openxmlformats.org/officeDocument/2006/relationships/image" Target="media/image175.png"/><Relationship Id="rId174" Type="http://schemas.openxmlformats.org/officeDocument/2006/relationships/image" Target="media/image174.png"/><Relationship Id="rId173" Type="http://schemas.openxmlformats.org/officeDocument/2006/relationships/image" Target="media/image173.png"/><Relationship Id="rId172" Type="http://schemas.openxmlformats.org/officeDocument/2006/relationships/image" Target="media/image172.png"/><Relationship Id="rId171" Type="http://schemas.openxmlformats.org/officeDocument/2006/relationships/image" Target="media/image171.png"/><Relationship Id="rId170" Type="http://schemas.openxmlformats.org/officeDocument/2006/relationships/image" Target="media/image170.png"/><Relationship Id="rId17" Type="http://schemas.openxmlformats.org/officeDocument/2006/relationships/image" Target="media/image17.png"/><Relationship Id="rId169" Type="http://schemas.openxmlformats.org/officeDocument/2006/relationships/image" Target="media/image169.png"/><Relationship Id="rId168" Type="http://schemas.openxmlformats.org/officeDocument/2006/relationships/image" Target="media/image168.png"/><Relationship Id="rId167" Type="http://schemas.openxmlformats.org/officeDocument/2006/relationships/image" Target="media/image167.GIF"/><Relationship Id="rId166" Type="http://schemas.openxmlformats.org/officeDocument/2006/relationships/image" Target="media/image166.png"/><Relationship Id="rId165" Type="http://schemas.openxmlformats.org/officeDocument/2006/relationships/image" Target="media/image165.png"/><Relationship Id="rId164" Type="http://schemas.openxmlformats.org/officeDocument/2006/relationships/image" Target="media/image164.png"/><Relationship Id="rId163" Type="http://schemas.openxmlformats.org/officeDocument/2006/relationships/image" Target="media/image163.png"/><Relationship Id="rId162" Type="http://schemas.openxmlformats.org/officeDocument/2006/relationships/image" Target="media/image162.png"/><Relationship Id="rId161" Type="http://schemas.openxmlformats.org/officeDocument/2006/relationships/image" Target="media/image161.png"/><Relationship Id="rId160" Type="http://schemas.openxmlformats.org/officeDocument/2006/relationships/image" Target="media/image160.png"/><Relationship Id="rId16" Type="http://schemas.openxmlformats.org/officeDocument/2006/relationships/image" Target="media/image16.png"/><Relationship Id="rId159" Type="http://schemas.openxmlformats.org/officeDocument/2006/relationships/image" Target="media/image159.png"/><Relationship Id="rId158" Type="http://schemas.openxmlformats.org/officeDocument/2006/relationships/image" Target="media/image158.png"/><Relationship Id="rId157" Type="http://schemas.openxmlformats.org/officeDocument/2006/relationships/image" Target="media/image157.png"/><Relationship Id="rId156" Type="http://schemas.openxmlformats.org/officeDocument/2006/relationships/image" Target="media/image156.png"/><Relationship Id="rId155" Type="http://schemas.openxmlformats.org/officeDocument/2006/relationships/image" Target="media/image155.png"/><Relationship Id="rId154" Type="http://schemas.openxmlformats.org/officeDocument/2006/relationships/image" Target="media/image154.png"/><Relationship Id="rId153" Type="http://schemas.openxmlformats.org/officeDocument/2006/relationships/image" Target="media/image153.png"/><Relationship Id="rId152" Type="http://schemas.openxmlformats.org/officeDocument/2006/relationships/image" Target="media/image152.png"/><Relationship Id="rId151" Type="http://schemas.openxmlformats.org/officeDocument/2006/relationships/image" Target="media/image151.png"/><Relationship Id="rId150" Type="http://schemas.openxmlformats.org/officeDocument/2006/relationships/image" Target="media/image150.png"/><Relationship Id="rId15" Type="http://schemas.openxmlformats.org/officeDocument/2006/relationships/image" Target="media/image15.png"/><Relationship Id="rId149" Type="http://schemas.openxmlformats.org/officeDocument/2006/relationships/image" Target="media/image149.png"/><Relationship Id="rId148" Type="http://schemas.openxmlformats.org/officeDocument/2006/relationships/image" Target="media/image148.png"/><Relationship Id="rId147" Type="http://schemas.openxmlformats.org/officeDocument/2006/relationships/image" Target="media/image147.png"/><Relationship Id="rId146" Type="http://schemas.openxmlformats.org/officeDocument/2006/relationships/image" Target="media/image146.png"/><Relationship Id="rId145" Type="http://schemas.openxmlformats.org/officeDocument/2006/relationships/image" Target="media/image145.png"/><Relationship Id="rId144" Type="http://schemas.openxmlformats.org/officeDocument/2006/relationships/image" Target="media/image144.png"/><Relationship Id="rId143" Type="http://schemas.openxmlformats.org/officeDocument/2006/relationships/image" Target="media/image143.png"/><Relationship Id="rId142" Type="http://schemas.openxmlformats.org/officeDocument/2006/relationships/image" Target="media/image142.png"/><Relationship Id="rId141" Type="http://schemas.openxmlformats.org/officeDocument/2006/relationships/image" Target="media/image141.png"/><Relationship Id="rId140" Type="http://schemas.openxmlformats.org/officeDocument/2006/relationships/image" Target="media/image140.png"/><Relationship Id="rId14" Type="http://schemas.openxmlformats.org/officeDocument/2006/relationships/image" Target="media/image14.png"/><Relationship Id="rId139" Type="http://schemas.openxmlformats.org/officeDocument/2006/relationships/image" Target="media/image139.png"/><Relationship Id="rId138" Type="http://schemas.openxmlformats.org/officeDocument/2006/relationships/image" Target="media/image138.png"/><Relationship Id="rId137" Type="http://schemas.openxmlformats.org/officeDocument/2006/relationships/image" Target="media/image137.png"/><Relationship Id="rId136" Type="http://schemas.openxmlformats.org/officeDocument/2006/relationships/image" Target="media/image136.png"/><Relationship Id="rId135" Type="http://schemas.openxmlformats.org/officeDocument/2006/relationships/image" Target="media/image135.png"/><Relationship Id="rId134" Type="http://schemas.openxmlformats.org/officeDocument/2006/relationships/image" Target="media/image134.png"/><Relationship Id="rId133" Type="http://schemas.openxmlformats.org/officeDocument/2006/relationships/image" Target="media/image133.png"/><Relationship Id="rId132" Type="http://schemas.openxmlformats.org/officeDocument/2006/relationships/image" Target="media/image132.png"/><Relationship Id="rId131" Type="http://schemas.openxmlformats.org/officeDocument/2006/relationships/image" Target="media/image131.png"/><Relationship Id="rId130" Type="http://schemas.openxmlformats.org/officeDocument/2006/relationships/image" Target="media/image130.png"/><Relationship Id="rId13" Type="http://schemas.openxmlformats.org/officeDocument/2006/relationships/image" Target="media/image13.png"/><Relationship Id="rId129" Type="http://schemas.openxmlformats.org/officeDocument/2006/relationships/image" Target="media/image129.png"/><Relationship Id="rId128" Type="http://schemas.openxmlformats.org/officeDocument/2006/relationships/image" Target="media/image128.png"/><Relationship Id="rId127" Type="http://schemas.openxmlformats.org/officeDocument/2006/relationships/image" Target="media/image127.png"/><Relationship Id="rId126" Type="http://schemas.openxmlformats.org/officeDocument/2006/relationships/image" Target="media/image126.png"/><Relationship Id="rId125" Type="http://schemas.openxmlformats.org/officeDocument/2006/relationships/image" Target="media/image125.png"/><Relationship Id="rId124" Type="http://schemas.openxmlformats.org/officeDocument/2006/relationships/image" Target="media/image124.png"/><Relationship Id="rId123" Type="http://schemas.openxmlformats.org/officeDocument/2006/relationships/image" Target="media/image123.png"/><Relationship Id="rId122" Type="http://schemas.openxmlformats.org/officeDocument/2006/relationships/image" Target="media/image122.png"/><Relationship Id="rId121" Type="http://schemas.openxmlformats.org/officeDocument/2006/relationships/image" Target="media/image121.png"/><Relationship Id="rId120" Type="http://schemas.openxmlformats.org/officeDocument/2006/relationships/image" Target="media/image120.png"/><Relationship Id="rId12" Type="http://schemas.openxmlformats.org/officeDocument/2006/relationships/image" Target="media/image12.png"/><Relationship Id="rId119" Type="http://schemas.openxmlformats.org/officeDocument/2006/relationships/image" Target="media/image119.png"/><Relationship Id="rId118" Type="http://schemas.openxmlformats.org/officeDocument/2006/relationships/image" Target="media/image118.png"/><Relationship Id="rId117" Type="http://schemas.openxmlformats.org/officeDocument/2006/relationships/image" Target="media/image117.png"/><Relationship Id="rId116" Type="http://schemas.openxmlformats.org/officeDocument/2006/relationships/image" Target="media/image116.png"/><Relationship Id="rId115" Type="http://schemas.openxmlformats.org/officeDocument/2006/relationships/image" Target="media/image115.png"/><Relationship Id="rId114" Type="http://schemas.openxmlformats.org/officeDocument/2006/relationships/image" Target="media/image114.png"/><Relationship Id="rId113" Type="http://schemas.openxmlformats.org/officeDocument/2006/relationships/image" Target="media/image113.png"/><Relationship Id="rId112" Type="http://schemas.openxmlformats.org/officeDocument/2006/relationships/image" Target="media/image112.png"/><Relationship Id="rId111" Type="http://schemas.openxmlformats.org/officeDocument/2006/relationships/image" Target="media/image111.png"/><Relationship Id="rId110" Type="http://schemas.openxmlformats.org/officeDocument/2006/relationships/image" Target="media/image110.png"/><Relationship Id="rId11" Type="http://schemas.openxmlformats.org/officeDocument/2006/relationships/image" Target="media/image11.png"/><Relationship Id="rId109" Type="http://schemas.openxmlformats.org/officeDocument/2006/relationships/image" Target="media/image109.png"/><Relationship Id="rId108" Type="http://schemas.openxmlformats.org/officeDocument/2006/relationships/image" Target="media/image108.png"/><Relationship Id="rId107" Type="http://schemas.openxmlformats.org/officeDocument/2006/relationships/image" Target="media/image107.png"/><Relationship Id="rId106" Type="http://schemas.openxmlformats.org/officeDocument/2006/relationships/image" Target="media/image106.png"/><Relationship Id="rId105" Type="http://schemas.openxmlformats.org/officeDocument/2006/relationships/image" Target="media/image105.png"/><Relationship Id="rId104" Type="http://schemas.openxmlformats.org/officeDocument/2006/relationships/image" Target="media/image104.png"/><Relationship Id="rId103" Type="http://schemas.openxmlformats.org/officeDocument/2006/relationships/image" Target="media/image103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7"/>
  <sheetViews>
    <sheetView tabSelected="1" zoomScale="60" zoomScaleNormal="60" topLeftCell="B1" workbookViewId="0">
      <pane ySplit="1" topLeftCell="A39" activePane="bottomLeft" state="frozen"/>
      <selection/>
      <selection pane="bottomLeft" activeCell="P39" sqref="P39"/>
    </sheetView>
  </sheetViews>
  <sheetFormatPr defaultColWidth="9" defaultRowHeight="14.4"/>
  <cols>
    <col min="1" max="1" width="13" style="2" customWidth="1"/>
    <col min="2" max="2" width="52.4444444444444" style="3" customWidth="1"/>
    <col min="3" max="3" width="37.7777777777778" customWidth="1"/>
    <col min="4" max="4" width="24.2222222222222" customWidth="1"/>
    <col min="5" max="5" width="14.1111111111111" style="2" customWidth="1"/>
    <col min="6" max="6" width="21.6759259259259" customWidth="1"/>
    <col min="7" max="7" width="52.4444444444444" customWidth="1"/>
    <col min="8" max="8" width="16.4444444444444" style="2" customWidth="1"/>
    <col min="9" max="9" width="48.5555555555556" style="4" customWidth="1"/>
    <col min="10" max="10" width="20.8888888888889" customWidth="1"/>
    <col min="11" max="11" width="10.0740740740741" style="2" customWidth="1"/>
    <col min="12" max="12" width="9.26851851851852" style="2" customWidth="1"/>
    <col min="13" max="13" width="5.60185185185185" style="2" customWidth="1"/>
    <col min="14" max="14" width="11.8425925925926" customWidth="1"/>
    <col min="15" max="15" width="9.66666666666667" style="5" customWidth="1"/>
  </cols>
  <sheetData>
    <row r="1" spans="1:15">
      <c r="A1" s="2" t="s">
        <v>0</v>
      </c>
      <c r="B1" s="3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s="4" t="s">
        <v>8</v>
      </c>
      <c r="J1" t="s">
        <v>9</v>
      </c>
      <c r="K1" s="2" t="s">
        <v>10</v>
      </c>
      <c r="L1" s="2" t="s">
        <v>11</v>
      </c>
      <c r="M1" s="2" t="s">
        <v>12</v>
      </c>
      <c r="N1" t="s">
        <v>13</v>
      </c>
      <c r="O1" s="5" t="s">
        <v>14</v>
      </c>
    </row>
    <row r="2" ht="65.15" spans="1:13">
      <c r="A2" s="2" t="s">
        <v>15</v>
      </c>
      <c r="B2" s="3" t="s">
        <v>16</v>
      </c>
      <c r="C2" t="s">
        <v>17</v>
      </c>
      <c r="D2" t="s">
        <v>18</v>
      </c>
      <c r="E2" s="2">
        <v>98.08</v>
      </c>
      <c r="F2" t="str">
        <f>_xlfn.DISPIMG("ID_608C9934B109333E5DF11462EE504499",1)</f>
        <v>=DISPIMG("ID_608C9934B109333E5DF11462EE504499",1)</v>
      </c>
      <c r="G2" t="s">
        <v>19</v>
      </c>
      <c r="H2" s="6" t="s">
        <v>20</v>
      </c>
      <c r="I2" s="10" t="s">
        <v>21</v>
      </c>
      <c r="K2" s="2" t="s">
        <v>22</v>
      </c>
      <c r="L2" s="2">
        <v>500</v>
      </c>
      <c r="M2" s="2">
        <v>1</v>
      </c>
    </row>
    <row r="3" ht="38.8" spans="1:13">
      <c r="A3" s="2" t="s">
        <v>15</v>
      </c>
      <c r="B3" s="3" t="s">
        <v>16</v>
      </c>
      <c r="C3" t="s">
        <v>17</v>
      </c>
      <c r="D3" t="s">
        <v>18</v>
      </c>
      <c r="E3" s="2">
        <v>98.08</v>
      </c>
      <c r="F3" t="str">
        <f>_xlfn.DISPIMG("ID_3F162F8FE93217D062F114628162A570",1)</f>
        <v>=DISPIMG("ID_3F162F8FE93217D062F114628162A570",1)</v>
      </c>
      <c r="G3" t="s">
        <v>19</v>
      </c>
      <c r="H3" s="6" t="s">
        <v>20</v>
      </c>
      <c r="I3" s="10" t="s">
        <v>21</v>
      </c>
      <c r="K3" s="2" t="s">
        <v>23</v>
      </c>
      <c r="L3" s="2">
        <v>1000</v>
      </c>
      <c r="M3" s="2">
        <v>1</v>
      </c>
    </row>
    <row r="4" spans="1:13">
      <c r="A4" s="2" t="s">
        <v>24</v>
      </c>
      <c r="B4" s="3" t="s">
        <v>25</v>
      </c>
      <c r="C4" t="s">
        <v>26</v>
      </c>
      <c r="D4" t="s">
        <v>27</v>
      </c>
      <c r="E4" s="2">
        <v>36.46</v>
      </c>
      <c r="G4" t="s">
        <v>19</v>
      </c>
      <c r="H4" s="2" t="s">
        <v>28</v>
      </c>
      <c r="I4" s="10" t="s">
        <v>21</v>
      </c>
      <c r="J4" t="s">
        <v>29</v>
      </c>
      <c r="K4" s="2" t="s">
        <v>23</v>
      </c>
      <c r="L4" s="2">
        <v>500</v>
      </c>
      <c r="M4" s="11">
        <v>0</v>
      </c>
    </row>
    <row r="5" spans="1:13">
      <c r="A5" s="2" t="s">
        <v>30</v>
      </c>
      <c r="B5" s="3" t="s">
        <v>31</v>
      </c>
      <c r="C5" t="s">
        <v>32</v>
      </c>
      <c r="D5" t="s">
        <v>33</v>
      </c>
      <c r="E5" s="2">
        <v>80.91</v>
      </c>
      <c r="G5" t="s">
        <v>19</v>
      </c>
      <c r="H5" s="2" t="s">
        <v>28</v>
      </c>
      <c r="I5" s="10" t="s">
        <v>34</v>
      </c>
      <c r="K5" s="2" t="s">
        <v>35</v>
      </c>
      <c r="L5" s="2">
        <v>500</v>
      </c>
      <c r="M5" s="12">
        <v>0</v>
      </c>
    </row>
    <row r="6" ht="45.15" spans="1:13">
      <c r="A6" s="2" t="s">
        <v>36</v>
      </c>
      <c r="B6" s="3" t="s">
        <v>37</v>
      </c>
      <c r="C6" t="s">
        <v>38</v>
      </c>
      <c r="D6" t="s">
        <v>39</v>
      </c>
      <c r="E6" s="2">
        <v>63.01</v>
      </c>
      <c r="F6" t="str">
        <f>_xlfn.DISPIMG("ID_5487138B49F3076F68F11462159E441F",1)</f>
        <v>=DISPIMG("ID_5487138B49F3076F68F11462159E441F",1)</v>
      </c>
      <c r="G6" t="s">
        <v>19</v>
      </c>
      <c r="H6" s="2" t="s">
        <v>40</v>
      </c>
      <c r="I6" s="10" t="s">
        <v>41</v>
      </c>
      <c r="K6" s="2" t="s">
        <v>42</v>
      </c>
      <c r="L6" s="2">
        <v>500</v>
      </c>
      <c r="M6" s="2">
        <v>1</v>
      </c>
    </row>
    <row r="7" ht="38.9" spans="1:13">
      <c r="A7" s="2" t="s">
        <v>43</v>
      </c>
      <c r="B7" s="3" t="s">
        <v>44</v>
      </c>
      <c r="C7" t="s">
        <v>45</v>
      </c>
      <c r="D7" t="s">
        <v>46</v>
      </c>
      <c r="E7" s="7">
        <v>98</v>
      </c>
      <c r="F7" t="str">
        <f>_xlfn.DISPIMG("ID_C780A28AFA3C43C76FF1146201EBD337",1)</f>
        <v>=DISPIMG("ID_C780A28AFA3C43C76FF1146201EBD337",1)</v>
      </c>
      <c r="G7" t="s">
        <v>19</v>
      </c>
      <c r="H7" s="6" t="s">
        <v>20</v>
      </c>
      <c r="J7" t="s">
        <v>47</v>
      </c>
      <c r="K7" s="2" t="s">
        <v>48</v>
      </c>
      <c r="L7" s="2">
        <v>500</v>
      </c>
      <c r="M7" s="2">
        <v>1</v>
      </c>
    </row>
    <row r="8" ht="86.75" spans="1:13">
      <c r="A8" s="2" t="s">
        <v>49</v>
      </c>
      <c r="B8" s="3" t="s">
        <v>50</v>
      </c>
      <c r="C8" t="s">
        <v>51</v>
      </c>
      <c r="D8" t="s">
        <v>52</v>
      </c>
      <c r="E8" s="2">
        <v>61.83</v>
      </c>
      <c r="F8" t="str">
        <f>_xlfn.DISPIMG("ID_B217B69E4CEDFF0F73F11462262675B7",1)</f>
        <v>=DISPIMG("ID_B217B69E4CEDFF0F73F11462262675B7",1)</v>
      </c>
      <c r="G8" t="s">
        <v>19</v>
      </c>
      <c r="H8" s="6" t="s">
        <v>53</v>
      </c>
      <c r="J8" t="s">
        <v>47</v>
      </c>
      <c r="K8" s="2" t="s">
        <v>54</v>
      </c>
      <c r="L8" s="2">
        <v>500</v>
      </c>
      <c r="M8" s="2">
        <v>1</v>
      </c>
    </row>
    <row r="9" ht="57.5" spans="1:13">
      <c r="A9" s="2" t="s">
        <v>55</v>
      </c>
      <c r="B9" s="3" t="s">
        <v>56</v>
      </c>
      <c r="C9" t="s">
        <v>57</v>
      </c>
      <c r="D9" t="s">
        <v>58</v>
      </c>
      <c r="E9" s="2">
        <v>210.14</v>
      </c>
      <c r="F9" t="str">
        <f>_xlfn.DISPIMG("ID_BFD5E267D17E35537BF114627C25F129",1)</f>
        <v>=DISPIMG("ID_BFD5E267D17E35537BF114627C25F129",1)</v>
      </c>
      <c r="G9" t="s">
        <v>19</v>
      </c>
      <c r="H9" s="6" t="s">
        <v>59</v>
      </c>
      <c r="J9" t="s">
        <v>60</v>
      </c>
      <c r="K9" s="2" t="s">
        <v>54</v>
      </c>
      <c r="L9" s="2">
        <v>500</v>
      </c>
      <c r="M9" s="2">
        <v>1</v>
      </c>
    </row>
    <row r="10" ht="171.5" spans="1:13">
      <c r="A10" s="2" t="s">
        <v>61</v>
      </c>
      <c r="B10" s="3" t="s">
        <v>62</v>
      </c>
      <c r="C10" t="s">
        <v>63</v>
      </c>
      <c r="D10" t="s">
        <v>64</v>
      </c>
      <c r="E10" s="2">
        <v>126.07</v>
      </c>
      <c r="F10" t="str">
        <f>_xlfn.DISPIMG("ID_4B96D85A20953B6882F1146263C13905",1)</f>
        <v>=DISPIMG("ID_4B96D85A20953B6882F1146263C13905",1)</v>
      </c>
      <c r="G10" t="s">
        <v>19</v>
      </c>
      <c r="H10" s="2" t="s">
        <v>28</v>
      </c>
      <c r="J10" t="s">
        <v>47</v>
      </c>
      <c r="K10" s="2" t="s">
        <v>54</v>
      </c>
      <c r="L10" s="2">
        <v>500</v>
      </c>
      <c r="M10" s="2">
        <v>1</v>
      </c>
    </row>
    <row r="11" ht="35" spans="1:13">
      <c r="A11" s="2" t="s">
        <v>65</v>
      </c>
      <c r="B11" s="3" t="s">
        <v>66</v>
      </c>
      <c r="C11" t="s">
        <v>67</v>
      </c>
      <c r="D11" t="s">
        <v>68</v>
      </c>
      <c r="E11" s="2">
        <v>60.05</v>
      </c>
      <c r="F11" t="str">
        <f>_xlfn.DISPIMG("ID_2486F9AE0FB98C2EFCC715620E72969C",1)</f>
        <v>=DISPIMG("ID_2486F9AE0FB98C2EFCC715620E72969C",1)</v>
      </c>
      <c r="G11" t="s">
        <v>19</v>
      </c>
      <c r="H11" s="2" t="s">
        <v>69</v>
      </c>
      <c r="I11" s="10" t="s">
        <v>70</v>
      </c>
      <c r="J11" t="s">
        <v>47</v>
      </c>
      <c r="K11" s="2" t="s">
        <v>54</v>
      </c>
      <c r="L11" s="2">
        <v>500</v>
      </c>
      <c r="M11" s="2">
        <v>1</v>
      </c>
    </row>
    <row r="12" ht="30.5" spans="1:13">
      <c r="A12" s="2" t="s">
        <v>71</v>
      </c>
      <c r="B12" s="3" t="s">
        <v>72</v>
      </c>
      <c r="C12" t="s">
        <v>73</v>
      </c>
      <c r="D12" t="s">
        <v>74</v>
      </c>
      <c r="E12" s="2">
        <v>75.07</v>
      </c>
      <c r="F12" t="str">
        <f>_xlfn.DISPIMG("ID_242DB106AE5863348DF114620D054991",1)</f>
        <v>=DISPIMG("ID_242DB106AE5863348DF114620D054991",1)</v>
      </c>
      <c r="G12" t="s">
        <v>19</v>
      </c>
      <c r="H12" s="2" t="s">
        <v>75</v>
      </c>
      <c r="J12" t="s">
        <v>47</v>
      </c>
      <c r="K12" s="2" t="s">
        <v>76</v>
      </c>
      <c r="L12" s="2">
        <v>100</v>
      </c>
      <c r="M12" s="2">
        <v>1</v>
      </c>
    </row>
    <row r="13" ht="30.5" spans="1:13">
      <c r="A13" s="2" t="s">
        <v>71</v>
      </c>
      <c r="B13" s="3" t="s">
        <v>72</v>
      </c>
      <c r="C13" t="s">
        <v>73</v>
      </c>
      <c r="D13" t="s">
        <v>74</v>
      </c>
      <c r="E13" s="2">
        <v>75.07</v>
      </c>
      <c r="F13" t="str">
        <f>_xlfn.DISPIMG("ID_242DB106AE5863348DF114620D054991",1)</f>
        <v>=DISPIMG("ID_242DB106AE5863348DF114620D054991",1)</v>
      </c>
      <c r="G13" t="s">
        <v>19</v>
      </c>
      <c r="H13" s="2" t="s">
        <v>75</v>
      </c>
      <c r="J13" t="s">
        <v>77</v>
      </c>
      <c r="K13" s="2" t="s">
        <v>76</v>
      </c>
      <c r="L13" s="2">
        <v>250</v>
      </c>
      <c r="M13" s="11">
        <v>0</v>
      </c>
    </row>
    <row r="14" ht="39.35" spans="1:13">
      <c r="A14" s="2" t="s">
        <v>78</v>
      </c>
      <c r="B14" s="3" t="s">
        <v>79</v>
      </c>
      <c r="C14" t="s">
        <v>80</v>
      </c>
      <c r="D14" t="s">
        <v>81</v>
      </c>
      <c r="E14" s="2">
        <v>176.09</v>
      </c>
      <c r="F14" t="str">
        <f>_xlfn.DISPIMG("ID_BB1ADCABE482BB2494F11462094831B2",1)</f>
        <v>=DISPIMG("ID_BB1ADCABE482BB2494F11462094831B2",1)</v>
      </c>
      <c r="G14" t="s">
        <v>19</v>
      </c>
      <c r="H14" s="2" t="s">
        <v>75</v>
      </c>
      <c r="J14" t="s">
        <v>47</v>
      </c>
      <c r="K14" s="2" t="s">
        <v>82</v>
      </c>
      <c r="L14" s="2">
        <v>25</v>
      </c>
      <c r="M14" s="2">
        <v>1</v>
      </c>
    </row>
    <row r="15" ht="39.35" spans="1:13">
      <c r="A15" s="2" t="s">
        <v>78</v>
      </c>
      <c r="B15" s="3" t="s">
        <v>79</v>
      </c>
      <c r="C15" t="s">
        <v>80</v>
      </c>
      <c r="D15" t="s">
        <v>81</v>
      </c>
      <c r="E15" s="2">
        <v>176.09</v>
      </c>
      <c r="F15" t="str">
        <f>_xlfn.DISPIMG("ID_79E79004936245329AF11462272753D4",1)</f>
        <v>=DISPIMG("ID_79E79004936245329AF11462272753D4",1)</v>
      </c>
      <c r="G15" t="s">
        <v>19</v>
      </c>
      <c r="H15" s="2" t="s">
        <v>75</v>
      </c>
      <c r="J15" t="s">
        <v>83</v>
      </c>
      <c r="K15" s="2" t="s">
        <v>82</v>
      </c>
      <c r="L15" s="2">
        <v>100</v>
      </c>
      <c r="M15" s="2">
        <v>1</v>
      </c>
    </row>
    <row r="16" ht="38.85" spans="1:13">
      <c r="A16" s="2" t="s">
        <v>84</v>
      </c>
      <c r="B16" s="3" t="s">
        <v>85</v>
      </c>
      <c r="C16" t="s">
        <v>86</v>
      </c>
      <c r="D16" t="s">
        <v>87</v>
      </c>
      <c r="E16" s="2">
        <v>292.24</v>
      </c>
      <c r="F16" t="str">
        <f>_xlfn.DISPIMG("ID_B68025656BC912C0A1F11462942FDFAA",1)</f>
        <v>=DISPIMG("ID_B68025656BC912C0A1F11462942FDFAA",1)</v>
      </c>
      <c r="G16" t="s">
        <v>19</v>
      </c>
      <c r="H16" s="2" t="s">
        <v>75</v>
      </c>
      <c r="J16" t="s">
        <v>47</v>
      </c>
      <c r="K16" s="2" t="s">
        <v>54</v>
      </c>
      <c r="L16" s="2">
        <v>250</v>
      </c>
      <c r="M16" s="2">
        <v>1</v>
      </c>
    </row>
    <row r="17" ht="56.55" spans="1:13">
      <c r="A17" s="2" t="s">
        <v>88</v>
      </c>
      <c r="B17" s="3" t="s">
        <v>89</v>
      </c>
      <c r="C17" t="s">
        <v>90</v>
      </c>
      <c r="D17" t="s">
        <v>91</v>
      </c>
      <c r="E17" s="8">
        <v>122.12</v>
      </c>
      <c r="F17" t="str">
        <f>_xlfn.DISPIMG("ID_ECD7FC7E72B8C895F4E22062C670D4B7",1)</f>
        <v>=DISPIMG("ID_ECD7FC7E72B8C895F4E22062C670D4B7",1)</v>
      </c>
      <c r="G17" t="s">
        <v>92</v>
      </c>
      <c r="H17" s="2" t="s">
        <v>93</v>
      </c>
      <c r="J17" t="s">
        <v>47</v>
      </c>
      <c r="K17" s="2" t="s">
        <v>54</v>
      </c>
      <c r="L17" s="2">
        <v>250</v>
      </c>
      <c r="M17" s="2">
        <v>1</v>
      </c>
    </row>
    <row r="18" ht="38.75" spans="1:13">
      <c r="A18" s="2" t="s">
        <v>94</v>
      </c>
      <c r="B18" s="3" t="s">
        <v>95</v>
      </c>
      <c r="C18" t="s">
        <v>96</v>
      </c>
      <c r="D18" t="s">
        <v>97</v>
      </c>
      <c r="E18" s="2">
        <v>152.15</v>
      </c>
      <c r="F18" t="str">
        <f>_xlfn.DISPIMG("ID_D7FB772FC8646661A6F114626B568894",1)</f>
        <v>=DISPIMG("ID_D7FB772FC8646661A6F114626B568894",1)</v>
      </c>
      <c r="G18" t="s">
        <v>98</v>
      </c>
      <c r="H18" s="2" t="s">
        <v>75</v>
      </c>
      <c r="J18" t="s">
        <v>99</v>
      </c>
      <c r="K18" s="2" t="s">
        <v>100</v>
      </c>
      <c r="L18" s="2">
        <v>25</v>
      </c>
      <c r="M18" s="2">
        <v>1</v>
      </c>
    </row>
    <row r="19" ht="48.55" spans="1:14">
      <c r="A19" s="2" t="s">
        <v>101</v>
      </c>
      <c r="B19" s="3" t="s">
        <v>102</v>
      </c>
      <c r="C19" t="s">
        <v>103</v>
      </c>
      <c r="D19" t="s">
        <v>104</v>
      </c>
      <c r="E19" s="2">
        <v>138.12</v>
      </c>
      <c r="F19" t="str">
        <f>_xlfn.DISPIMG("ID_888E4EAF479B897CC0471E6224DC6658",1)</f>
        <v>=DISPIMG("ID_888E4EAF479B897CC0471E6224DC6658",1)</v>
      </c>
      <c r="G19" t="s">
        <v>105</v>
      </c>
      <c r="H19" s="2" t="s">
        <v>75</v>
      </c>
      <c r="J19" t="s">
        <v>47</v>
      </c>
      <c r="K19" s="2" t="s">
        <v>54</v>
      </c>
      <c r="L19" s="2">
        <v>250</v>
      </c>
      <c r="M19" s="11">
        <v>0</v>
      </c>
      <c r="N19" t="s">
        <v>106</v>
      </c>
    </row>
    <row r="20" ht="26.85" spans="1:13">
      <c r="A20" s="2" t="s">
        <v>107</v>
      </c>
      <c r="B20" s="3" t="s">
        <v>108</v>
      </c>
      <c r="C20" t="s">
        <v>109</v>
      </c>
      <c r="D20" t="s">
        <v>110</v>
      </c>
      <c r="E20" s="2">
        <v>136.15</v>
      </c>
      <c r="F20" t="str">
        <f>_xlfn.DISPIMG("ID_28C59DD0609EA13A0FC54E628E08428F",1)</f>
        <v>=DISPIMG("ID_28C59DD0609EA13A0FC54E628E08428F",1)</v>
      </c>
      <c r="G20" t="s">
        <v>111</v>
      </c>
      <c r="H20" s="2" t="s">
        <v>59</v>
      </c>
      <c r="I20" s="4" t="s">
        <v>112</v>
      </c>
      <c r="L20" s="2">
        <v>5</v>
      </c>
      <c r="M20" s="11">
        <v>0</v>
      </c>
    </row>
    <row r="21" spans="1:13">
      <c r="A21" s="2" t="s">
        <v>113</v>
      </c>
      <c r="B21" s="3" t="s">
        <v>114</v>
      </c>
      <c r="C21" t="s">
        <v>115</v>
      </c>
      <c r="D21" t="s">
        <v>116</v>
      </c>
      <c r="E21" s="7">
        <v>40</v>
      </c>
      <c r="G21" t="s">
        <v>117</v>
      </c>
      <c r="H21" s="6" t="s">
        <v>20</v>
      </c>
      <c r="I21" s="10" t="s">
        <v>34</v>
      </c>
      <c r="J21" t="s">
        <v>47</v>
      </c>
      <c r="K21" s="2" t="s">
        <v>118</v>
      </c>
      <c r="L21" s="2">
        <v>500</v>
      </c>
      <c r="M21" s="2">
        <v>1</v>
      </c>
    </row>
    <row r="22" spans="1:13">
      <c r="A22" s="2" t="s">
        <v>119</v>
      </c>
      <c r="B22" s="3" t="s">
        <v>120</v>
      </c>
      <c r="C22" t="s">
        <v>121</v>
      </c>
      <c r="D22" t="s">
        <v>122</v>
      </c>
      <c r="E22" s="2">
        <v>56.11</v>
      </c>
      <c r="G22" t="s">
        <v>117</v>
      </c>
      <c r="H22" s="2" t="s">
        <v>28</v>
      </c>
      <c r="I22" s="10" t="s">
        <v>34</v>
      </c>
      <c r="J22" t="s">
        <v>47</v>
      </c>
      <c r="K22" s="2" t="s">
        <v>48</v>
      </c>
      <c r="L22" s="2">
        <v>500</v>
      </c>
      <c r="M22" s="2">
        <v>1</v>
      </c>
    </row>
    <row r="23" ht="33.8" spans="1:15">
      <c r="A23" s="2" t="s">
        <v>123</v>
      </c>
      <c r="B23" s="3" t="s">
        <v>124</v>
      </c>
      <c r="C23" t="s">
        <v>125</v>
      </c>
      <c r="D23" t="s">
        <v>126</v>
      </c>
      <c r="E23" s="2">
        <v>167.93</v>
      </c>
      <c r="F23" t="str">
        <f>_xlfn.DISPIMG("ID_EC9597F925C367E0AAF11462AD38F129",1)</f>
        <v>=DISPIMG("ID_EC9597F925C367E0AAF11462AD38F129",1)</v>
      </c>
      <c r="G23" t="s">
        <v>117</v>
      </c>
      <c r="H23" s="2" t="s">
        <v>127</v>
      </c>
      <c r="J23" t="s">
        <v>128</v>
      </c>
      <c r="K23" s="2" t="s">
        <v>129</v>
      </c>
      <c r="L23" s="2">
        <v>10</v>
      </c>
      <c r="M23" s="2">
        <v>1</v>
      </c>
      <c r="N23" t="s">
        <v>130</v>
      </c>
      <c r="O23" s="5">
        <v>1</v>
      </c>
    </row>
    <row r="24" spans="1:13">
      <c r="A24" s="2" t="s">
        <v>131</v>
      </c>
      <c r="B24" s="3" t="s">
        <v>132</v>
      </c>
      <c r="C24" t="s">
        <v>133</v>
      </c>
      <c r="D24" t="s">
        <v>134</v>
      </c>
      <c r="E24" s="2">
        <v>74.09</v>
      </c>
      <c r="G24" t="s">
        <v>117</v>
      </c>
      <c r="H24" s="2" t="s">
        <v>75</v>
      </c>
      <c r="J24" t="s">
        <v>47</v>
      </c>
      <c r="K24" s="2" t="s">
        <v>129</v>
      </c>
      <c r="L24" s="2">
        <v>500</v>
      </c>
      <c r="M24" s="2">
        <v>1</v>
      </c>
    </row>
    <row r="25" ht="28.4" spans="1:13">
      <c r="A25" s="2" t="s">
        <v>135</v>
      </c>
      <c r="B25" s="3" t="s">
        <v>136</v>
      </c>
      <c r="C25" t="s">
        <v>137</v>
      </c>
      <c r="D25" t="s">
        <v>138</v>
      </c>
      <c r="E25" s="2">
        <v>315.46</v>
      </c>
      <c r="F25" t="str">
        <f>_xlfn.DISPIMG("ID_6D9E6412774AC14B93246462C955DFF9",1)</f>
        <v>=DISPIMG("ID_6D9E6412774AC14B93246462C955DFF9",1)</v>
      </c>
      <c r="G25" t="s">
        <v>117</v>
      </c>
      <c r="H25" s="2" t="s">
        <v>28</v>
      </c>
      <c r="J25" t="s">
        <v>139</v>
      </c>
      <c r="K25" s="2" t="s">
        <v>22</v>
      </c>
      <c r="L25" s="2">
        <v>500</v>
      </c>
      <c r="M25" s="11">
        <v>0</v>
      </c>
    </row>
    <row r="26" ht="35.65" spans="1:13">
      <c r="A26" s="2" t="s">
        <v>140</v>
      </c>
      <c r="B26" s="3" t="s">
        <v>141</v>
      </c>
      <c r="C26" t="s">
        <v>142</v>
      </c>
      <c r="D26" t="s">
        <v>143</v>
      </c>
      <c r="E26" s="2" t="s">
        <v>144</v>
      </c>
      <c r="F26" t="str">
        <f>_xlfn.DISPIMG("ID_A58BB5397C19CBE4F3F41462B8829CBB",1)</f>
        <v>=DISPIMG("ID_A58BB5397C19CBE4F3F41462B8829CBB",1)</v>
      </c>
      <c r="G26" t="s">
        <v>145</v>
      </c>
      <c r="H26" s="2" t="s">
        <v>146</v>
      </c>
      <c r="I26" s="4" t="s">
        <v>147</v>
      </c>
      <c r="J26" t="s">
        <v>148</v>
      </c>
      <c r="K26" s="2" t="s">
        <v>149</v>
      </c>
      <c r="L26" s="2">
        <v>500</v>
      </c>
      <c r="M26" s="11">
        <v>0</v>
      </c>
    </row>
    <row r="27" spans="1:13">
      <c r="A27" s="2" t="s">
        <v>150</v>
      </c>
      <c r="B27" s="3" t="s">
        <v>151</v>
      </c>
      <c r="C27" t="s">
        <v>152</v>
      </c>
      <c r="D27" t="s">
        <v>153</v>
      </c>
      <c r="E27" s="2">
        <v>35.05</v>
      </c>
      <c r="G27" t="s">
        <v>117</v>
      </c>
      <c r="H27" s="2" t="s">
        <v>154</v>
      </c>
      <c r="L27" s="2">
        <v>500</v>
      </c>
      <c r="M27" s="2">
        <v>1</v>
      </c>
    </row>
    <row r="28" spans="1:13">
      <c r="A28" s="2" t="s">
        <v>155</v>
      </c>
      <c r="B28" s="3" t="s">
        <v>156</v>
      </c>
      <c r="C28" t="s">
        <v>157</v>
      </c>
      <c r="D28" t="s">
        <v>158</v>
      </c>
      <c r="E28" s="2">
        <v>41.99</v>
      </c>
      <c r="G28" t="s">
        <v>159</v>
      </c>
      <c r="H28" s="6" t="s">
        <v>160</v>
      </c>
      <c r="J28" t="s">
        <v>47</v>
      </c>
      <c r="K28" s="2" t="s">
        <v>22</v>
      </c>
      <c r="L28" s="2">
        <v>500</v>
      </c>
      <c r="M28" s="2">
        <v>1</v>
      </c>
    </row>
    <row r="29" ht="39.15" spans="1:13">
      <c r="A29" s="2" t="s">
        <v>161</v>
      </c>
      <c r="B29" s="3" t="s">
        <v>162</v>
      </c>
      <c r="C29" t="s">
        <v>163</v>
      </c>
      <c r="D29" t="s">
        <v>164</v>
      </c>
      <c r="E29" s="2">
        <v>94.13</v>
      </c>
      <c r="F29" t="str">
        <f>_xlfn.DISPIMG("ID_4FCDC8303C6CD38CD6F11462BB028414",1)</f>
        <v>=DISPIMG("ID_4FCDC8303C6CD38CD6F11462BB028414",1)</v>
      </c>
      <c r="G29" t="s">
        <v>165</v>
      </c>
      <c r="H29" s="6" t="s">
        <v>160</v>
      </c>
      <c r="J29" t="s">
        <v>47</v>
      </c>
      <c r="K29" s="2" t="s">
        <v>166</v>
      </c>
      <c r="L29" s="2">
        <v>500</v>
      </c>
      <c r="M29" s="2">
        <v>1</v>
      </c>
    </row>
    <row r="30" spans="1:13">
      <c r="A30" s="2" t="s">
        <v>167</v>
      </c>
      <c r="B30" s="3" t="s">
        <v>168</v>
      </c>
      <c r="C30" t="s">
        <v>169</v>
      </c>
      <c r="D30" t="s">
        <v>170</v>
      </c>
      <c r="E30" s="2">
        <v>37.04</v>
      </c>
      <c r="G30" t="s">
        <v>171</v>
      </c>
      <c r="H30" s="2" t="s">
        <v>172</v>
      </c>
      <c r="J30" t="s">
        <v>47</v>
      </c>
      <c r="K30" s="2" t="s">
        <v>118</v>
      </c>
      <c r="L30" s="2">
        <v>250</v>
      </c>
      <c r="M30" s="2">
        <v>1</v>
      </c>
    </row>
    <row r="31" spans="1:13">
      <c r="A31" s="2" t="s">
        <v>173</v>
      </c>
      <c r="B31" s="3" t="s">
        <v>174</v>
      </c>
      <c r="C31" t="s">
        <v>175</v>
      </c>
      <c r="D31" t="s">
        <v>176</v>
      </c>
      <c r="E31" s="2">
        <v>42.39</v>
      </c>
      <c r="G31" t="s">
        <v>177</v>
      </c>
      <c r="H31" s="6" t="s">
        <v>59</v>
      </c>
      <c r="K31" s="2" t="s">
        <v>54</v>
      </c>
      <c r="L31" s="2">
        <v>1</v>
      </c>
      <c r="M31" s="2">
        <v>1</v>
      </c>
    </row>
    <row r="32" spans="1:13">
      <c r="A32" s="2" t="s">
        <v>178</v>
      </c>
      <c r="B32" s="3" t="s">
        <v>179</v>
      </c>
      <c r="C32" t="s">
        <v>180</v>
      </c>
      <c r="D32" t="s">
        <v>181</v>
      </c>
      <c r="E32" s="2">
        <v>58.44</v>
      </c>
      <c r="G32" t="s">
        <v>182</v>
      </c>
      <c r="H32" s="2" t="s">
        <v>75</v>
      </c>
      <c r="K32" s="2" t="s">
        <v>54</v>
      </c>
      <c r="L32" s="2">
        <v>500</v>
      </c>
      <c r="M32" s="2">
        <v>1</v>
      </c>
    </row>
    <row r="33" spans="1:13">
      <c r="A33" s="2" t="s">
        <v>183</v>
      </c>
      <c r="B33" s="3" t="s">
        <v>184</v>
      </c>
      <c r="C33" t="s">
        <v>185</v>
      </c>
      <c r="D33" t="s">
        <v>186</v>
      </c>
      <c r="E33" s="2">
        <v>74.55</v>
      </c>
      <c r="G33" t="s">
        <v>187</v>
      </c>
      <c r="H33" s="2" t="s">
        <v>75</v>
      </c>
      <c r="J33" t="s">
        <v>47</v>
      </c>
      <c r="K33" s="2" t="s">
        <v>54</v>
      </c>
      <c r="L33" s="2">
        <v>500</v>
      </c>
      <c r="M33" s="2">
        <v>1</v>
      </c>
    </row>
    <row r="34" spans="1:13">
      <c r="A34" s="2" t="s">
        <v>188</v>
      </c>
      <c r="B34" s="3" t="s">
        <v>189</v>
      </c>
      <c r="C34" t="s">
        <v>190</v>
      </c>
      <c r="D34" t="s">
        <v>191</v>
      </c>
      <c r="E34" s="2">
        <v>110.98</v>
      </c>
      <c r="G34" t="s">
        <v>192</v>
      </c>
      <c r="H34" s="2" t="s">
        <v>75</v>
      </c>
      <c r="J34" t="s">
        <v>47</v>
      </c>
      <c r="K34" s="2" t="s">
        <v>118</v>
      </c>
      <c r="L34" s="2">
        <v>500</v>
      </c>
      <c r="M34" s="2">
        <v>1</v>
      </c>
    </row>
    <row r="35" ht="51.45" spans="1:13">
      <c r="A35" s="2" t="s">
        <v>193</v>
      </c>
      <c r="B35" s="3" t="s">
        <v>194</v>
      </c>
      <c r="C35" t="s">
        <v>195</v>
      </c>
      <c r="D35" t="s">
        <v>196</v>
      </c>
      <c r="E35" s="2">
        <v>147.02</v>
      </c>
      <c r="F35" t="str">
        <f>_xlfn.DISPIMG("ID_3183167762F0FA86EBF1146205E59B90",1)</f>
        <v>=DISPIMG("ID_3183167762F0FA86EBF1146205E59B90",1)</v>
      </c>
      <c r="G35" t="s">
        <v>192</v>
      </c>
      <c r="H35" s="2" t="s">
        <v>75</v>
      </c>
      <c r="J35" t="s">
        <v>47</v>
      </c>
      <c r="K35" s="2" t="s">
        <v>22</v>
      </c>
      <c r="L35" s="2">
        <v>500</v>
      </c>
      <c r="M35" s="2">
        <v>1</v>
      </c>
    </row>
    <row r="36" spans="1:13">
      <c r="A36" s="9">
        <v>2120424</v>
      </c>
      <c r="B36" s="3" t="s">
        <v>197</v>
      </c>
      <c r="C36" t="s">
        <v>198</v>
      </c>
      <c r="D36" t="s">
        <v>199</v>
      </c>
      <c r="E36" s="2">
        <v>154.23</v>
      </c>
      <c r="G36" t="s">
        <v>200</v>
      </c>
      <c r="H36" s="2" t="s">
        <v>28</v>
      </c>
      <c r="J36" t="s">
        <v>148</v>
      </c>
      <c r="K36" s="2" t="s">
        <v>166</v>
      </c>
      <c r="L36" s="2">
        <v>500</v>
      </c>
      <c r="M36" s="11">
        <v>0</v>
      </c>
    </row>
    <row r="37" ht="41.6" spans="1:13">
      <c r="A37" s="2" t="s">
        <v>201</v>
      </c>
      <c r="B37" s="3" t="s">
        <v>202</v>
      </c>
      <c r="C37" t="s">
        <v>203</v>
      </c>
      <c r="D37" t="s">
        <v>204</v>
      </c>
      <c r="E37" s="2">
        <v>237.93</v>
      </c>
      <c r="F37" t="str">
        <f>_xlfn.DISPIMG("ID_8FE2F8DC33B61A6AF3F11462473196E9",1)</f>
        <v>=DISPIMG("ID_8FE2F8DC33B61A6AF3F11462473196E9",1)</v>
      </c>
      <c r="G37" t="s">
        <v>205</v>
      </c>
      <c r="H37" s="2" t="s">
        <v>206</v>
      </c>
      <c r="J37" t="s">
        <v>60</v>
      </c>
      <c r="K37" s="2" t="s">
        <v>100</v>
      </c>
      <c r="L37" s="2">
        <v>100</v>
      </c>
      <c r="M37" s="2">
        <v>1</v>
      </c>
    </row>
    <row r="38" ht="94.75" spans="1:13">
      <c r="A38" s="2" t="s">
        <v>207</v>
      </c>
      <c r="B38" s="3" t="s">
        <v>208</v>
      </c>
      <c r="C38" t="s">
        <v>209</v>
      </c>
      <c r="D38" t="s">
        <v>210</v>
      </c>
      <c r="E38" s="2">
        <v>270.29</v>
      </c>
      <c r="F38" t="str">
        <f>_xlfn.DISPIMG("ID_38AE7E1895E549A7F9F1146248966B3D",1)</f>
        <v>=DISPIMG("ID_38AE7E1895E549A7F9F1146248966B3D",1)</v>
      </c>
      <c r="G38" t="s">
        <v>211</v>
      </c>
      <c r="H38" s="2" t="s">
        <v>28</v>
      </c>
      <c r="K38" s="2" t="s">
        <v>166</v>
      </c>
      <c r="L38" s="2">
        <v>500</v>
      </c>
      <c r="M38" s="11">
        <v>0</v>
      </c>
    </row>
    <row r="39" ht="51.9" spans="1:13">
      <c r="A39" s="2" t="s">
        <v>212</v>
      </c>
      <c r="B39" s="3" t="s">
        <v>213</v>
      </c>
      <c r="C39" t="s">
        <v>214</v>
      </c>
      <c r="D39" t="s">
        <v>215</v>
      </c>
      <c r="E39" s="2">
        <v>170.48</v>
      </c>
      <c r="F39" t="str">
        <f>_xlfn.DISPIMG("ID_AC3E7D3BDBD65DF702F214622950E8AE",1)</f>
        <v>=DISPIMG("ID_AC3E7D3BDBD65DF702F214622950E8AE",1)</v>
      </c>
      <c r="G39" t="s">
        <v>216</v>
      </c>
      <c r="H39" s="2" t="s">
        <v>154</v>
      </c>
      <c r="J39" t="s">
        <v>60</v>
      </c>
      <c r="K39" s="2" t="s">
        <v>100</v>
      </c>
      <c r="L39" s="2">
        <v>500</v>
      </c>
      <c r="M39" s="2">
        <v>1</v>
      </c>
    </row>
    <row r="40" ht="127.95" spans="1:13">
      <c r="A40" s="2" t="s">
        <v>217</v>
      </c>
      <c r="B40" s="3" t="s">
        <v>218</v>
      </c>
      <c r="C40" t="s">
        <v>219</v>
      </c>
      <c r="D40" t="s">
        <v>220</v>
      </c>
      <c r="E40" s="2">
        <v>244.26</v>
      </c>
      <c r="F40" t="str">
        <f>_xlfn.DISPIMG("ID_999E7E5BE2DF0EFA1CF2146212EB4DEC",1)</f>
        <v>=DISPIMG("ID_999E7E5BE2DF0EFA1CF2146212EB4DEC",1)</v>
      </c>
      <c r="G40" t="s">
        <v>221</v>
      </c>
      <c r="H40" s="6" t="s">
        <v>160</v>
      </c>
      <c r="J40" t="s">
        <v>47</v>
      </c>
      <c r="K40" s="2" t="s">
        <v>54</v>
      </c>
      <c r="L40" s="2">
        <v>500</v>
      </c>
      <c r="M40" s="2">
        <v>1</v>
      </c>
    </row>
    <row r="41" spans="1:13">
      <c r="A41" s="2" t="s">
        <v>222</v>
      </c>
      <c r="B41" s="3" t="s">
        <v>223</v>
      </c>
      <c r="C41" t="s">
        <v>224</v>
      </c>
      <c r="D41" t="s">
        <v>225</v>
      </c>
      <c r="E41" s="2">
        <v>136.32</v>
      </c>
      <c r="G41" t="s">
        <v>226</v>
      </c>
      <c r="H41" s="2" t="s">
        <v>154</v>
      </c>
      <c r="J41" t="s">
        <v>47</v>
      </c>
      <c r="K41" s="2" t="s">
        <v>22</v>
      </c>
      <c r="L41" s="2">
        <v>500</v>
      </c>
      <c r="M41" s="2">
        <v>1</v>
      </c>
    </row>
    <row r="42" spans="1:14">
      <c r="A42" s="2" t="s">
        <v>227</v>
      </c>
      <c r="B42" s="3" t="s">
        <v>228</v>
      </c>
      <c r="C42" t="s">
        <v>229</v>
      </c>
      <c r="D42" t="s">
        <v>230</v>
      </c>
      <c r="E42" s="2">
        <v>133.34</v>
      </c>
      <c r="G42" t="s">
        <v>231</v>
      </c>
      <c r="H42" s="2" t="s">
        <v>232</v>
      </c>
      <c r="J42" t="s">
        <v>233</v>
      </c>
      <c r="K42" s="2" t="s">
        <v>100</v>
      </c>
      <c r="L42" s="2">
        <v>250</v>
      </c>
      <c r="M42" s="11">
        <v>0</v>
      </c>
      <c r="N42" t="s">
        <v>130</v>
      </c>
    </row>
    <row r="43" ht="43.6" spans="1:13">
      <c r="A43" s="2" t="s">
        <v>234</v>
      </c>
      <c r="B43" s="3" t="s">
        <v>235</v>
      </c>
      <c r="C43" t="s">
        <v>236</v>
      </c>
      <c r="D43" t="s">
        <v>237</v>
      </c>
      <c r="E43" s="2">
        <v>266.62</v>
      </c>
      <c r="F43" t="str">
        <f>_xlfn.DISPIMG("ID_067BB9518488D1F927F21462CC398701",1)</f>
        <v>=DISPIMG("ID_067BB9518488D1F927F21462CC398701",1)</v>
      </c>
      <c r="G43" t="s">
        <v>238</v>
      </c>
      <c r="H43" s="2" t="s">
        <v>28</v>
      </c>
      <c r="J43" t="s">
        <v>239</v>
      </c>
      <c r="K43" s="2" t="s">
        <v>54</v>
      </c>
      <c r="L43" s="2">
        <v>500</v>
      </c>
      <c r="M43" s="2">
        <v>1</v>
      </c>
    </row>
    <row r="44" spans="1:13">
      <c r="A44" s="2" t="s">
        <v>240</v>
      </c>
      <c r="B44" s="3" t="s">
        <v>241</v>
      </c>
      <c r="C44" t="s">
        <v>242</v>
      </c>
      <c r="D44" t="s">
        <v>243</v>
      </c>
      <c r="E44" s="2">
        <v>53.49</v>
      </c>
      <c r="G44" t="s">
        <v>244</v>
      </c>
      <c r="H44" s="2" t="s">
        <v>245</v>
      </c>
      <c r="J44" t="s">
        <v>47</v>
      </c>
      <c r="K44" s="2" t="s">
        <v>54</v>
      </c>
      <c r="L44" s="2">
        <v>500</v>
      </c>
      <c r="M44" s="2">
        <v>1</v>
      </c>
    </row>
    <row r="45" ht="45.05" spans="1:13">
      <c r="A45" s="2" t="s">
        <v>246</v>
      </c>
      <c r="B45" s="3" t="s">
        <v>247</v>
      </c>
      <c r="C45" t="s">
        <v>248</v>
      </c>
      <c r="D45" t="s">
        <v>249</v>
      </c>
      <c r="E45" s="2">
        <v>266.44</v>
      </c>
      <c r="F45" t="str">
        <f>_xlfn.DISPIMG("ID_E0D0E9EAC9AF17173AF21462BFA957C9",1)</f>
        <v>=DISPIMG("ID_E0D0E9EAC9AF17173AF21462BFA957C9",1)</v>
      </c>
      <c r="G45" t="s">
        <v>250</v>
      </c>
      <c r="H45" s="2" t="s">
        <v>154</v>
      </c>
      <c r="J45" t="s">
        <v>47</v>
      </c>
      <c r="K45" s="2" t="s">
        <v>100</v>
      </c>
      <c r="L45" s="2">
        <v>500</v>
      </c>
      <c r="M45" s="2">
        <v>1</v>
      </c>
    </row>
    <row r="46" spans="1:15">
      <c r="A46" s="2" t="s">
        <v>251</v>
      </c>
      <c r="B46" s="3" t="s">
        <v>252</v>
      </c>
      <c r="C46" t="s">
        <v>253</v>
      </c>
      <c r="D46" t="s">
        <v>254</v>
      </c>
      <c r="E46" s="2">
        <v>168.36</v>
      </c>
      <c r="G46" t="s">
        <v>255</v>
      </c>
      <c r="H46" s="2" t="s">
        <v>256</v>
      </c>
      <c r="K46" s="13" t="s">
        <v>257</v>
      </c>
      <c r="L46" s="2">
        <v>100</v>
      </c>
      <c r="M46" s="2">
        <v>1</v>
      </c>
      <c r="N46" t="s">
        <v>258</v>
      </c>
      <c r="O46" s="5">
        <v>1</v>
      </c>
    </row>
    <row r="47" ht="43.9" spans="1:15">
      <c r="A47" s="2" t="s">
        <v>259</v>
      </c>
      <c r="B47" s="3" t="s">
        <v>260</v>
      </c>
      <c r="C47" t="s">
        <v>261</v>
      </c>
      <c r="D47" t="s">
        <v>262</v>
      </c>
      <c r="E47" s="2">
        <v>364.81</v>
      </c>
      <c r="F47" t="str">
        <f>_xlfn.DISPIMG("ID_7C75563411344786D6D04B62D130D35D",1)</f>
        <v>=DISPIMG("ID_7C75563411344786D6D04B62D130D35D",1)</v>
      </c>
      <c r="G47" t="s">
        <v>263</v>
      </c>
      <c r="H47" s="2" t="s">
        <v>59</v>
      </c>
      <c r="K47" s="13">
        <v>0.99</v>
      </c>
      <c r="L47" s="2">
        <v>10</v>
      </c>
      <c r="M47" s="2">
        <v>1</v>
      </c>
      <c r="O47" s="5">
        <v>1</v>
      </c>
    </row>
    <row r="48" ht="37.5" spans="1:14">
      <c r="A48" s="9" t="s">
        <v>264</v>
      </c>
      <c r="B48" s="3" t="s">
        <v>265</v>
      </c>
      <c r="C48" t="s">
        <v>266</v>
      </c>
      <c r="D48" t="s">
        <v>267</v>
      </c>
      <c r="E48" s="2">
        <v>106.44</v>
      </c>
      <c r="F48" t="str">
        <f>_xlfn.DISPIMG("ID_3F8A39F4FE1BC68E45F21462521A8200",1)</f>
        <v>=DISPIMG("ID_3F8A39F4FE1BC68E45F21462521A8200",1)</v>
      </c>
      <c r="G48" t="s">
        <v>268</v>
      </c>
      <c r="H48" s="2" t="s">
        <v>269</v>
      </c>
      <c r="I48" s="10" t="s">
        <v>270</v>
      </c>
      <c r="K48" s="2" t="s">
        <v>271</v>
      </c>
      <c r="L48" s="2">
        <v>500</v>
      </c>
      <c r="M48" s="2">
        <v>1</v>
      </c>
      <c r="N48" t="s">
        <v>272</v>
      </c>
    </row>
    <row r="49" ht="51.85" spans="1:13">
      <c r="A49" s="9" t="s">
        <v>273</v>
      </c>
      <c r="B49" s="3" t="s">
        <v>274</v>
      </c>
      <c r="C49" t="s">
        <v>275</v>
      </c>
      <c r="D49" t="s">
        <v>276</v>
      </c>
      <c r="E49" s="2">
        <v>122.55</v>
      </c>
      <c r="F49" t="str">
        <f>_xlfn.DISPIMG("ID_16422DFD085F2C134DF21462EBDB2CBA",1)</f>
        <v>=DISPIMG("ID_16422DFD085F2C134DF21462EBDB2CBA",1)</v>
      </c>
      <c r="G49" t="s">
        <v>277</v>
      </c>
      <c r="H49" s="2" t="s">
        <v>278</v>
      </c>
      <c r="I49" s="10" t="s">
        <v>279</v>
      </c>
      <c r="K49" s="2" t="s">
        <v>54</v>
      </c>
      <c r="L49" s="2">
        <v>500</v>
      </c>
      <c r="M49" s="2">
        <v>1</v>
      </c>
    </row>
    <row r="50" ht="40.4" spans="1:14">
      <c r="A50" s="2" t="s">
        <v>280</v>
      </c>
      <c r="B50" s="3" t="s">
        <v>281</v>
      </c>
      <c r="C50" t="s">
        <v>282</v>
      </c>
      <c r="D50" t="s">
        <v>283</v>
      </c>
      <c r="E50" s="2">
        <v>138.55</v>
      </c>
      <c r="F50" t="str">
        <f>_xlfn.DISPIMG("ID_7073FC2B41F3657F54F214628A67C51C",1)</f>
        <v>=DISPIMG("ID_7073FC2B41F3657F54F214628A67C51C",1)</v>
      </c>
      <c r="G50" t="s">
        <v>284</v>
      </c>
      <c r="H50" s="2" t="s">
        <v>269</v>
      </c>
      <c r="I50" s="10" t="s">
        <v>285</v>
      </c>
      <c r="K50" s="2" t="s">
        <v>286</v>
      </c>
      <c r="L50" s="2">
        <v>500</v>
      </c>
      <c r="M50" s="2">
        <v>1</v>
      </c>
      <c r="N50" t="s">
        <v>287</v>
      </c>
    </row>
    <row r="51" ht="22.2" spans="1:15">
      <c r="A51" s="2" t="s">
        <v>288</v>
      </c>
      <c r="B51" s="3" t="s">
        <v>289</v>
      </c>
      <c r="C51" t="s">
        <v>290</v>
      </c>
      <c r="D51" t="s">
        <v>291</v>
      </c>
      <c r="E51" s="2">
        <v>232.36</v>
      </c>
      <c r="F51" t="str">
        <f>_xlfn.DISPIMG("ID_DD078635ABEEA84259F2146292B81570",1)</f>
        <v>=DISPIMG("ID_DD078635ABEEA84259F2146292B81570",1)</v>
      </c>
      <c r="G51" t="s">
        <v>292</v>
      </c>
      <c r="H51" s="2" t="s">
        <v>293</v>
      </c>
      <c r="K51" s="13">
        <v>0.99</v>
      </c>
      <c r="L51" s="2">
        <v>1</v>
      </c>
      <c r="M51" s="2">
        <v>1</v>
      </c>
      <c r="N51" t="s">
        <v>294</v>
      </c>
      <c r="O51" s="5">
        <v>1</v>
      </c>
    </row>
    <row r="52" spans="1:13">
      <c r="A52" s="9" t="s">
        <v>295</v>
      </c>
      <c r="B52" s="3" t="s">
        <v>296</v>
      </c>
      <c r="C52" t="s">
        <v>297</v>
      </c>
      <c r="D52" t="s">
        <v>298</v>
      </c>
      <c r="E52" s="2">
        <v>102.89</v>
      </c>
      <c r="G52" t="s">
        <v>299</v>
      </c>
      <c r="H52" s="2" t="s">
        <v>75</v>
      </c>
      <c r="K52" s="2" t="s">
        <v>166</v>
      </c>
      <c r="L52" s="2">
        <v>500</v>
      </c>
      <c r="M52" s="2">
        <v>1</v>
      </c>
    </row>
    <row r="53" ht="41.15" spans="1:13">
      <c r="A53" s="9" t="s">
        <v>300</v>
      </c>
      <c r="B53" s="3" t="s">
        <v>301</v>
      </c>
      <c r="C53" t="s">
        <v>302</v>
      </c>
      <c r="D53" t="s">
        <v>303</v>
      </c>
      <c r="E53" s="9" t="s">
        <v>304</v>
      </c>
      <c r="F53" t="str">
        <f>_xlfn.DISPIMG("ID_EA9035A2816620C164F214629649AAA9",1)</f>
        <v>=DISPIMG("ID_EA9035A2816620C164F214629649AAA9",1)</v>
      </c>
      <c r="G53" t="s">
        <v>305</v>
      </c>
      <c r="H53" s="2" t="s">
        <v>306</v>
      </c>
      <c r="J53" t="s">
        <v>148</v>
      </c>
      <c r="K53" s="2" t="s">
        <v>166</v>
      </c>
      <c r="L53" s="2">
        <v>500</v>
      </c>
      <c r="M53" s="2">
        <v>1</v>
      </c>
    </row>
    <row r="54" spans="1:13">
      <c r="A54" s="2" t="s">
        <v>307</v>
      </c>
      <c r="B54" s="3" t="s">
        <v>308</v>
      </c>
      <c r="C54" t="s">
        <v>309</v>
      </c>
      <c r="D54" t="s">
        <v>310</v>
      </c>
      <c r="E54" s="7">
        <v>166</v>
      </c>
      <c r="G54" t="s">
        <v>311</v>
      </c>
      <c r="H54" s="2" t="s">
        <v>59</v>
      </c>
      <c r="J54" t="s">
        <v>47</v>
      </c>
      <c r="K54" s="2" t="s">
        <v>166</v>
      </c>
      <c r="L54" s="2">
        <v>25</v>
      </c>
      <c r="M54" s="2">
        <v>1</v>
      </c>
    </row>
    <row r="55" spans="1:13">
      <c r="A55" s="2" t="s">
        <v>307</v>
      </c>
      <c r="B55" s="3" t="s">
        <v>308</v>
      </c>
      <c r="C55" t="s">
        <v>309</v>
      </c>
      <c r="D55" t="s">
        <v>310</v>
      </c>
      <c r="E55" s="7">
        <v>166</v>
      </c>
      <c r="G55" t="s">
        <v>311</v>
      </c>
      <c r="H55" s="2" t="s">
        <v>59</v>
      </c>
      <c r="J55" t="s">
        <v>312</v>
      </c>
      <c r="K55" s="2" t="s">
        <v>166</v>
      </c>
      <c r="L55" s="2">
        <v>50</v>
      </c>
      <c r="M55" s="2">
        <v>1</v>
      </c>
    </row>
    <row r="56" spans="1:13">
      <c r="A56" s="2" t="s">
        <v>307</v>
      </c>
      <c r="B56" s="3" t="s">
        <v>308</v>
      </c>
      <c r="C56" t="s">
        <v>309</v>
      </c>
      <c r="D56" t="s">
        <v>310</v>
      </c>
      <c r="E56" s="7">
        <v>166</v>
      </c>
      <c r="G56" t="s">
        <v>311</v>
      </c>
      <c r="H56" s="2" t="s">
        <v>59</v>
      </c>
      <c r="J56" t="s">
        <v>313</v>
      </c>
      <c r="K56" s="2" t="s">
        <v>166</v>
      </c>
      <c r="L56" s="2">
        <v>500</v>
      </c>
      <c r="M56" s="2">
        <v>1</v>
      </c>
    </row>
    <row r="57" spans="1:15">
      <c r="A57" s="2" t="s">
        <v>314</v>
      </c>
      <c r="B57" s="3" t="s">
        <v>315</v>
      </c>
      <c r="C57" t="s">
        <v>316</v>
      </c>
      <c r="D57" t="s">
        <v>317</v>
      </c>
      <c r="E57" s="7">
        <v>454.4</v>
      </c>
      <c r="G57" t="s">
        <v>318</v>
      </c>
      <c r="H57" s="2" t="s">
        <v>319</v>
      </c>
      <c r="K57" s="2" t="s">
        <v>166</v>
      </c>
      <c r="L57" s="2">
        <v>5</v>
      </c>
      <c r="M57" s="2">
        <v>1</v>
      </c>
      <c r="O57" s="5">
        <v>1</v>
      </c>
    </row>
    <row r="58" ht="41.15" spans="1:13">
      <c r="A58" s="9" t="s">
        <v>320</v>
      </c>
      <c r="B58" s="3" t="s">
        <v>321</v>
      </c>
      <c r="C58" t="s">
        <v>322</v>
      </c>
      <c r="D58" t="s">
        <v>323</v>
      </c>
      <c r="E58" s="7">
        <v>214</v>
      </c>
      <c r="F58" t="str">
        <f>_xlfn.DISPIMG("ID_E1578E6F5AE16C487DF2146201FB53A2",1)</f>
        <v>=DISPIMG("ID_E1578E6F5AE16C487DF2146201FB53A2",1)</v>
      </c>
      <c r="G58" t="s">
        <v>324</v>
      </c>
      <c r="H58" s="2" t="s">
        <v>269</v>
      </c>
      <c r="J58" t="s">
        <v>47</v>
      </c>
      <c r="K58" s="2" t="s">
        <v>166</v>
      </c>
      <c r="L58" s="2">
        <v>100</v>
      </c>
      <c r="M58" s="2">
        <v>1</v>
      </c>
    </row>
    <row r="59" ht="54.5" spans="1:15">
      <c r="A59" s="2" t="s">
        <v>325</v>
      </c>
      <c r="B59" s="3" t="s">
        <v>326</v>
      </c>
      <c r="C59" t="s">
        <v>327</v>
      </c>
      <c r="D59" t="s">
        <v>328</v>
      </c>
      <c r="E59" s="7">
        <v>230</v>
      </c>
      <c r="F59" t="str">
        <f>_xlfn.DISPIMG("ID_67FA22AEF132235F73F214629FB8D3C6",1)</f>
        <v>=DISPIMG("ID_67FA22AEF132235F73F214629FB8D3C6",1)</v>
      </c>
      <c r="G59" t="s">
        <v>329</v>
      </c>
      <c r="H59" s="2" t="s">
        <v>269</v>
      </c>
      <c r="J59" t="s">
        <v>239</v>
      </c>
      <c r="K59" s="2" t="s">
        <v>166</v>
      </c>
      <c r="L59" s="2">
        <v>100</v>
      </c>
      <c r="M59" s="2">
        <v>1</v>
      </c>
      <c r="O59" s="5">
        <v>1</v>
      </c>
    </row>
    <row r="60" spans="1:15">
      <c r="A60" s="2" t="s">
        <v>330</v>
      </c>
      <c r="B60" s="3" t="s">
        <v>331</v>
      </c>
      <c r="C60" t="s">
        <v>332</v>
      </c>
      <c r="D60" t="s">
        <v>333</v>
      </c>
      <c r="E60" s="7">
        <v>356.54</v>
      </c>
      <c r="G60" t="s">
        <v>334</v>
      </c>
      <c r="L60" s="2">
        <v>1</v>
      </c>
      <c r="M60" s="2">
        <v>1</v>
      </c>
      <c r="O60" s="5">
        <v>1</v>
      </c>
    </row>
    <row r="61" ht="38.85" spans="1:13">
      <c r="A61" s="2" t="s">
        <v>335</v>
      </c>
      <c r="B61" s="3" t="s">
        <v>336</v>
      </c>
      <c r="C61" t="s">
        <v>337</v>
      </c>
      <c r="D61" t="s">
        <v>338</v>
      </c>
      <c r="E61" s="2">
        <v>74.44</v>
      </c>
      <c r="F61" t="str">
        <f>_xlfn.DISPIMG("ID_73FC88C2D3CD4B8BA7669A79C9243A07",1)</f>
        <v>=DISPIMG("ID_73FC88C2D3CD4B8BA7669A79C9243A07",1)</v>
      </c>
      <c r="G61" t="s">
        <v>339</v>
      </c>
      <c r="H61" s="2" t="s">
        <v>340</v>
      </c>
      <c r="K61" s="2" t="s">
        <v>341</v>
      </c>
      <c r="L61" s="2">
        <v>500</v>
      </c>
      <c r="M61" s="11">
        <v>0</v>
      </c>
    </row>
    <row r="62" ht="45.85" spans="1:15">
      <c r="A62" s="2" t="s">
        <v>342</v>
      </c>
      <c r="B62" s="3" t="s">
        <v>343</v>
      </c>
      <c r="C62" t="s">
        <v>344</v>
      </c>
      <c r="D62" t="s">
        <v>345</v>
      </c>
      <c r="E62" s="2">
        <v>322.25</v>
      </c>
      <c r="F62" t="str">
        <f>_xlfn.DISPIMG("ID_D47A8E23B75F8FB431E32062E04906E2",1)</f>
        <v>=DISPIMG("ID_D47A8E23B75F8FB431E32062E04906E2",1)</v>
      </c>
      <c r="G62" t="s">
        <v>346</v>
      </c>
      <c r="H62" s="2" t="s">
        <v>75</v>
      </c>
      <c r="J62" t="s">
        <v>347</v>
      </c>
      <c r="K62" s="2" t="s">
        <v>166</v>
      </c>
      <c r="L62" s="2">
        <v>50</v>
      </c>
      <c r="M62" s="2">
        <v>1</v>
      </c>
      <c r="N62" t="s">
        <v>348</v>
      </c>
      <c r="O62" s="5">
        <v>1</v>
      </c>
    </row>
    <row r="63" ht="57.15" spans="1:15">
      <c r="A63" s="2" t="s">
        <v>349</v>
      </c>
      <c r="B63" s="3" t="s">
        <v>350</v>
      </c>
      <c r="C63" t="s">
        <v>351</v>
      </c>
      <c r="D63" t="s">
        <v>352</v>
      </c>
      <c r="E63" s="2">
        <v>329.24</v>
      </c>
      <c r="F63" t="str">
        <f>_xlfn.DISPIMG("ID_B692FAE007A1F0759F0D1262AF9C6887",1)</f>
        <v>=DISPIMG("ID_B692FAE007A1F0759F0D1262AF9C6887",1)</v>
      </c>
      <c r="G63" t="s">
        <v>353</v>
      </c>
      <c r="H63" s="2" t="s">
        <v>75</v>
      </c>
      <c r="K63" s="2" t="s">
        <v>54</v>
      </c>
      <c r="L63" s="2">
        <v>500</v>
      </c>
      <c r="M63" s="2">
        <v>1</v>
      </c>
      <c r="O63" s="5">
        <v>1</v>
      </c>
    </row>
    <row r="64" ht="48.7" spans="1:13">
      <c r="A64" s="2" t="s">
        <v>354</v>
      </c>
      <c r="B64" s="3" t="s">
        <v>355</v>
      </c>
      <c r="C64" t="s">
        <v>356</v>
      </c>
      <c r="D64" t="s">
        <v>357</v>
      </c>
      <c r="E64" s="2">
        <v>422.39</v>
      </c>
      <c r="F64" t="str">
        <f>_xlfn.DISPIMG("ID_8A43E75D8C41C8D6A60D1262679BCDA4",1)</f>
        <v>=DISPIMG("ID_8A43E75D8C41C8D6A60D1262679BCDA4",1)</v>
      </c>
      <c r="G64" t="s">
        <v>358</v>
      </c>
      <c r="H64" s="2" t="s">
        <v>75</v>
      </c>
      <c r="J64" t="s">
        <v>47</v>
      </c>
      <c r="K64" s="2" t="s">
        <v>54</v>
      </c>
      <c r="L64" s="2">
        <v>500</v>
      </c>
      <c r="M64" s="2">
        <v>1</v>
      </c>
    </row>
    <row r="65" ht="33.3" spans="1:13">
      <c r="A65" s="2" t="s">
        <v>359</v>
      </c>
      <c r="B65" s="3" t="s">
        <v>360</v>
      </c>
      <c r="C65" t="s">
        <v>361</v>
      </c>
      <c r="D65" t="s">
        <v>362</v>
      </c>
      <c r="E65" s="2">
        <v>132.14</v>
      </c>
      <c r="F65" t="str">
        <f>_xlfn.DISPIMG("ID_29D64A03F3D5516B94F21462C387DE6E",1)</f>
        <v>=DISPIMG("ID_29D64A03F3D5516B94F21462C387DE6E",1)</v>
      </c>
      <c r="G65" t="s">
        <v>363</v>
      </c>
      <c r="H65" s="2" t="s">
        <v>75</v>
      </c>
      <c r="J65" t="s">
        <v>47</v>
      </c>
      <c r="K65" s="2" t="s">
        <v>166</v>
      </c>
      <c r="L65" s="2">
        <v>500</v>
      </c>
      <c r="M65" s="2">
        <v>1</v>
      </c>
    </row>
    <row r="66" ht="36.9" spans="1:13">
      <c r="A66" s="2" t="s">
        <v>364</v>
      </c>
      <c r="B66" s="3" t="s">
        <v>365</v>
      </c>
      <c r="C66" t="s">
        <v>366</v>
      </c>
      <c r="D66" t="s">
        <v>367</v>
      </c>
      <c r="E66" s="2">
        <v>142.04</v>
      </c>
      <c r="F66" t="str">
        <f>_xlfn.DISPIMG("ID_12F517C8DBCF55D9BAF214623CD76574",1)</f>
        <v>=DISPIMG("ID_12F517C8DBCF55D9BAF214623CD76574",1)</v>
      </c>
      <c r="G66" t="s">
        <v>368</v>
      </c>
      <c r="H66" s="2" t="s">
        <v>75</v>
      </c>
      <c r="J66" t="s">
        <v>47</v>
      </c>
      <c r="K66" s="2" t="s">
        <v>166</v>
      </c>
      <c r="L66" s="2">
        <v>500</v>
      </c>
      <c r="M66" s="2">
        <v>1</v>
      </c>
    </row>
    <row r="67" ht="36.9" spans="1:15">
      <c r="A67" s="2" t="s">
        <v>364</v>
      </c>
      <c r="B67" s="3" t="s">
        <v>369</v>
      </c>
      <c r="C67" t="s">
        <v>370</v>
      </c>
      <c r="D67" t="s">
        <v>371</v>
      </c>
      <c r="E67" s="7">
        <v>304.2</v>
      </c>
      <c r="F67" t="str">
        <f>_xlfn.DISPIMG("ID_A9F101BF22BF0324F1F214623D8C32B2",1)</f>
        <v>=DISPIMG("ID_A9F101BF22BF0324F1F214623D8C32B2",1)</v>
      </c>
      <c r="G67" t="s">
        <v>368</v>
      </c>
      <c r="H67" s="2" t="s">
        <v>75</v>
      </c>
      <c r="J67" t="s">
        <v>372</v>
      </c>
      <c r="K67" s="2" t="s">
        <v>373</v>
      </c>
      <c r="L67" s="2">
        <v>10</v>
      </c>
      <c r="M67" s="2">
        <v>1</v>
      </c>
      <c r="O67" s="5">
        <v>1</v>
      </c>
    </row>
    <row r="68" ht="61.8" spans="1:13">
      <c r="A68" s="2" t="s">
        <v>374</v>
      </c>
      <c r="B68" s="3" t="s">
        <v>375</v>
      </c>
      <c r="C68" t="s">
        <v>376</v>
      </c>
      <c r="D68" t="s">
        <v>377</v>
      </c>
      <c r="E68" s="2">
        <v>249.69</v>
      </c>
      <c r="F68" t="str">
        <f>_xlfn.DISPIMG("ID_73149A2629323162FBF21462A3897FBC",1)</f>
        <v>=DISPIMG("ID_73149A2629323162FBF21462A3897FBC",1)</v>
      </c>
      <c r="G68" t="s">
        <v>378</v>
      </c>
      <c r="H68" s="2" t="s">
        <v>245</v>
      </c>
      <c r="J68" t="s">
        <v>47</v>
      </c>
      <c r="K68" s="2" t="s">
        <v>166</v>
      </c>
      <c r="L68" s="2">
        <v>500</v>
      </c>
      <c r="M68" s="2">
        <v>1</v>
      </c>
    </row>
    <row r="69" ht="66.6" spans="1:13">
      <c r="A69" s="2" t="s">
        <v>379</v>
      </c>
      <c r="B69" s="3" t="s">
        <v>380</v>
      </c>
      <c r="C69" t="s">
        <v>381</v>
      </c>
      <c r="D69" t="s">
        <v>382</v>
      </c>
      <c r="E69" s="2">
        <v>278.02</v>
      </c>
      <c r="F69" t="str">
        <f>_xlfn.DISPIMG("ID_5FDBF784E39036B002F314620EBB6F2C",1)</f>
        <v>=DISPIMG("ID_5FDBF784E39036B002F314620EBB6F2C",1)</v>
      </c>
      <c r="G69" t="s">
        <v>383</v>
      </c>
      <c r="H69" s="2" t="s">
        <v>59</v>
      </c>
      <c r="J69" t="s">
        <v>47</v>
      </c>
      <c r="K69" s="2" t="s">
        <v>166</v>
      </c>
      <c r="L69" s="2">
        <v>500</v>
      </c>
      <c r="M69" s="2">
        <v>1</v>
      </c>
    </row>
    <row r="70" ht="33.3" spans="1:13">
      <c r="A70" s="2" t="s">
        <v>384</v>
      </c>
      <c r="B70" s="3" t="s">
        <v>385</v>
      </c>
      <c r="C70" t="s">
        <v>386</v>
      </c>
      <c r="D70" t="s">
        <v>387</v>
      </c>
      <c r="E70" s="2">
        <v>392.14</v>
      </c>
      <c r="F70" t="str">
        <f>_xlfn.DISPIMG("ID_0375F28A2631823818862D628D2AB253",1)</f>
        <v>=DISPIMG("ID_0375F28A2631823818862D628D2AB253",1)</v>
      </c>
      <c r="G70" t="s">
        <v>388</v>
      </c>
      <c r="H70" s="2" t="s">
        <v>59</v>
      </c>
      <c r="J70" t="s">
        <v>47</v>
      </c>
      <c r="K70" s="2" t="s">
        <v>54</v>
      </c>
      <c r="L70" s="2">
        <v>500</v>
      </c>
      <c r="M70" s="2">
        <v>1</v>
      </c>
    </row>
    <row r="71" ht="37.85" spans="1:13">
      <c r="A71" s="2" t="s">
        <v>389</v>
      </c>
      <c r="B71" s="3" t="s">
        <v>390</v>
      </c>
      <c r="C71" t="s">
        <v>391</v>
      </c>
      <c r="D71" t="s">
        <v>392</v>
      </c>
      <c r="E71" s="2">
        <v>266.009</v>
      </c>
      <c r="F71" t="str">
        <f>_xlfn.DISPIMG("ID_D9931ED3B14B6F3256E14364ED2CD941",1)</f>
        <v>=DISPIMG("ID_D9931ED3B14B6F3256E14364ED2CD941",1)</v>
      </c>
      <c r="G71" t="s">
        <v>393</v>
      </c>
      <c r="H71" s="2" t="s">
        <v>20</v>
      </c>
      <c r="J71" t="s">
        <v>47</v>
      </c>
      <c r="K71" s="2" t="s">
        <v>394</v>
      </c>
      <c r="L71" s="2">
        <v>500</v>
      </c>
      <c r="M71" s="2">
        <v>2</v>
      </c>
    </row>
    <row r="72" ht="46.25" spans="1:13">
      <c r="A72" s="2" t="s">
        <v>395</v>
      </c>
      <c r="B72" s="3" t="s">
        <v>396</v>
      </c>
      <c r="C72" t="s">
        <v>397</v>
      </c>
      <c r="D72" t="s">
        <v>398</v>
      </c>
      <c r="E72" s="2">
        <v>287.58</v>
      </c>
      <c r="F72" t="str">
        <f>_xlfn.DISPIMG("ID_B6E2B3E9C90415F80DF31462EFD6BCCB",1)</f>
        <v>=DISPIMG("ID_B6E2B3E9C90415F80DF31462EFD6BCCB",1)</v>
      </c>
      <c r="G72" t="s">
        <v>399</v>
      </c>
      <c r="H72" s="2" t="s">
        <v>154</v>
      </c>
      <c r="J72" t="s">
        <v>148</v>
      </c>
      <c r="K72" s="2" t="s">
        <v>166</v>
      </c>
      <c r="L72" s="2">
        <v>500</v>
      </c>
      <c r="M72" s="2">
        <v>1</v>
      </c>
    </row>
    <row r="73" ht="37.7" spans="1:13">
      <c r="A73" s="2" t="s">
        <v>400</v>
      </c>
      <c r="B73" s="3" t="s">
        <v>401</v>
      </c>
      <c r="C73" t="s">
        <v>402</v>
      </c>
      <c r="D73" t="s">
        <v>403</v>
      </c>
      <c r="E73" s="2">
        <v>130.12</v>
      </c>
      <c r="F73" t="str">
        <f>_xlfn.DISPIMG("ID_8B408A444F4BDC9517F314625E6CD808",1)</f>
        <v>=DISPIMG("ID_8B408A444F4BDC9517F314625E6CD808",1)</v>
      </c>
      <c r="G73" t="s">
        <v>404</v>
      </c>
      <c r="H73" s="2" t="s">
        <v>146</v>
      </c>
      <c r="J73" t="s">
        <v>47</v>
      </c>
      <c r="K73" s="2" t="s">
        <v>166</v>
      </c>
      <c r="L73" s="2">
        <v>100</v>
      </c>
      <c r="M73" s="2">
        <v>1</v>
      </c>
    </row>
    <row r="74" ht="36.8" spans="1:13">
      <c r="A74" s="2" t="s">
        <v>405</v>
      </c>
      <c r="B74" s="3" t="s">
        <v>406</v>
      </c>
      <c r="C74" t="s">
        <v>407</v>
      </c>
      <c r="D74" t="s">
        <v>408</v>
      </c>
      <c r="E74" s="2">
        <v>169.02</v>
      </c>
      <c r="F74" t="str">
        <f>_xlfn.DISPIMG("ID_A202A5EFF3AACD6820F314620998A0B4",1)</f>
        <v>=DISPIMG("ID_A202A5EFF3AACD6820F314620998A0B4",1)</v>
      </c>
      <c r="G74" t="s">
        <v>409</v>
      </c>
      <c r="H74" s="2" t="s">
        <v>410</v>
      </c>
      <c r="J74" t="s">
        <v>139</v>
      </c>
      <c r="K74" s="2" t="s">
        <v>166</v>
      </c>
      <c r="L74" s="2">
        <v>500</v>
      </c>
      <c r="M74" s="2">
        <v>1</v>
      </c>
    </row>
    <row r="75" ht="51.45" spans="1:13">
      <c r="A75" s="2" t="s">
        <v>411</v>
      </c>
      <c r="B75" s="3" t="s">
        <v>412</v>
      </c>
      <c r="C75" t="s">
        <v>413</v>
      </c>
      <c r="D75" t="s">
        <v>414</v>
      </c>
      <c r="E75" s="2">
        <v>262.85</v>
      </c>
      <c r="F75" t="str">
        <f>_xlfn.DISPIMG("ID_6BBC4433D4DACB74BFC71562C4EA67BA",1)</f>
        <v>=DISPIMG("ID_6BBC4433D4DACB74BFC71562C4EA67BA",1)</v>
      </c>
      <c r="G75" t="s">
        <v>415</v>
      </c>
      <c r="H75" s="2" t="s">
        <v>416</v>
      </c>
      <c r="J75" t="s">
        <v>139</v>
      </c>
      <c r="K75" s="2" t="s">
        <v>166</v>
      </c>
      <c r="L75" s="2">
        <v>500</v>
      </c>
      <c r="M75" s="2">
        <v>1</v>
      </c>
    </row>
    <row r="76" ht="39.7" spans="1:13">
      <c r="A76" s="2" t="s">
        <v>417</v>
      </c>
      <c r="B76" s="3" t="s">
        <v>418</v>
      </c>
      <c r="C76" t="s">
        <v>419</v>
      </c>
      <c r="D76" t="s">
        <v>420</v>
      </c>
      <c r="E76" s="2">
        <v>256.57</v>
      </c>
      <c r="F76" t="str">
        <f>_xlfn.DISPIMG("ID_9294EFB3A04C364437F3146289619C34",1)</f>
        <v>=DISPIMG("ID_9294EFB3A04C364437F3146289619C34",1)</v>
      </c>
      <c r="G76" t="s">
        <v>421</v>
      </c>
      <c r="H76" s="2" t="s">
        <v>319</v>
      </c>
      <c r="K76" s="2" t="s">
        <v>100</v>
      </c>
      <c r="L76" s="2">
        <v>100</v>
      </c>
      <c r="M76" s="2">
        <v>1</v>
      </c>
    </row>
    <row r="77" ht="33.3" spans="1:15">
      <c r="A77" s="2" t="s">
        <v>422</v>
      </c>
      <c r="B77" s="3" t="s">
        <v>423</v>
      </c>
      <c r="C77" t="s">
        <v>424</v>
      </c>
      <c r="D77" t="s">
        <v>425</v>
      </c>
      <c r="E77" s="2">
        <v>720.79</v>
      </c>
      <c r="F77" t="str">
        <f>_xlfn.DISPIMG("ID_EBF84A45582D3DC044F31462561C11D4",1)</f>
        <v>=DISPIMG("ID_EBF84A45582D3DC044F31462561C11D4",1)</v>
      </c>
      <c r="G77" t="s">
        <v>426</v>
      </c>
      <c r="H77" s="2" t="s">
        <v>59</v>
      </c>
      <c r="K77" s="2" t="s">
        <v>166</v>
      </c>
      <c r="L77" s="2">
        <v>1</v>
      </c>
      <c r="M77" s="2">
        <v>1</v>
      </c>
      <c r="O77" s="5">
        <v>1</v>
      </c>
    </row>
    <row r="78" ht="61.5" spans="1:15">
      <c r="A78" s="2" t="s">
        <v>427</v>
      </c>
      <c r="B78" s="3" t="s">
        <v>428</v>
      </c>
      <c r="C78" t="s">
        <v>429</v>
      </c>
      <c r="D78" t="s">
        <v>430</v>
      </c>
      <c r="E78" s="2">
        <v>588.95</v>
      </c>
      <c r="F78" t="str">
        <f>_xlfn.DISPIMG("ID_091A12B8E8674E99DCC54E6231E149B8",1)</f>
        <v>=DISPIMG("ID_091A12B8E8674E99DCC54E6231E149B8",1)</v>
      </c>
      <c r="G78" t="s">
        <v>431</v>
      </c>
      <c r="H78" s="2" t="s">
        <v>59</v>
      </c>
      <c r="L78" s="2">
        <v>2</v>
      </c>
      <c r="M78" s="2">
        <v>1</v>
      </c>
      <c r="O78" s="5">
        <v>1</v>
      </c>
    </row>
    <row r="79" ht="33.85" spans="1:13">
      <c r="A79" s="2" t="s">
        <v>432</v>
      </c>
      <c r="B79" s="3" t="s">
        <v>433</v>
      </c>
      <c r="C79" t="s">
        <v>434</v>
      </c>
      <c r="D79" t="s">
        <v>435</v>
      </c>
      <c r="E79" s="2">
        <v>270.32</v>
      </c>
      <c r="F79" t="str">
        <f>_xlfn.DISPIMG("ID_2696B8C337118B1C4EF31462E1F7DB13",1)</f>
        <v>=DISPIMG("ID_2696B8C337118B1C4EF31462E1F7DB13",1)</v>
      </c>
      <c r="G79" t="s">
        <v>436</v>
      </c>
      <c r="H79" s="2" t="s">
        <v>437</v>
      </c>
      <c r="J79" t="s">
        <v>47</v>
      </c>
      <c r="K79" s="2" t="s">
        <v>166</v>
      </c>
      <c r="L79" s="2">
        <v>500</v>
      </c>
      <c r="M79" s="2">
        <v>1</v>
      </c>
    </row>
    <row r="80" ht="37.15" spans="1:13">
      <c r="A80" s="2" t="s">
        <v>438</v>
      </c>
      <c r="B80" s="3" t="s">
        <v>439</v>
      </c>
      <c r="C80" t="s">
        <v>440</v>
      </c>
      <c r="D80" t="s">
        <v>441</v>
      </c>
      <c r="E80" s="7">
        <v>228.2</v>
      </c>
      <c r="F80" t="str">
        <f>_xlfn.DISPIMG("ID_D380A5777442566D55F314622C8C0A51",1)</f>
        <v>=DISPIMG("ID_D380A5777442566D55F314622C8C0A51",1)</v>
      </c>
      <c r="G80" t="s">
        <v>442</v>
      </c>
      <c r="H80" s="2" t="s">
        <v>437</v>
      </c>
      <c r="J80" t="s">
        <v>47</v>
      </c>
      <c r="K80" s="2" t="s">
        <v>166</v>
      </c>
      <c r="L80" s="2">
        <v>500</v>
      </c>
      <c r="M80" s="2">
        <v>1</v>
      </c>
    </row>
    <row r="81" ht="35.9" spans="1:13">
      <c r="A81" s="2" t="s">
        <v>443</v>
      </c>
      <c r="B81" s="3" t="s">
        <v>444</v>
      </c>
      <c r="C81" t="s">
        <v>445</v>
      </c>
      <c r="D81" t="s">
        <v>446</v>
      </c>
      <c r="E81" s="7">
        <v>499.4</v>
      </c>
      <c r="F81" t="str">
        <f>_xlfn.DISPIMG("ID_16678819A079BA24B5CB4E62B268495A",1)</f>
        <v>=DISPIMG("ID_16678819A079BA24B5CB4E62B268495A",1)</v>
      </c>
      <c r="G81" t="s">
        <v>447</v>
      </c>
      <c r="H81" s="2" t="s">
        <v>75</v>
      </c>
      <c r="J81" t="s">
        <v>448</v>
      </c>
      <c r="K81" s="2" t="s">
        <v>54</v>
      </c>
      <c r="L81" s="2">
        <v>500</v>
      </c>
      <c r="M81" s="11">
        <v>0</v>
      </c>
    </row>
    <row r="82" ht="43.75" spans="1:13">
      <c r="A82" s="2" t="s">
        <v>449</v>
      </c>
      <c r="B82" s="3" t="s">
        <v>450</v>
      </c>
      <c r="C82" t="s">
        <v>451</v>
      </c>
      <c r="D82" t="s">
        <v>452</v>
      </c>
      <c r="E82" s="2">
        <v>174.11</v>
      </c>
      <c r="F82" t="str">
        <f>_xlfn.DISPIMG("ID_8916435EF9FE8406B2C7156261CB47CA",1)</f>
        <v>=DISPIMG("ID_8916435EF9FE8406B2C7156261CB47CA",1)</v>
      </c>
      <c r="G82" t="s">
        <v>453</v>
      </c>
      <c r="H82" s="2" t="s">
        <v>454</v>
      </c>
      <c r="K82" s="2" t="s">
        <v>166</v>
      </c>
      <c r="L82" s="2">
        <v>500</v>
      </c>
      <c r="M82" s="11">
        <v>0</v>
      </c>
    </row>
    <row r="83" ht="46.25" spans="1:13">
      <c r="A83" s="2" t="s">
        <v>455</v>
      </c>
      <c r="B83" s="3" t="s">
        <v>456</v>
      </c>
      <c r="C83" t="s">
        <v>457</v>
      </c>
      <c r="D83" t="s">
        <v>458</v>
      </c>
      <c r="E83" s="2">
        <v>248.18</v>
      </c>
      <c r="F83" t="str">
        <f>_xlfn.DISPIMG("ID_030EA28488B42A04B5021562E05389D4",1)</f>
        <v>=DISPIMG("ID_030EA28488B42A04B5021562E05389D4",1)</v>
      </c>
      <c r="G83" t="s">
        <v>459</v>
      </c>
      <c r="H83" s="2" t="s">
        <v>75</v>
      </c>
      <c r="J83" t="s">
        <v>47</v>
      </c>
      <c r="K83" s="2" t="s">
        <v>166</v>
      </c>
      <c r="L83" s="2">
        <v>500</v>
      </c>
      <c r="M83" s="2">
        <v>1</v>
      </c>
    </row>
    <row r="84" ht="35.1" spans="1:13">
      <c r="A84" s="2" t="s">
        <v>460</v>
      </c>
      <c r="B84" s="3" t="s">
        <v>461</v>
      </c>
      <c r="C84" t="s">
        <v>462</v>
      </c>
      <c r="D84" t="s">
        <v>463</v>
      </c>
      <c r="E84" s="2">
        <v>126.04</v>
      </c>
      <c r="F84" t="str">
        <f>_xlfn.DISPIMG("ID_9CF63B028A7F0E7A5DF31462B313EC6F",1)</f>
        <v>=DISPIMG("ID_9CF63B028A7F0E7A5DF31462B313EC6F",1)</v>
      </c>
      <c r="G84" t="s">
        <v>464</v>
      </c>
      <c r="H84" s="2" t="s">
        <v>75</v>
      </c>
      <c r="J84" t="s">
        <v>47</v>
      </c>
      <c r="K84" s="2" t="s">
        <v>166</v>
      </c>
      <c r="L84" s="2">
        <v>500</v>
      </c>
      <c r="M84" s="2">
        <v>1</v>
      </c>
    </row>
    <row r="85" ht="29.9" spans="1:13">
      <c r="A85" s="2" t="s">
        <v>465</v>
      </c>
      <c r="B85" s="3" t="s">
        <v>466</v>
      </c>
      <c r="C85" t="s">
        <v>467</v>
      </c>
      <c r="D85" t="s">
        <v>468</v>
      </c>
      <c r="E85" s="2">
        <v>76.12</v>
      </c>
      <c r="F85" t="str">
        <f>_xlfn.DISPIMG("ID_86F385E9A79AB6DDDB0D1262644CC7AD",1)</f>
        <v>=DISPIMG("ID_86F385E9A79AB6DDDB0D1262644CC7AD",1)</v>
      </c>
      <c r="G85" t="s">
        <v>469</v>
      </c>
      <c r="H85" s="2" t="s">
        <v>59</v>
      </c>
      <c r="J85" t="s">
        <v>47</v>
      </c>
      <c r="K85" s="2" t="s">
        <v>166</v>
      </c>
      <c r="L85" s="2">
        <v>500</v>
      </c>
      <c r="M85" s="2">
        <v>1</v>
      </c>
    </row>
    <row r="86" ht="42.35" spans="1:13">
      <c r="A86" s="2" t="s">
        <v>470</v>
      </c>
      <c r="B86" s="3" t="s">
        <v>471</v>
      </c>
      <c r="C86" t="s">
        <v>472</v>
      </c>
      <c r="D86" t="s">
        <v>473</v>
      </c>
      <c r="E86" s="2">
        <v>136.08</v>
      </c>
      <c r="F86" t="str">
        <f>_xlfn.DISPIMG("ID_708BA9BA09C431BE84F31462B770FF3F",1)</f>
        <v>=DISPIMG("ID_708BA9BA09C431BE84F31462B770FF3F",1)</v>
      </c>
      <c r="G86" t="s">
        <v>474</v>
      </c>
      <c r="H86" s="2" t="s">
        <v>75</v>
      </c>
      <c r="K86" s="2" t="s">
        <v>166</v>
      </c>
      <c r="L86" s="2">
        <v>50</v>
      </c>
      <c r="M86" s="2">
        <v>1</v>
      </c>
    </row>
    <row r="87" ht="39.7" spans="1:13">
      <c r="A87" s="2" t="s">
        <v>475</v>
      </c>
      <c r="B87" s="3" t="s">
        <v>476</v>
      </c>
      <c r="C87" t="s">
        <v>477</v>
      </c>
      <c r="D87" t="s">
        <v>478</v>
      </c>
      <c r="E87" s="2">
        <v>84.99</v>
      </c>
      <c r="F87" t="str">
        <f>_xlfn.DISPIMG("ID_423E6820FAAFB91EA0F31462142A6F22",1)</f>
        <v>=DISPIMG("ID_423E6820FAAFB91EA0F31462142A6F22",1)</v>
      </c>
      <c r="G87" t="s">
        <v>479</v>
      </c>
      <c r="H87" s="2" t="s">
        <v>269</v>
      </c>
      <c r="I87" s="10" t="s">
        <v>480</v>
      </c>
      <c r="K87" s="2" t="s">
        <v>100</v>
      </c>
      <c r="L87" s="2">
        <v>500</v>
      </c>
      <c r="M87" s="2">
        <v>1</v>
      </c>
    </row>
    <row r="88" ht="44.5" spans="1:13">
      <c r="A88" s="2" t="s">
        <v>481</v>
      </c>
      <c r="B88" s="3" t="s">
        <v>482</v>
      </c>
      <c r="C88" t="s">
        <v>483</v>
      </c>
      <c r="D88" t="s">
        <v>484</v>
      </c>
      <c r="E88" s="7">
        <v>101.1</v>
      </c>
      <c r="F88" t="str">
        <f>_xlfn.DISPIMG("ID_1532F900052A29A9A9C715627BBB5BAD",1)</f>
        <v>=DISPIMG("ID_1532F900052A29A9A9C715627BBB5BAD",1)</v>
      </c>
      <c r="G88" t="s">
        <v>485</v>
      </c>
      <c r="H88" s="2" t="s">
        <v>486</v>
      </c>
      <c r="I88" s="10" t="s">
        <v>487</v>
      </c>
      <c r="K88" s="2" t="s">
        <v>100</v>
      </c>
      <c r="L88" s="2">
        <v>500</v>
      </c>
      <c r="M88" s="2">
        <v>1</v>
      </c>
    </row>
    <row r="89" ht="44.85" spans="1:14">
      <c r="A89" s="2" t="s">
        <v>488</v>
      </c>
      <c r="B89" s="3" t="s">
        <v>489</v>
      </c>
      <c r="C89" t="s">
        <v>490</v>
      </c>
      <c r="D89" t="s">
        <v>491</v>
      </c>
      <c r="E89" s="2">
        <v>194.91</v>
      </c>
      <c r="F89" t="str">
        <f>_xlfn.DISPIMG("ID_520E6992929CB38C60F41462F9017E2C",1)</f>
        <v>=DISPIMG("ID_520E6992929CB38C60F41462F9017E2C",1)</v>
      </c>
      <c r="G89" t="s">
        <v>492</v>
      </c>
      <c r="H89" s="2" t="s">
        <v>269</v>
      </c>
      <c r="I89" s="10" t="s">
        <v>493</v>
      </c>
      <c r="K89" s="2" t="s">
        <v>166</v>
      </c>
      <c r="L89" s="2">
        <v>1</v>
      </c>
      <c r="M89" s="11">
        <v>0</v>
      </c>
      <c r="N89" t="s">
        <v>294</v>
      </c>
    </row>
    <row r="90" ht="40.25" spans="1:13">
      <c r="A90" s="2" t="s">
        <v>494</v>
      </c>
      <c r="B90" s="3" t="s">
        <v>495</v>
      </c>
      <c r="C90" t="s">
        <v>496</v>
      </c>
      <c r="D90" t="s">
        <v>497</v>
      </c>
      <c r="E90" s="2">
        <v>256.41</v>
      </c>
      <c r="F90" t="str">
        <f>_xlfn.DISPIMG("ID_40B059DAD0EF6514B3F31462ED240FF6",1)</f>
        <v>=DISPIMG("ID_40B059DAD0EF6514B3F31462ED240FF6",1)</v>
      </c>
      <c r="G90" t="s">
        <v>498</v>
      </c>
      <c r="H90" s="2" t="s">
        <v>437</v>
      </c>
      <c r="I90" s="10" t="s">
        <v>499</v>
      </c>
      <c r="K90" s="2" t="s">
        <v>166</v>
      </c>
      <c r="L90" s="2">
        <v>500</v>
      </c>
      <c r="M90" s="2">
        <v>1</v>
      </c>
    </row>
    <row r="91" ht="44" spans="1:13">
      <c r="A91" s="2" t="s">
        <v>500</v>
      </c>
      <c r="B91" s="3" t="s">
        <v>501</v>
      </c>
      <c r="C91" t="s">
        <v>502</v>
      </c>
      <c r="D91" t="s">
        <v>503</v>
      </c>
      <c r="E91" s="7">
        <v>236.1</v>
      </c>
      <c r="F91" t="str">
        <f>_xlfn.DISPIMG("ID_3F556246A785DD8DB9F3146215297846",1)</f>
        <v>=DISPIMG("ID_3F556246A785DD8DB9F3146215297846",1)</v>
      </c>
      <c r="G91" t="s">
        <v>504</v>
      </c>
      <c r="H91" s="2" t="s">
        <v>505</v>
      </c>
      <c r="I91" s="10" t="s">
        <v>506</v>
      </c>
      <c r="K91" s="2" t="s">
        <v>100</v>
      </c>
      <c r="L91" s="2">
        <v>500</v>
      </c>
      <c r="M91" s="2">
        <v>1</v>
      </c>
    </row>
    <row r="92" ht="23" spans="1:13">
      <c r="A92" s="2" t="s">
        <v>507</v>
      </c>
      <c r="B92" s="3" t="s">
        <v>508</v>
      </c>
      <c r="C92" t="s">
        <v>509</v>
      </c>
      <c r="D92" t="s">
        <v>510</v>
      </c>
      <c r="E92" s="2">
        <v>211.63</v>
      </c>
      <c r="F92" t="str">
        <f>_xlfn.DISPIMG("ID_14E7C03337B13476C6F31462C850D578",1)</f>
        <v>=DISPIMG("ID_14E7C03337B13476C6F31462C850D578",1)</v>
      </c>
      <c r="G92" t="s">
        <v>511</v>
      </c>
      <c r="H92" s="2" t="s">
        <v>269</v>
      </c>
      <c r="I92" s="10" t="s">
        <v>506</v>
      </c>
      <c r="K92" s="2" t="s">
        <v>54</v>
      </c>
      <c r="L92" s="2">
        <v>500</v>
      </c>
      <c r="M92" s="2">
        <v>1</v>
      </c>
    </row>
    <row r="93" ht="23.65" spans="1:13">
      <c r="A93" s="2" t="s">
        <v>512</v>
      </c>
      <c r="B93" s="3" t="s">
        <v>513</v>
      </c>
      <c r="C93" t="s">
        <v>514</v>
      </c>
      <c r="D93" t="s">
        <v>515</v>
      </c>
      <c r="E93" s="2">
        <v>261.34</v>
      </c>
      <c r="F93" t="str">
        <f>_xlfn.DISPIMG("ID_BBF84A38470DB890CFF31462392C464B",1)</f>
        <v>=DISPIMG("ID_BBF84A38470DB890CFF31462392C464B",1)</v>
      </c>
      <c r="G93" t="s">
        <v>516</v>
      </c>
      <c r="H93" s="2" t="s">
        <v>517</v>
      </c>
      <c r="I93" s="10" t="s">
        <v>518</v>
      </c>
      <c r="K93" s="2" t="s">
        <v>54</v>
      </c>
      <c r="L93" s="2">
        <v>500</v>
      </c>
      <c r="M93" s="2">
        <v>1</v>
      </c>
    </row>
    <row r="94" ht="56.7" spans="1:13">
      <c r="A94" s="9" t="s">
        <v>519</v>
      </c>
      <c r="B94" s="3" t="s">
        <v>520</v>
      </c>
      <c r="C94" t="s">
        <v>521</v>
      </c>
      <c r="D94" t="s">
        <v>522</v>
      </c>
      <c r="E94" s="2">
        <v>400.18</v>
      </c>
      <c r="F94" t="str">
        <f>_xlfn.DISPIMG("ID_00D8ED1D2FECCAF0D6F3146271564CF6",1)</f>
        <v>=DISPIMG("ID_00D8ED1D2FECCAF0D6F3146271564CF6",1)</v>
      </c>
      <c r="G94" t="s">
        <v>523</v>
      </c>
      <c r="H94" s="2" t="s">
        <v>278</v>
      </c>
      <c r="K94" s="2" t="s">
        <v>100</v>
      </c>
      <c r="L94" s="2">
        <v>500</v>
      </c>
      <c r="M94" s="2">
        <v>1</v>
      </c>
    </row>
    <row r="95" ht="34.7" spans="1:13">
      <c r="A95" s="2" t="s">
        <v>524</v>
      </c>
      <c r="B95" s="3" t="s">
        <v>525</v>
      </c>
      <c r="C95" t="s">
        <v>526</v>
      </c>
      <c r="D95" t="s">
        <v>527</v>
      </c>
      <c r="E95" s="2">
        <v>433.02</v>
      </c>
      <c r="F95" t="str">
        <f>_xlfn.DISPIMG("ID_69A7BD8CCA8257F4E2F31462A467DF4A",1)</f>
        <v>=DISPIMG("ID_69A7BD8CCA8257F4E2F31462A467DF4A",1)</v>
      </c>
      <c r="G95" t="s">
        <v>528</v>
      </c>
      <c r="H95" s="2" t="s">
        <v>340</v>
      </c>
      <c r="K95" s="2" t="s">
        <v>100</v>
      </c>
      <c r="L95" s="2">
        <v>25</v>
      </c>
      <c r="M95" s="2">
        <v>1</v>
      </c>
    </row>
    <row r="96" ht="55.5" spans="1:13">
      <c r="A96" s="2" t="s">
        <v>529</v>
      </c>
      <c r="B96" s="3" t="s">
        <v>530</v>
      </c>
      <c r="C96" t="s">
        <v>531</v>
      </c>
      <c r="D96" t="s">
        <v>532</v>
      </c>
      <c r="E96" s="2">
        <v>434.24</v>
      </c>
      <c r="F96" t="str">
        <f>_xlfn.DISPIMG("ID_6341020A9A866303F2F314626D0E403E",1)</f>
        <v>=DISPIMG("ID_6341020A9A866303F2F314626D0E403E",1)</v>
      </c>
      <c r="G96" t="s">
        <v>533</v>
      </c>
      <c r="H96" s="2" t="s">
        <v>278</v>
      </c>
      <c r="K96" s="2" t="s">
        <v>100</v>
      </c>
      <c r="L96" s="2">
        <v>25</v>
      </c>
      <c r="M96" s="2">
        <v>1</v>
      </c>
    </row>
    <row r="97" ht="41.8" spans="1:13">
      <c r="A97" s="2" t="s">
        <v>534</v>
      </c>
      <c r="B97" s="3" t="s">
        <v>535</v>
      </c>
      <c r="C97" t="s">
        <v>536</v>
      </c>
      <c r="D97" t="s">
        <v>537</v>
      </c>
      <c r="E97" s="2">
        <v>404.02</v>
      </c>
      <c r="F97" t="str">
        <f>_xlfn.DISPIMG("ID_0E33A7B6E1FD936509F4146285929A5A",1)</f>
        <v>=DISPIMG("ID_0E33A7B6E1FD936509F4146285929A5A",1)</v>
      </c>
      <c r="G97" t="s">
        <v>538</v>
      </c>
      <c r="H97" s="2" t="s">
        <v>40</v>
      </c>
      <c r="K97" s="2" t="s">
        <v>54</v>
      </c>
      <c r="L97" s="2">
        <v>500</v>
      </c>
      <c r="M97" s="2">
        <v>1</v>
      </c>
    </row>
    <row r="98" ht="40.55" spans="1:13">
      <c r="A98" s="2" t="s">
        <v>539</v>
      </c>
      <c r="B98" s="3" t="s">
        <v>540</v>
      </c>
      <c r="C98" t="s">
        <v>541</v>
      </c>
      <c r="D98" t="s">
        <v>542</v>
      </c>
      <c r="E98" s="2">
        <v>290.79</v>
      </c>
      <c r="F98" t="str">
        <f>_xlfn.DISPIMG("ID_5A4253B6AE7F116B0FF41462AB441F98",1)</f>
        <v>=DISPIMG("ID_5A4253B6AE7F116B0FF41462AB441F98",1)</v>
      </c>
      <c r="G98" t="s">
        <v>543</v>
      </c>
      <c r="H98" s="2" t="s">
        <v>544</v>
      </c>
      <c r="I98" s="10" t="s">
        <v>545</v>
      </c>
      <c r="K98" s="2" t="s">
        <v>22</v>
      </c>
      <c r="L98" s="2">
        <v>500</v>
      </c>
      <c r="M98" s="2">
        <v>1</v>
      </c>
    </row>
    <row r="99" ht="40.75" spans="1:13">
      <c r="A99" s="2" t="s">
        <v>546</v>
      </c>
      <c r="B99" s="3" t="s">
        <v>547</v>
      </c>
      <c r="C99" t="s">
        <v>548</v>
      </c>
      <c r="D99" t="s">
        <v>549</v>
      </c>
      <c r="E99" s="7">
        <v>241.6</v>
      </c>
      <c r="F99" t="str">
        <f>_xlfn.DISPIMG("ID_33C35331057502D718F414623B107465",1)</f>
        <v>=DISPIMG("ID_33C35331057502D718F414623B107465",1)</v>
      </c>
      <c r="G99" t="s">
        <v>550</v>
      </c>
      <c r="H99" s="2" t="s">
        <v>551</v>
      </c>
      <c r="K99" s="2" t="s">
        <v>100</v>
      </c>
      <c r="L99" s="2">
        <v>500</v>
      </c>
      <c r="M99" s="2">
        <v>1</v>
      </c>
    </row>
    <row r="100" ht="50.75" spans="1:15">
      <c r="A100" s="2" t="s">
        <v>552</v>
      </c>
      <c r="B100" s="3" t="s">
        <v>553</v>
      </c>
      <c r="C100" t="s">
        <v>554</v>
      </c>
      <c r="D100" t="s">
        <v>555</v>
      </c>
      <c r="E100" s="2">
        <v>169.87</v>
      </c>
      <c r="F100" t="str">
        <f>_xlfn.DISPIMG("ID_9D525417514E3F7F20F41462A7CA78FC",1)</f>
        <v>=DISPIMG("ID_9D525417514E3F7F20F41462A7CA78FC",1)</v>
      </c>
      <c r="G100" t="s">
        <v>556</v>
      </c>
      <c r="H100" s="2" t="s">
        <v>340</v>
      </c>
      <c r="I100" s="10" t="s">
        <v>557</v>
      </c>
      <c r="L100" s="2">
        <v>1</v>
      </c>
      <c r="M100" s="2">
        <v>1</v>
      </c>
      <c r="O100" s="5">
        <v>1</v>
      </c>
    </row>
    <row r="101" ht="34.75" spans="1:13">
      <c r="A101" s="2" t="s">
        <v>558</v>
      </c>
      <c r="B101" s="3" t="s">
        <v>559</v>
      </c>
      <c r="C101" t="s">
        <v>560</v>
      </c>
      <c r="D101" t="s">
        <v>561</v>
      </c>
      <c r="E101" s="2">
        <v>297.51</v>
      </c>
      <c r="F101" t="str">
        <f>_xlfn.DISPIMG("ID_D60879C0DED1682527F41462AFBC7FC0",1)</f>
        <v>=DISPIMG("ID_D60879C0DED1682527F41462AFBC7FC0",1)</v>
      </c>
      <c r="G101" t="s">
        <v>562</v>
      </c>
      <c r="H101" s="2" t="s">
        <v>269</v>
      </c>
      <c r="I101" s="10" t="s">
        <v>563</v>
      </c>
      <c r="K101" s="2" t="s">
        <v>166</v>
      </c>
      <c r="L101" s="2">
        <v>500</v>
      </c>
      <c r="M101" s="2">
        <v>1</v>
      </c>
    </row>
    <row r="102" ht="29.3" spans="1:15">
      <c r="A102" s="2" t="s">
        <v>564</v>
      </c>
      <c r="B102" s="3" t="s">
        <v>565</v>
      </c>
      <c r="C102" t="s">
        <v>566</v>
      </c>
      <c r="D102" t="s">
        <v>567</v>
      </c>
      <c r="E102" s="2">
        <v>342.62</v>
      </c>
      <c r="F102" t="str">
        <f>_xlfn.DISPIMG("ID_DEF9CABB668AAC0D35F41462518BE229",1)</f>
        <v>=DISPIMG("ID_DEF9CABB668AAC0D35F41462518BE229",1)</v>
      </c>
      <c r="G102" t="s">
        <v>568</v>
      </c>
      <c r="H102" s="2" t="s">
        <v>569</v>
      </c>
      <c r="I102" s="10" t="s">
        <v>570</v>
      </c>
      <c r="J102" t="s">
        <v>571</v>
      </c>
      <c r="K102" s="2" t="s">
        <v>572</v>
      </c>
      <c r="L102" s="2">
        <v>100</v>
      </c>
      <c r="M102" s="2">
        <v>1</v>
      </c>
      <c r="O102" s="5">
        <v>1</v>
      </c>
    </row>
    <row r="103" ht="38" spans="1:13">
      <c r="A103" s="2" t="s">
        <v>573</v>
      </c>
      <c r="B103" s="3" t="s">
        <v>574</v>
      </c>
      <c r="C103" t="s">
        <v>575</v>
      </c>
      <c r="D103" t="s">
        <v>576</v>
      </c>
      <c r="E103" s="2">
        <v>375.13</v>
      </c>
      <c r="F103" t="str">
        <f>_xlfn.DISPIMG("ID_994A8E7551CBE50740F41462960B1B19",1)</f>
        <v>=DISPIMG("ID_994A8E7551CBE50740F41462960B1B19",1)</v>
      </c>
      <c r="G103" t="s">
        <v>577</v>
      </c>
      <c r="H103" s="2" t="s">
        <v>269</v>
      </c>
      <c r="K103" s="2" t="s">
        <v>100</v>
      </c>
      <c r="L103" s="2">
        <v>500</v>
      </c>
      <c r="M103" s="2">
        <v>1</v>
      </c>
    </row>
    <row r="104" ht="35.35" spans="1:15">
      <c r="A104" s="2" t="s">
        <v>578</v>
      </c>
      <c r="B104" s="3" t="s">
        <v>579</v>
      </c>
      <c r="C104" t="s">
        <v>580</v>
      </c>
      <c r="D104" t="s">
        <v>581</v>
      </c>
      <c r="E104" s="2">
        <v>308.48</v>
      </c>
      <c r="F104" t="str">
        <f>_xlfn.DISPIMG("ID_0F9418E5C746C8EF9CB25762DE75CF4B",1)</f>
        <v>=DISPIMG("ID_0F9418E5C746C8EF9CB25762DE75CF4B",1)</v>
      </c>
      <c r="G104" t="s">
        <v>582</v>
      </c>
      <c r="H104" s="2" t="s">
        <v>319</v>
      </c>
      <c r="K104" s="2" t="s">
        <v>100</v>
      </c>
      <c r="L104" s="2">
        <v>10</v>
      </c>
      <c r="M104" s="2">
        <v>1</v>
      </c>
      <c r="O104" s="5">
        <v>1</v>
      </c>
    </row>
    <row r="105" ht="44.55" spans="1:13">
      <c r="A105" s="2" t="s">
        <v>583</v>
      </c>
      <c r="B105" s="3" t="s">
        <v>584</v>
      </c>
      <c r="C105" t="s">
        <v>585</v>
      </c>
      <c r="D105" t="s">
        <v>586</v>
      </c>
      <c r="E105" s="2">
        <v>331.21</v>
      </c>
      <c r="F105" t="str">
        <f>_xlfn.DISPIMG("ID_B262928CF7E50FF548F41462D13D939D",1)</f>
        <v>=DISPIMG("ID_B262928CF7E50FF548F41462D13D939D",1)</v>
      </c>
      <c r="G105" t="s">
        <v>587</v>
      </c>
      <c r="H105" s="2" t="s">
        <v>544</v>
      </c>
      <c r="I105" s="10" t="s">
        <v>588</v>
      </c>
      <c r="K105" s="2" t="s">
        <v>100</v>
      </c>
      <c r="L105" s="2">
        <v>500</v>
      </c>
      <c r="M105" s="2">
        <v>1</v>
      </c>
    </row>
    <row r="106" ht="87.95" spans="1:13">
      <c r="A106" s="2" t="s">
        <v>589</v>
      </c>
      <c r="B106" s="3" t="s">
        <v>590</v>
      </c>
      <c r="C106" t="s">
        <v>591</v>
      </c>
      <c r="D106" t="s">
        <v>592</v>
      </c>
      <c r="E106" s="7">
        <v>395</v>
      </c>
      <c r="F106" t="str">
        <f>_xlfn.DISPIMG("ID_70603DB931727D7C4FF41462776B855E",1)</f>
        <v>=DISPIMG("ID_70603DB931727D7C4FF41462776B855E",1)</v>
      </c>
      <c r="G106" t="s">
        <v>593</v>
      </c>
      <c r="H106" s="2" t="s">
        <v>269</v>
      </c>
      <c r="J106" t="s">
        <v>60</v>
      </c>
      <c r="K106" s="2" t="s">
        <v>166</v>
      </c>
      <c r="L106" s="2">
        <v>500</v>
      </c>
      <c r="M106" s="2">
        <v>1</v>
      </c>
    </row>
    <row r="107" ht="117.05" spans="1:15">
      <c r="A107" s="2" t="s">
        <v>594</v>
      </c>
      <c r="B107" s="3" t="s">
        <v>595</v>
      </c>
      <c r="C107" t="s">
        <v>596</v>
      </c>
      <c r="D107" t="s">
        <v>597</v>
      </c>
      <c r="E107" s="2">
        <v>552.13</v>
      </c>
      <c r="F107" t="str">
        <f>_xlfn.DISPIMG("ID_92DAA17304BB09C86AF4146235DE7120",1)</f>
        <v>=DISPIMG("ID_92DAA17304BB09C86AF4146235DE7120",1)</v>
      </c>
      <c r="G107" t="s">
        <v>598</v>
      </c>
      <c r="H107" s="2" t="s">
        <v>551</v>
      </c>
      <c r="I107" s="4" t="s">
        <v>599</v>
      </c>
      <c r="L107" s="2">
        <v>5</v>
      </c>
      <c r="M107" s="2">
        <v>1</v>
      </c>
      <c r="N107" t="s">
        <v>130</v>
      </c>
      <c r="O107" s="5">
        <v>1</v>
      </c>
    </row>
    <row r="108" ht="37.75" spans="1:15">
      <c r="A108" s="2" t="s">
        <v>600</v>
      </c>
      <c r="B108" s="3" t="s">
        <v>601</v>
      </c>
      <c r="C108" t="s">
        <v>602</v>
      </c>
      <c r="D108" t="s">
        <v>603</v>
      </c>
      <c r="E108" s="2">
        <v>444.47</v>
      </c>
      <c r="F108" t="str">
        <f>_xlfn.DISPIMG("ID_5D15AAC2C7E944D60FA84562E05E8167",1)</f>
        <v>=DISPIMG("ID_5D15AAC2C7E944D60FA84562E05E8167",1)</v>
      </c>
      <c r="G108" t="s">
        <v>604</v>
      </c>
      <c r="H108" s="2" t="s">
        <v>278</v>
      </c>
      <c r="K108" s="2" t="s">
        <v>166</v>
      </c>
      <c r="L108" s="2">
        <v>5</v>
      </c>
      <c r="M108" s="2">
        <v>1</v>
      </c>
      <c r="O108" s="5">
        <v>1</v>
      </c>
    </row>
    <row r="109" ht="37.15" spans="1:15">
      <c r="A109" s="2" t="s">
        <v>605</v>
      </c>
      <c r="B109" s="3" t="s">
        <v>606</v>
      </c>
      <c r="C109" t="s">
        <v>607</v>
      </c>
      <c r="D109" t="s">
        <v>608</v>
      </c>
      <c r="E109" s="2">
        <v>123.07</v>
      </c>
      <c r="F109" t="str">
        <f>_xlfn.DISPIMG("ID_E7AA37B5835E832B92D14E622F451935",1)</f>
        <v>=DISPIMG("ID_E7AA37B5835E832B92D14E622F451935",1)</v>
      </c>
      <c r="G109" t="s">
        <v>609</v>
      </c>
      <c r="H109" s="2" t="s">
        <v>269</v>
      </c>
      <c r="L109" s="2">
        <v>5</v>
      </c>
      <c r="M109" s="2">
        <v>1</v>
      </c>
      <c r="O109" s="5">
        <v>1</v>
      </c>
    </row>
    <row r="110" ht="40.2" spans="1:15">
      <c r="A110" s="2" t="s">
        <v>610</v>
      </c>
      <c r="B110" s="3" t="s">
        <v>611</v>
      </c>
      <c r="C110" t="s">
        <v>612</v>
      </c>
      <c r="D110" t="s">
        <v>613</v>
      </c>
      <c r="E110" s="2">
        <v>122.1</v>
      </c>
      <c r="F110" t="str">
        <f>_xlfn.DISPIMG("ID_7117D788B0EA4C599215D377E9C5A0C6",1)</f>
        <v>=DISPIMG("ID_7117D788B0EA4C599215D377E9C5A0C6",1)</v>
      </c>
      <c r="G110" t="s">
        <v>614</v>
      </c>
      <c r="H110" s="2" t="s">
        <v>269</v>
      </c>
      <c r="L110" s="2">
        <v>5</v>
      </c>
      <c r="M110" s="2">
        <v>1</v>
      </c>
      <c r="O110" s="5">
        <v>1</v>
      </c>
    </row>
    <row r="111" ht="34.2" spans="1:15">
      <c r="A111" s="2" t="s">
        <v>615</v>
      </c>
      <c r="B111" s="3" t="s">
        <v>616</v>
      </c>
      <c r="C111" t="s">
        <v>617</v>
      </c>
      <c r="D111" t="s">
        <v>618</v>
      </c>
      <c r="E111" s="7">
        <v>69</v>
      </c>
      <c r="F111" t="str">
        <f>_xlfn.DISPIMG("ID_74BF335D92883AA870F4146226FBCEF6",1)</f>
        <v>=DISPIMG("ID_74BF335D92883AA870F4146226FBCEF6",1)</v>
      </c>
      <c r="G111" t="s">
        <v>619</v>
      </c>
      <c r="H111" s="2" t="s">
        <v>620</v>
      </c>
      <c r="J111" t="s">
        <v>139</v>
      </c>
      <c r="K111" s="2" t="s">
        <v>166</v>
      </c>
      <c r="L111" s="2">
        <v>500</v>
      </c>
      <c r="M111" s="2">
        <v>1</v>
      </c>
      <c r="O111" s="5">
        <v>1</v>
      </c>
    </row>
    <row r="112" ht="33.8" spans="1:13">
      <c r="A112" s="2" t="s">
        <v>621</v>
      </c>
      <c r="B112" s="3" t="s">
        <v>622</v>
      </c>
      <c r="C112" t="s">
        <v>623</v>
      </c>
      <c r="D112" t="s">
        <v>624</v>
      </c>
      <c r="E112" s="2">
        <v>73.89</v>
      </c>
      <c r="F112" t="str">
        <f>_xlfn.DISPIMG("ID_AD6D2DE9A46ADE5576F414626F88C648",1)</f>
        <v>=DISPIMG("ID_AD6D2DE9A46ADE5576F414626F88C648",1)</v>
      </c>
      <c r="G112" t="s">
        <v>625</v>
      </c>
      <c r="H112" s="2" t="s">
        <v>59</v>
      </c>
      <c r="J112" t="s">
        <v>148</v>
      </c>
      <c r="K112" s="2" t="s">
        <v>166</v>
      </c>
      <c r="L112" s="2">
        <v>500</v>
      </c>
      <c r="M112" s="2">
        <v>1</v>
      </c>
    </row>
    <row r="113" ht="48.75" spans="1:13">
      <c r="A113" s="2" t="s">
        <v>626</v>
      </c>
      <c r="B113" s="3" t="s">
        <v>627</v>
      </c>
      <c r="C113" t="s">
        <v>628</v>
      </c>
      <c r="D113" t="s">
        <v>629</v>
      </c>
      <c r="E113" s="2">
        <v>105.99</v>
      </c>
      <c r="F113" t="str">
        <f>_xlfn.DISPIMG("ID_74E31D63B2763FF385F4146209CAA7BE",1)</f>
        <v>=DISPIMG("ID_74E31D63B2763FF385F4146209CAA7BE",1)</v>
      </c>
      <c r="G113" t="s">
        <v>630</v>
      </c>
      <c r="H113" s="2" t="s">
        <v>59</v>
      </c>
      <c r="J113" t="s">
        <v>47</v>
      </c>
      <c r="K113" s="2" t="s">
        <v>166</v>
      </c>
      <c r="L113" s="2">
        <v>500</v>
      </c>
      <c r="M113" s="2">
        <v>1</v>
      </c>
    </row>
    <row r="114" ht="48.75" spans="1:13">
      <c r="A114" s="2" t="s">
        <v>626</v>
      </c>
      <c r="B114" s="3" t="s">
        <v>627</v>
      </c>
      <c r="C114" t="s">
        <v>628</v>
      </c>
      <c r="D114" t="s">
        <v>629</v>
      </c>
      <c r="E114" s="2">
        <v>105.99</v>
      </c>
      <c r="F114" t="str">
        <f>_xlfn.DISPIMG("ID_74E31D63B2763FF385F4146209CAA7BE",1)</f>
        <v>=DISPIMG("ID_74E31D63B2763FF385F4146209CAA7BE",1)</v>
      </c>
      <c r="G114" t="s">
        <v>630</v>
      </c>
      <c r="H114" s="2" t="s">
        <v>59</v>
      </c>
      <c r="J114" t="s">
        <v>631</v>
      </c>
      <c r="K114" s="2" t="s">
        <v>166</v>
      </c>
      <c r="L114" s="2">
        <v>500</v>
      </c>
      <c r="M114" s="11">
        <v>0</v>
      </c>
    </row>
    <row r="115" ht="43.45" spans="1:13">
      <c r="A115" s="2" t="s">
        <v>632</v>
      </c>
      <c r="B115" s="3" t="s">
        <v>633</v>
      </c>
      <c r="C115" t="s">
        <v>634</v>
      </c>
      <c r="D115" t="s">
        <v>635</v>
      </c>
      <c r="E115" s="2">
        <v>138.21</v>
      </c>
      <c r="F115" t="str">
        <f>_xlfn.DISPIMG("ID_44575BF424E11CE18DF414621E0D8521",1)</f>
        <v>=DISPIMG("ID_44575BF424E11CE18DF414621E0D8521",1)</v>
      </c>
      <c r="G115" t="s">
        <v>636</v>
      </c>
      <c r="H115" s="2" t="s">
        <v>59</v>
      </c>
      <c r="J115" t="s">
        <v>47</v>
      </c>
      <c r="K115" s="2" t="s">
        <v>166</v>
      </c>
      <c r="L115" s="2">
        <v>500</v>
      </c>
      <c r="M115" s="2">
        <v>1</v>
      </c>
    </row>
    <row r="116" ht="52.45" spans="1:13">
      <c r="A116" s="2" t="s">
        <v>637</v>
      </c>
      <c r="B116" s="3" t="s">
        <v>638</v>
      </c>
      <c r="C116" t="s">
        <v>639</v>
      </c>
      <c r="D116" t="s">
        <v>640</v>
      </c>
      <c r="E116" s="2">
        <v>485.8</v>
      </c>
      <c r="F116" t="str">
        <f>_xlfn.DISPIMG("ID_41C5DB60DBD94E2B94F4146210C51985",1)</f>
        <v>=DISPIMG("ID_41C5DB60DBD94E2B94F4146210C51985",1)</v>
      </c>
      <c r="G116" t="s">
        <v>641</v>
      </c>
      <c r="H116" s="2" t="s">
        <v>75</v>
      </c>
      <c r="J116" t="s">
        <v>47</v>
      </c>
      <c r="K116" s="2" t="s">
        <v>166</v>
      </c>
      <c r="L116" s="2">
        <v>250</v>
      </c>
      <c r="M116" s="2">
        <v>1</v>
      </c>
    </row>
    <row r="117" ht="54.9" spans="1:13">
      <c r="A117" s="2" t="s">
        <v>642</v>
      </c>
      <c r="B117" s="3" t="s">
        <v>643</v>
      </c>
      <c r="C117" t="s">
        <v>644</v>
      </c>
      <c r="D117" t="s">
        <v>645</v>
      </c>
      <c r="E117" s="2">
        <v>100.09</v>
      </c>
      <c r="F117" t="str">
        <f>_xlfn.DISPIMG("ID_6C279FB2F98D0FC698C71562489FC4AE",1)</f>
        <v>=DISPIMG("ID_6C279FB2F98D0FC698C71562489FC4AE",1)</v>
      </c>
      <c r="G117" t="s">
        <v>646</v>
      </c>
      <c r="H117" s="2" t="s">
        <v>75</v>
      </c>
      <c r="J117" t="s">
        <v>47</v>
      </c>
      <c r="K117" s="2" t="s">
        <v>166</v>
      </c>
      <c r="L117" s="2">
        <v>500</v>
      </c>
      <c r="M117" s="2">
        <v>1</v>
      </c>
    </row>
    <row r="118" ht="41.15" spans="1:13">
      <c r="A118" s="2" t="s">
        <v>647</v>
      </c>
      <c r="B118" s="3" t="s">
        <v>648</v>
      </c>
      <c r="C118" t="s">
        <v>649</v>
      </c>
      <c r="D118" t="s">
        <v>650</v>
      </c>
      <c r="E118" s="2">
        <v>197.34</v>
      </c>
      <c r="F118" t="str">
        <f>_xlfn.DISPIMG("ID_ABDDD818523C6653A7F414621ADD1044",1)</f>
        <v>=DISPIMG("ID_ABDDD818523C6653A7F414621ADD1044",1)</v>
      </c>
      <c r="G118" t="s">
        <v>651</v>
      </c>
      <c r="H118" s="2" t="s">
        <v>652</v>
      </c>
      <c r="J118" t="s">
        <v>47</v>
      </c>
      <c r="K118" s="2" t="s">
        <v>166</v>
      </c>
      <c r="L118" s="2">
        <v>500</v>
      </c>
      <c r="M118" s="2">
        <v>1</v>
      </c>
    </row>
    <row r="119" ht="34.55" spans="1:13">
      <c r="A119" s="2" t="s">
        <v>653</v>
      </c>
      <c r="B119" s="3" t="s">
        <v>654</v>
      </c>
      <c r="C119" t="s">
        <v>655</v>
      </c>
      <c r="D119" t="s">
        <v>656</v>
      </c>
      <c r="E119" s="2">
        <v>84.01</v>
      </c>
      <c r="F119" t="str">
        <f>_xlfn.DISPIMG("ID_01AD4A5B76D63251120C126221CBB0E1",1)</f>
        <v>=DISPIMG("ID_01AD4A5B76D63251120C126221CBB0E1",1)</v>
      </c>
      <c r="G119" t="s">
        <v>657</v>
      </c>
      <c r="H119" s="2" t="s">
        <v>75</v>
      </c>
      <c r="J119" t="s">
        <v>47</v>
      </c>
      <c r="K119" s="2" t="s">
        <v>166</v>
      </c>
      <c r="L119" s="2">
        <v>500</v>
      </c>
      <c r="M119" s="2">
        <v>1</v>
      </c>
    </row>
    <row r="120" ht="38.95" spans="1:13">
      <c r="A120" s="2" t="s">
        <v>658</v>
      </c>
      <c r="B120" s="3" t="s">
        <v>659</v>
      </c>
      <c r="C120" t="s">
        <v>660</v>
      </c>
      <c r="D120" t="s">
        <v>661</v>
      </c>
      <c r="E120" s="2">
        <v>79.05</v>
      </c>
      <c r="F120" t="str">
        <f>_xlfn.DISPIMG("ID_063083AF3FD26307270C1262882D0C10",1)</f>
        <v>=DISPIMG("ID_063083AF3FD26307270C1262882D0C10",1)</v>
      </c>
      <c r="G120" t="s">
        <v>662</v>
      </c>
      <c r="H120" s="2" t="s">
        <v>59</v>
      </c>
      <c r="J120" t="s">
        <v>47</v>
      </c>
      <c r="K120" s="2" t="s">
        <v>166</v>
      </c>
      <c r="L120" s="2">
        <v>500</v>
      </c>
      <c r="M120" s="2">
        <v>1</v>
      </c>
    </row>
    <row r="121" ht="38.95" spans="1:13">
      <c r="A121" s="2" t="s">
        <v>658</v>
      </c>
      <c r="B121" s="3" t="s">
        <v>659</v>
      </c>
      <c r="C121" t="s">
        <v>660</v>
      </c>
      <c r="D121" t="s">
        <v>661</v>
      </c>
      <c r="E121" s="2">
        <v>79.05</v>
      </c>
      <c r="F121" t="str">
        <f>_xlfn.DISPIMG("ID_063083AF3FD26307270C1262882D0C10",1)</f>
        <v>=DISPIMG("ID_063083AF3FD26307270C1262882D0C10",1)</v>
      </c>
      <c r="G121" t="s">
        <v>662</v>
      </c>
      <c r="H121" s="2" t="s">
        <v>59</v>
      </c>
      <c r="K121" s="2" t="s">
        <v>271</v>
      </c>
      <c r="L121" s="2">
        <v>2500</v>
      </c>
      <c r="M121" s="11">
        <v>0</v>
      </c>
    </row>
    <row r="122" ht="47.05" spans="1:13">
      <c r="A122" s="2" t="s">
        <v>663</v>
      </c>
      <c r="B122" s="3" t="s">
        <v>664</v>
      </c>
      <c r="C122" t="s">
        <v>665</v>
      </c>
      <c r="D122" t="s">
        <v>666</v>
      </c>
      <c r="E122" s="2" t="s">
        <v>667</v>
      </c>
      <c r="F122" t="str">
        <f>_xlfn.DISPIMG("ID_1A733582E62B4306330C126200A194B6",1)</f>
        <v>=DISPIMG("ID_1A733582E62B4306330C126200A194B6",1)</v>
      </c>
      <c r="G122" t="s">
        <v>668</v>
      </c>
      <c r="H122" s="2" t="s">
        <v>59</v>
      </c>
      <c r="J122" t="s">
        <v>99</v>
      </c>
      <c r="K122" s="2" t="s">
        <v>166</v>
      </c>
      <c r="L122" s="2">
        <v>500</v>
      </c>
      <c r="M122" s="2">
        <v>1</v>
      </c>
    </row>
    <row r="123" ht="33.8" spans="1:13">
      <c r="A123" s="2" t="s">
        <v>669</v>
      </c>
      <c r="B123" s="3" t="s">
        <v>670</v>
      </c>
      <c r="C123" t="s">
        <v>671</v>
      </c>
      <c r="D123" t="s">
        <v>672</v>
      </c>
      <c r="E123" s="2">
        <v>98.14</v>
      </c>
      <c r="F123" t="str">
        <f>_xlfn.DISPIMG("ID_01FC685297E1B8723D0C1262F2E2C091",1)</f>
        <v>=DISPIMG("ID_01FC685297E1B8723D0C1262F2E2C091",1)</v>
      </c>
      <c r="G123" t="s">
        <v>673</v>
      </c>
      <c r="H123" s="2" t="s">
        <v>75</v>
      </c>
      <c r="J123" t="s">
        <v>674</v>
      </c>
      <c r="K123" s="2" t="s">
        <v>166</v>
      </c>
      <c r="L123" s="2">
        <v>500</v>
      </c>
      <c r="M123" s="2">
        <v>1</v>
      </c>
    </row>
    <row r="124" ht="23.3" spans="1:15">
      <c r="A124" s="9" t="s">
        <v>675</v>
      </c>
      <c r="B124" s="3" t="s">
        <v>676</v>
      </c>
      <c r="C124" t="s">
        <v>677</v>
      </c>
      <c r="D124" t="s">
        <v>678</v>
      </c>
      <c r="E124" s="2">
        <v>266.53</v>
      </c>
      <c r="F124" t="str">
        <f>_xlfn.DISPIMG("ID_76F801D53E501FC412972562DEDCB68C",1)</f>
        <v>=DISPIMG("ID_76F801D53E501FC412972562DEDCB68C",1)</v>
      </c>
      <c r="G124" t="s">
        <v>679</v>
      </c>
      <c r="H124" s="2" t="s">
        <v>319</v>
      </c>
      <c r="J124" t="s">
        <v>680</v>
      </c>
      <c r="K124" s="2" t="s">
        <v>166</v>
      </c>
      <c r="L124" s="2">
        <v>25</v>
      </c>
      <c r="M124" s="2">
        <v>1</v>
      </c>
      <c r="N124"/>
      <c r="O124" s="5">
        <v>1</v>
      </c>
    </row>
    <row r="125" ht="34.9" spans="1:15">
      <c r="A125" s="2" t="s">
        <v>681</v>
      </c>
      <c r="B125" s="3" t="s">
        <v>682</v>
      </c>
      <c r="C125" t="s">
        <v>683</v>
      </c>
      <c r="D125" t="s">
        <v>684</v>
      </c>
      <c r="E125" s="2">
        <v>379.34</v>
      </c>
      <c r="F125" t="str">
        <f>_xlfn.DISPIMG("ID_CDF69E750FE83954490C1262047F519C",1)</f>
        <v>=DISPIMG("ID_CDF69E750FE83954490C1262047F519C",1)</v>
      </c>
      <c r="G125" t="s">
        <v>685</v>
      </c>
      <c r="H125" s="2" t="s">
        <v>410</v>
      </c>
      <c r="K125" s="2" t="s">
        <v>166</v>
      </c>
      <c r="L125" s="2">
        <v>100</v>
      </c>
      <c r="M125" s="2">
        <v>1</v>
      </c>
      <c r="O125" s="5">
        <v>1</v>
      </c>
    </row>
    <row r="126" ht="34.9" spans="1:13">
      <c r="A126" s="2" t="s">
        <v>681</v>
      </c>
      <c r="B126" s="3" t="s">
        <v>682</v>
      </c>
      <c r="C126" t="s">
        <v>683</v>
      </c>
      <c r="D126" t="s">
        <v>684</v>
      </c>
      <c r="E126" s="2">
        <v>379.34</v>
      </c>
      <c r="F126" t="str">
        <f>_xlfn.DISPIMG("ID_96D4044E838D27AF520C1262399BDAF9",1)</f>
        <v>=DISPIMG("ID_96D4044E838D27AF520C1262399BDAF9",1)</v>
      </c>
      <c r="G126" t="s">
        <v>685</v>
      </c>
      <c r="H126" s="2" t="s">
        <v>410</v>
      </c>
      <c r="J126" t="s">
        <v>47</v>
      </c>
      <c r="K126" s="2" t="s">
        <v>166</v>
      </c>
      <c r="L126" s="2">
        <v>500</v>
      </c>
      <c r="M126" s="2">
        <v>1</v>
      </c>
    </row>
    <row r="127" ht="66" spans="1:13">
      <c r="A127" s="2" t="s">
        <v>686</v>
      </c>
      <c r="B127" s="3" t="s">
        <v>687</v>
      </c>
      <c r="C127" t="s">
        <v>688</v>
      </c>
      <c r="D127" t="s">
        <v>689</v>
      </c>
      <c r="E127" s="2">
        <v>219.51</v>
      </c>
      <c r="F127" t="str">
        <f>_xlfn.DISPIMG("ID_AC91ED0897B537DD33862D62CA647A32",1)</f>
        <v>=DISPIMG("ID_AC91ED0897B537DD33862D62CA647A32",1)</v>
      </c>
      <c r="G127" t="s">
        <v>690</v>
      </c>
      <c r="H127" s="2" t="s">
        <v>245</v>
      </c>
      <c r="J127" t="s">
        <v>47</v>
      </c>
      <c r="K127" s="2" t="s">
        <v>100</v>
      </c>
      <c r="L127" s="2">
        <v>500</v>
      </c>
      <c r="M127" s="2">
        <v>1</v>
      </c>
    </row>
    <row r="128" s="1" customFormat="1" ht="33.6" spans="1:15">
      <c r="A128" s="14" t="s">
        <v>691</v>
      </c>
      <c r="B128" s="15" t="s">
        <v>692</v>
      </c>
      <c r="C128" s="1" t="s">
        <v>693</v>
      </c>
      <c r="D128" s="1" t="s">
        <v>694</v>
      </c>
      <c r="E128" s="14">
        <v>199.65</v>
      </c>
      <c r="F128" s="1" t="str">
        <f>_xlfn.DISPIMG("ID_15D88BDD2F964E6EBC073D7DE23D4476",1)</f>
        <v>=DISPIMG("ID_15D88BDD2F964E6EBC073D7DE23D4476",1)</v>
      </c>
      <c r="G128" s="1" t="s">
        <v>695</v>
      </c>
      <c r="H128" s="2" t="s">
        <v>154</v>
      </c>
      <c r="L128" s="2">
        <v>1</v>
      </c>
      <c r="M128" s="2">
        <v>1</v>
      </c>
      <c r="O128" s="16">
        <v>1</v>
      </c>
    </row>
    <row r="129" ht="35.8" spans="1:15">
      <c r="A129" s="2" t="s">
        <v>696</v>
      </c>
      <c r="B129" s="3" t="s">
        <v>697</v>
      </c>
      <c r="C129" t="s">
        <v>698</v>
      </c>
      <c r="D129" t="s">
        <v>699</v>
      </c>
      <c r="E129" s="2">
        <v>160.57</v>
      </c>
      <c r="F129" t="str">
        <f>_xlfn.DISPIMG("ID_1787436E1B3EF0F995C815625998499E",1)</f>
        <v>=DISPIMG("ID_1787436E1B3EF0F995C815625998499E",1)</v>
      </c>
      <c r="G129" t="s">
        <v>700</v>
      </c>
      <c r="H129" s="2" t="s">
        <v>75</v>
      </c>
      <c r="K129" s="13"/>
      <c r="L129" s="2">
        <v>1</v>
      </c>
      <c r="M129" s="2">
        <v>1</v>
      </c>
      <c r="O129" s="5">
        <v>1</v>
      </c>
    </row>
    <row r="130" ht="41.45" spans="1:15">
      <c r="A130" s="2" t="s">
        <v>701</v>
      </c>
      <c r="B130" s="3" t="s">
        <v>702</v>
      </c>
      <c r="C130" t="s">
        <v>703</v>
      </c>
      <c r="D130" t="s">
        <v>704</v>
      </c>
      <c r="E130" s="7">
        <v>128.1</v>
      </c>
      <c r="F130" t="str">
        <f>_xlfn.DISPIMG("ID_71169FDD5A2573849CC815624CCADCDF",1)</f>
        <v>=DISPIMG("ID_71169FDD5A2573849CC815624CCADCDF",1)</v>
      </c>
      <c r="G130" t="s">
        <v>705</v>
      </c>
      <c r="H130" s="2" t="s">
        <v>75</v>
      </c>
      <c r="L130" s="2">
        <v>1</v>
      </c>
      <c r="M130" s="2">
        <v>1</v>
      </c>
      <c r="O130" s="5">
        <v>1</v>
      </c>
    </row>
    <row r="131" ht="36.5" spans="1:13">
      <c r="A131" s="2" t="s">
        <v>706</v>
      </c>
      <c r="B131" s="3" t="s">
        <v>702</v>
      </c>
      <c r="C131" t="s">
        <v>707</v>
      </c>
      <c r="D131" t="s">
        <v>708</v>
      </c>
      <c r="E131" s="7">
        <v>134</v>
      </c>
      <c r="F131" t="str">
        <f>_xlfn.DISPIMG("ID_88D1D2512B2C53B66A0C12626C87C5A0",1)</f>
        <v>=DISPIMG("ID_88D1D2512B2C53B66A0C12626C87C5A0",1)</v>
      </c>
      <c r="G131" t="s">
        <v>709</v>
      </c>
      <c r="H131" s="2" t="s">
        <v>75</v>
      </c>
      <c r="J131" t="s">
        <v>148</v>
      </c>
      <c r="K131" s="2" t="s">
        <v>54</v>
      </c>
      <c r="L131" s="2">
        <v>500</v>
      </c>
      <c r="M131" s="2">
        <v>1</v>
      </c>
    </row>
    <row r="132" ht="36.2" spans="1:13">
      <c r="A132" s="2" t="s">
        <v>706</v>
      </c>
      <c r="B132" s="3" t="s">
        <v>702</v>
      </c>
      <c r="C132" t="s">
        <v>707</v>
      </c>
      <c r="D132" t="s">
        <v>708</v>
      </c>
      <c r="E132" s="7">
        <v>134</v>
      </c>
      <c r="F132" t="str">
        <f>_xlfn.DISPIMG("ID_88D1D2512B2C53B66A0C12626C87C5A0",1)</f>
        <v>=DISPIMG("ID_88D1D2512B2C53B66A0C12626C87C5A0",1)</v>
      </c>
      <c r="G132" t="s">
        <v>709</v>
      </c>
      <c r="H132" s="2" t="s">
        <v>75</v>
      </c>
      <c r="J132" t="s">
        <v>710</v>
      </c>
      <c r="K132" s="2" t="s">
        <v>54</v>
      </c>
      <c r="L132" s="2">
        <v>500</v>
      </c>
      <c r="M132" s="11">
        <v>0</v>
      </c>
    </row>
    <row r="133" ht="52.65" spans="1:15">
      <c r="A133" s="2" t="s">
        <v>711</v>
      </c>
      <c r="B133" s="17" t="s">
        <v>712</v>
      </c>
      <c r="C133" t="s">
        <v>713</v>
      </c>
      <c r="D133" t="s">
        <v>714</v>
      </c>
      <c r="E133" s="18">
        <v>143.86</v>
      </c>
      <c r="F133" s="18" t="str">
        <f>_xlfn.DISPIMG("ID_910A5DD938194DC5A09D49FD47BD30FE",1)</f>
        <v>=DISPIMG("ID_910A5DD938194DC5A09D49FD47BD30FE",1)</v>
      </c>
      <c r="G133" t="s">
        <v>715</v>
      </c>
      <c r="H133" s="2" t="s">
        <v>75</v>
      </c>
      <c r="L133" s="2">
        <v>5</v>
      </c>
      <c r="M133" s="2">
        <v>1</v>
      </c>
      <c r="O133" s="5">
        <v>1</v>
      </c>
    </row>
    <row r="134" ht="19.75" spans="1:15">
      <c r="A134" s="2" t="s">
        <v>716</v>
      </c>
      <c r="B134" s="3" t="s">
        <v>717</v>
      </c>
      <c r="C134" t="s">
        <v>718</v>
      </c>
      <c r="D134" t="s">
        <v>719</v>
      </c>
      <c r="E134" s="7">
        <v>545.87</v>
      </c>
      <c r="F134" t="str">
        <f>_xlfn.DISPIMG("ID_9D0D4504622C253D58AC3A62F669E2BB",1)</f>
        <v>=DISPIMG("ID_9D0D4504622C253D58AC3A62F669E2BB",1)</v>
      </c>
      <c r="G134" t="s">
        <v>720</v>
      </c>
      <c r="H134" s="2" t="s">
        <v>75</v>
      </c>
      <c r="L134" s="2">
        <v>2</v>
      </c>
      <c r="M134" s="2">
        <v>1</v>
      </c>
      <c r="O134" s="5">
        <v>1</v>
      </c>
    </row>
    <row r="135" ht="53.85" spans="1:15">
      <c r="A135" s="2" t="s">
        <v>721</v>
      </c>
      <c r="B135" s="3" t="s">
        <v>722</v>
      </c>
      <c r="C135" t="s">
        <v>723</v>
      </c>
      <c r="D135" t="s">
        <v>724</v>
      </c>
      <c r="E135" s="7">
        <v>582.79</v>
      </c>
      <c r="F135" t="str">
        <f>_xlfn.DISPIMG("ID_5364F1665B3F6722FAC64E62B0EE9C5B",1)</f>
        <v>=DISPIMG("ID_5364F1665B3F6722FAC64E62B0EE9C5B",1)</v>
      </c>
      <c r="G135" t="s">
        <v>725</v>
      </c>
      <c r="H135" s="2" t="s">
        <v>75</v>
      </c>
      <c r="L135" s="2">
        <v>2</v>
      </c>
      <c r="M135" s="2">
        <v>1</v>
      </c>
      <c r="O135" s="5">
        <v>1</v>
      </c>
    </row>
    <row r="136" ht="80.3" spans="1:15">
      <c r="A136" s="9" t="s">
        <v>726</v>
      </c>
      <c r="B136" s="3" t="s">
        <v>727</v>
      </c>
      <c r="C136" t="s">
        <v>728</v>
      </c>
      <c r="D136" t="s">
        <v>729</v>
      </c>
      <c r="E136" s="7">
        <v>218.46</v>
      </c>
      <c r="F136" t="str">
        <f>_xlfn.DISPIMG("ID_36E98F13BA7D53A98AB25762C37C66AD",1)</f>
        <v>=DISPIMG("ID_36E98F13BA7D53A98AB25762C37C66AD",1)</v>
      </c>
      <c r="G136" t="s">
        <v>730</v>
      </c>
      <c r="H136" s="2" t="s">
        <v>319</v>
      </c>
      <c r="L136" s="2">
        <v>1</v>
      </c>
      <c r="M136" s="2">
        <v>1</v>
      </c>
      <c r="O136" s="5">
        <v>1</v>
      </c>
    </row>
    <row r="137" ht="34.25" spans="1:15">
      <c r="A137" s="2" t="s">
        <v>731</v>
      </c>
      <c r="B137" s="3" t="s">
        <v>732</v>
      </c>
      <c r="C137" t="s">
        <v>733</v>
      </c>
      <c r="D137" t="s">
        <v>734</v>
      </c>
      <c r="E137" s="7">
        <v>408.08</v>
      </c>
      <c r="F137" t="str">
        <f>_xlfn.DISPIMG("ID_C93046D3562A1A645DAC3A6293A4856B",1)</f>
        <v>=DISPIMG("ID_C93046D3562A1A645DAC3A6293A4856B",1)</v>
      </c>
      <c r="G137" t="s">
        <v>735</v>
      </c>
      <c r="H137" s="2" t="s">
        <v>245</v>
      </c>
      <c r="I137" s="4" t="s">
        <v>599</v>
      </c>
      <c r="L137" s="2">
        <v>1</v>
      </c>
      <c r="M137" s="2">
        <v>1</v>
      </c>
      <c r="O137" s="5">
        <v>1</v>
      </c>
    </row>
    <row r="138" ht="43" spans="1:13">
      <c r="A138" s="2" t="s">
        <v>736</v>
      </c>
      <c r="B138" s="3" t="s">
        <v>737</v>
      </c>
      <c r="C138" t="s">
        <v>738</v>
      </c>
      <c r="D138" t="s">
        <v>739</v>
      </c>
      <c r="E138" s="7">
        <v>372.24</v>
      </c>
      <c r="F138" t="str">
        <f>_xlfn.DISPIMG("ID_623BC2BB86197DEE600E1B6257D07B35",1)</f>
        <v>=DISPIMG("ID_623BC2BB86197DEE600E1B6257D07B35",1)</v>
      </c>
      <c r="G138" t="s">
        <v>740</v>
      </c>
      <c r="H138" s="2" t="s">
        <v>75</v>
      </c>
      <c r="J138" t="s">
        <v>47</v>
      </c>
      <c r="K138" s="2" t="s">
        <v>100</v>
      </c>
      <c r="L138" s="2">
        <v>250</v>
      </c>
      <c r="M138" s="2">
        <v>1</v>
      </c>
    </row>
    <row r="139" ht="31.25" spans="1:13">
      <c r="A139" s="2" t="s">
        <v>741</v>
      </c>
      <c r="B139" s="3" t="s">
        <v>742</v>
      </c>
      <c r="C139" t="s">
        <v>743</v>
      </c>
      <c r="D139" t="s">
        <v>744</v>
      </c>
      <c r="E139" s="2">
        <v>194.19</v>
      </c>
      <c r="F139" t="str">
        <f>_xlfn.DISPIMG("ID_FD5C144FBB8C6901720C126205A9FC18",1)</f>
        <v>=DISPIMG("ID_FD5C144FBB8C6901720C126205A9FC18",1)</v>
      </c>
      <c r="G139" t="s">
        <v>745</v>
      </c>
      <c r="H139" s="2" t="s">
        <v>569</v>
      </c>
      <c r="K139" s="2" t="s">
        <v>54</v>
      </c>
      <c r="L139" s="2">
        <v>500</v>
      </c>
      <c r="M139" s="2">
        <v>1</v>
      </c>
    </row>
    <row r="140" ht="36.8" spans="1:14">
      <c r="A140" s="2" t="s">
        <v>746</v>
      </c>
      <c r="B140" s="3" t="s">
        <v>747</v>
      </c>
      <c r="C140" t="s">
        <v>748</v>
      </c>
      <c r="D140" t="s">
        <v>749</v>
      </c>
      <c r="E140" s="7">
        <v>298</v>
      </c>
      <c r="F140" t="str">
        <f>_xlfn.DISPIMG("ID_9FB68803DC4F04947C0C126205CCBADA",1)</f>
        <v>=DISPIMG("ID_9FB68803DC4F04947C0C126205CCBADA",1)</v>
      </c>
      <c r="G140" t="s">
        <v>750</v>
      </c>
      <c r="H140" s="2" t="s">
        <v>751</v>
      </c>
      <c r="I140" s="10" t="s">
        <v>752</v>
      </c>
      <c r="K140" s="2" t="s">
        <v>166</v>
      </c>
      <c r="L140" s="2">
        <v>500</v>
      </c>
      <c r="M140" s="2">
        <v>1</v>
      </c>
      <c r="N140" t="s">
        <v>272</v>
      </c>
    </row>
    <row r="141" ht="21.7" spans="1:13">
      <c r="A141" s="2" t="s">
        <v>753</v>
      </c>
      <c r="B141" s="3" t="s">
        <v>754</v>
      </c>
      <c r="C141" t="s">
        <v>755</v>
      </c>
      <c r="D141" t="s">
        <v>756</v>
      </c>
      <c r="E141" s="2">
        <v>252.06</v>
      </c>
      <c r="F141" t="str">
        <f>_xlfn.DISPIMG("ID_C4E133CE89C318AFA50C12625694494E",1)</f>
        <v>=DISPIMG("ID_C4E133CE89C318AFA50C12625694494E",1)</v>
      </c>
      <c r="G141" t="s">
        <v>757</v>
      </c>
      <c r="H141" s="2" t="s">
        <v>751</v>
      </c>
      <c r="I141" s="10" t="s">
        <v>758</v>
      </c>
      <c r="K141" s="2" t="s">
        <v>166</v>
      </c>
      <c r="L141" s="2">
        <v>500</v>
      </c>
      <c r="M141" s="2">
        <v>1</v>
      </c>
    </row>
    <row r="142" ht="35.1" spans="1:13">
      <c r="A142" s="2" t="s">
        <v>759</v>
      </c>
      <c r="B142" s="3" t="s">
        <v>760</v>
      </c>
      <c r="C142" t="s">
        <v>761</v>
      </c>
      <c r="D142" t="s">
        <v>762</v>
      </c>
      <c r="E142" s="9" t="s">
        <v>763</v>
      </c>
      <c r="F142" t="str">
        <f>_xlfn.DISPIMG("ID_A2CF5E8A560723EFAF0C1262025C6BFE",1)</f>
        <v>=DISPIMG("ID_A2CF5E8A560723EFAF0C1262025C6BFE",1)</v>
      </c>
      <c r="G142" t="s">
        <v>764</v>
      </c>
      <c r="H142" s="2" t="s">
        <v>751</v>
      </c>
      <c r="I142" s="10" t="s">
        <v>765</v>
      </c>
      <c r="K142" s="2" t="s">
        <v>166</v>
      </c>
      <c r="L142" s="2">
        <v>50</v>
      </c>
      <c r="M142" s="2">
        <v>1</v>
      </c>
    </row>
    <row r="143" ht="45.35" spans="1:14">
      <c r="A143" s="2" t="s">
        <v>766</v>
      </c>
      <c r="B143" s="3" t="s">
        <v>767</v>
      </c>
      <c r="C143" t="s">
        <v>768</v>
      </c>
      <c r="D143" t="s">
        <v>769</v>
      </c>
      <c r="E143" s="2">
        <v>158.03</v>
      </c>
      <c r="F143" t="str">
        <f>_xlfn.DISPIMG("ID_A81DCB9F96C2C3C1B60D1262AAA10401",1)</f>
        <v>=DISPIMG("ID_A81DCB9F96C2C3C1B60D1262AAA10401",1)</v>
      </c>
      <c r="G143" t="s">
        <v>770</v>
      </c>
      <c r="H143" s="2" t="s">
        <v>551</v>
      </c>
      <c r="I143" s="10" t="s">
        <v>771</v>
      </c>
      <c r="J143" t="s">
        <v>83</v>
      </c>
      <c r="K143" s="2" t="s">
        <v>772</v>
      </c>
      <c r="L143" s="2">
        <v>100</v>
      </c>
      <c r="M143" s="11">
        <v>0</v>
      </c>
      <c r="N143" t="s">
        <v>272</v>
      </c>
    </row>
    <row r="144" ht="36.75" spans="1:13">
      <c r="A144" s="2" t="s">
        <v>773</v>
      </c>
      <c r="B144" s="3" t="s">
        <v>774</v>
      </c>
      <c r="C144" t="s">
        <v>775</v>
      </c>
      <c r="D144" t="s">
        <v>776</v>
      </c>
      <c r="E144" s="7">
        <v>262.9</v>
      </c>
      <c r="F144" t="str">
        <f>_xlfn.DISPIMG("ID_F20A60903AEDF59765AC3A6215348752",1)</f>
        <v>=DISPIMG("ID_F20A60903AEDF59765AC3A6215348752",1)</v>
      </c>
      <c r="G144" t="s">
        <v>777</v>
      </c>
      <c r="H144" s="2" t="s">
        <v>245</v>
      </c>
      <c r="I144" s="10"/>
      <c r="J144" t="s">
        <v>778</v>
      </c>
      <c r="K144" s="2" t="s">
        <v>100</v>
      </c>
      <c r="L144" s="2">
        <v>250</v>
      </c>
      <c r="M144" s="11">
        <v>0</v>
      </c>
    </row>
    <row r="145" ht="42.1" spans="1:13">
      <c r="A145" s="2" t="s">
        <v>779</v>
      </c>
      <c r="B145" s="3" t="s">
        <v>780</v>
      </c>
      <c r="C145" t="s">
        <v>781</v>
      </c>
      <c r="D145" t="s">
        <v>782</v>
      </c>
      <c r="E145" s="2">
        <v>329.85</v>
      </c>
      <c r="F145" t="str">
        <f>_xlfn.DISPIMG("ID_A64E983A984399136AAC3A623C9F4C10",1)</f>
        <v>=DISPIMG("ID_A64E983A984399136AAC3A623C9F4C10",1)</v>
      </c>
      <c r="G145" t="s">
        <v>783</v>
      </c>
      <c r="H145" s="2" t="s">
        <v>59</v>
      </c>
      <c r="I145" s="10"/>
      <c r="J145" t="s">
        <v>784</v>
      </c>
      <c r="K145" s="2" t="s">
        <v>54</v>
      </c>
      <c r="L145" s="2">
        <v>500</v>
      </c>
      <c r="M145" s="11">
        <v>0</v>
      </c>
    </row>
    <row r="146" ht="29.85" spans="1:13">
      <c r="A146" s="2" t="s">
        <v>785</v>
      </c>
      <c r="B146" s="3" t="s">
        <v>786</v>
      </c>
      <c r="C146" t="s">
        <v>787</v>
      </c>
      <c r="D146" t="s">
        <v>788</v>
      </c>
      <c r="E146" s="2">
        <v>381.38</v>
      </c>
      <c r="F146" t="str">
        <f>_xlfn.DISPIMG("ID_AD8DB0E26825B433850D12624262A40E",1)</f>
        <v>=DISPIMG("ID_AD8DB0E26825B433850D12624262A40E",1)</v>
      </c>
      <c r="G146" t="s">
        <v>789</v>
      </c>
      <c r="H146" s="2" t="s">
        <v>53</v>
      </c>
      <c r="J146" t="s">
        <v>47</v>
      </c>
      <c r="K146" s="2" t="s">
        <v>166</v>
      </c>
      <c r="L146" s="2">
        <v>500</v>
      </c>
      <c r="M146" s="2">
        <v>1</v>
      </c>
    </row>
    <row r="147" ht="14.65" spans="1:15">
      <c r="A147" s="2" t="s">
        <v>790</v>
      </c>
      <c r="B147" s="3" t="s">
        <v>791</v>
      </c>
      <c r="C147" t="s">
        <v>792</v>
      </c>
      <c r="D147" t="s">
        <v>793</v>
      </c>
      <c r="E147" s="2">
        <v>216.59</v>
      </c>
      <c r="F147" t="str">
        <f>_xlfn.DISPIMG("ID_4687D2FBC02231D2B5F414621A276C29",1)</f>
        <v>=DISPIMG("ID_4687D2FBC02231D2B5F414621A276C29",1)</v>
      </c>
      <c r="G147" t="s">
        <v>794</v>
      </c>
      <c r="H147" s="2" t="s">
        <v>319</v>
      </c>
      <c r="I147" s="4" t="s">
        <v>795</v>
      </c>
      <c r="J147" t="s">
        <v>796</v>
      </c>
      <c r="K147" s="2" t="s">
        <v>54</v>
      </c>
      <c r="L147" s="2">
        <v>100</v>
      </c>
      <c r="M147" s="2">
        <v>1</v>
      </c>
      <c r="O147" s="5">
        <v>1</v>
      </c>
    </row>
    <row r="148" ht="37.5" spans="1:14">
      <c r="A148" s="2" t="s">
        <v>797</v>
      </c>
      <c r="B148" s="3" t="s">
        <v>798</v>
      </c>
      <c r="C148" t="s">
        <v>799</v>
      </c>
      <c r="D148" t="s">
        <v>800</v>
      </c>
      <c r="E148" s="2">
        <v>99.99</v>
      </c>
      <c r="F148" t="str">
        <f>_xlfn.DISPIMG("ID_CBE53CF08CA9A02FB70C1262424FB26F",1)</f>
        <v>=DISPIMG("ID_CBE53CF08CA9A02FB70C1262424FB26F",1)</v>
      </c>
      <c r="G148" t="s">
        <v>801</v>
      </c>
      <c r="H148" s="2" t="s">
        <v>751</v>
      </c>
      <c r="J148" t="s">
        <v>802</v>
      </c>
      <c r="K148" s="2" t="s">
        <v>166</v>
      </c>
      <c r="L148" s="2">
        <v>500</v>
      </c>
      <c r="M148" s="2">
        <v>1</v>
      </c>
      <c r="N148" t="s">
        <v>272</v>
      </c>
    </row>
    <row r="149" ht="42.3" spans="1:13">
      <c r="A149" s="2" t="s">
        <v>803</v>
      </c>
      <c r="B149" s="3" t="s">
        <v>804</v>
      </c>
      <c r="C149" t="s">
        <v>805</v>
      </c>
      <c r="D149" t="s">
        <v>806</v>
      </c>
      <c r="E149" s="2">
        <v>159.69</v>
      </c>
      <c r="F149" t="str">
        <f>_xlfn.DISPIMG("ID_E317E65F7BCFB903C80C12622EB8B4CC",1)</f>
        <v>=DISPIMG("ID_E317E65F7BCFB903C80C12622EB8B4CC",1)</v>
      </c>
      <c r="G149" t="s">
        <v>794</v>
      </c>
      <c r="H149" s="2" t="s">
        <v>69</v>
      </c>
      <c r="J149" t="s">
        <v>47</v>
      </c>
      <c r="K149" s="2" t="s">
        <v>100</v>
      </c>
      <c r="L149" s="2">
        <v>250</v>
      </c>
      <c r="M149" s="2">
        <v>1</v>
      </c>
    </row>
    <row r="150" ht="43.8" spans="1:13">
      <c r="A150" s="2" t="s">
        <v>807</v>
      </c>
      <c r="B150" s="3" t="s">
        <v>808</v>
      </c>
      <c r="C150" t="s">
        <v>809</v>
      </c>
      <c r="D150" t="s">
        <v>810</v>
      </c>
      <c r="E150" s="2">
        <v>181.88</v>
      </c>
      <c r="F150" t="str">
        <f>_xlfn.DISPIMG("ID_AEE08F60643876D6D20C126261D2AA83",1)</f>
        <v>=DISPIMG("ID_AEE08F60643876D6D20C126261D2AA83",1)</v>
      </c>
      <c r="G150" t="s">
        <v>794</v>
      </c>
      <c r="H150" s="2" t="s">
        <v>811</v>
      </c>
      <c r="J150" t="s">
        <v>60</v>
      </c>
      <c r="K150" s="2" t="s">
        <v>166</v>
      </c>
      <c r="L150" s="2">
        <v>100</v>
      </c>
      <c r="M150" s="2">
        <v>1</v>
      </c>
    </row>
    <row r="151" ht="42.9" spans="1:13">
      <c r="A151" s="2" t="s">
        <v>812</v>
      </c>
      <c r="B151" s="3" t="s">
        <v>813</v>
      </c>
      <c r="C151" t="s">
        <v>814</v>
      </c>
      <c r="D151" t="s">
        <v>815</v>
      </c>
      <c r="E151" s="2">
        <v>86.94</v>
      </c>
      <c r="F151" t="str">
        <f>_xlfn.DISPIMG("ID_BB942EFFE5C2F5B3FD0C1262CAB4CFEB",1)</f>
        <v>=DISPIMG("ID_BB942EFFE5C2F5B3FD0C1262CAB4CFEB",1)</v>
      </c>
      <c r="G151" t="s">
        <v>794</v>
      </c>
      <c r="H151" s="2" t="s">
        <v>59</v>
      </c>
      <c r="J151" t="s">
        <v>47</v>
      </c>
      <c r="K151" s="2" t="s">
        <v>48</v>
      </c>
      <c r="L151" s="2">
        <v>250</v>
      </c>
      <c r="M151" s="2">
        <v>1</v>
      </c>
    </row>
    <row r="152" ht="38.8" spans="1:13">
      <c r="A152" s="2" t="s">
        <v>816</v>
      </c>
      <c r="B152" s="3" t="s">
        <v>817</v>
      </c>
      <c r="C152" t="s">
        <v>818</v>
      </c>
      <c r="D152" t="s">
        <v>819</v>
      </c>
      <c r="E152" s="2">
        <v>20.03</v>
      </c>
      <c r="F152" t="str">
        <f>_xlfn.DISPIMG("ID_9720AA91CDA7B2EF150D1262B42AEEF5",1)</f>
        <v>=DISPIMG("ID_9720AA91CDA7B2EF150D1262B42AEEF5",1)</v>
      </c>
      <c r="G152" t="s">
        <v>820</v>
      </c>
      <c r="H152" s="2" t="s">
        <v>59</v>
      </c>
      <c r="J152" t="s">
        <v>128</v>
      </c>
      <c r="K152" s="19">
        <v>0.999</v>
      </c>
      <c r="L152" s="2">
        <v>0.55</v>
      </c>
      <c r="M152" s="11">
        <v>0</v>
      </c>
    </row>
    <row r="153" ht="28.35" spans="1:13">
      <c r="A153" s="2" t="s">
        <v>821</v>
      </c>
      <c r="B153" s="3" t="s">
        <v>822</v>
      </c>
      <c r="C153" t="s">
        <v>823</v>
      </c>
      <c r="D153" t="s">
        <v>824</v>
      </c>
      <c r="E153" s="2">
        <v>79.55</v>
      </c>
      <c r="F153" t="str">
        <f>_xlfn.DISPIMG("ID_FA4469E3B97CE7B082C715624972328B",1)</f>
        <v>=DISPIMG("ID_FA4469E3B97CE7B082C715624972328B",1)</v>
      </c>
      <c r="G153" t="s">
        <v>794</v>
      </c>
      <c r="H153" s="2" t="s">
        <v>825</v>
      </c>
      <c r="J153" t="s">
        <v>60</v>
      </c>
      <c r="K153" s="2" t="s">
        <v>166</v>
      </c>
      <c r="L153" s="2">
        <v>100</v>
      </c>
      <c r="M153" s="2">
        <v>1</v>
      </c>
    </row>
    <row r="154" ht="34.95" spans="1:13">
      <c r="A154" s="2" t="s">
        <v>826</v>
      </c>
      <c r="B154" s="3" t="s">
        <v>827</v>
      </c>
      <c r="C154" t="s">
        <v>828</v>
      </c>
      <c r="D154" t="s">
        <v>829</v>
      </c>
      <c r="E154" s="2" t="s">
        <v>75</v>
      </c>
      <c r="F154" t="str">
        <f>_xlfn.DISPIMG("ID_F55F0A39E5CE49DA1CC715625786B143",1)</f>
        <v>=DISPIMG("ID_F55F0A39E5CE49DA1CC715625786B143",1)</v>
      </c>
      <c r="G154" t="s">
        <v>830</v>
      </c>
      <c r="H154" s="2" t="s">
        <v>53</v>
      </c>
      <c r="J154" t="s">
        <v>831</v>
      </c>
      <c r="K154" s="2" t="s">
        <v>166</v>
      </c>
      <c r="L154" s="2">
        <v>500</v>
      </c>
      <c r="M154" s="11">
        <v>0</v>
      </c>
    </row>
    <row r="155" ht="26.85" spans="1:13">
      <c r="A155" s="2" t="s">
        <v>826</v>
      </c>
      <c r="B155" s="3" t="s">
        <v>832</v>
      </c>
      <c r="C155" t="s">
        <v>833</v>
      </c>
      <c r="D155" t="s">
        <v>829</v>
      </c>
      <c r="E155" s="2" t="s">
        <v>75</v>
      </c>
      <c r="F155" t="str">
        <f>_xlfn.DISPIMG("ID_BFA495BA7487AF0E18C71562C7E13FC6",1)</f>
        <v>=DISPIMG("ID_BFA495BA7487AF0E18C71562C7E13FC6",1)</v>
      </c>
      <c r="G155" t="s">
        <v>834</v>
      </c>
      <c r="H155" s="2" t="s">
        <v>53</v>
      </c>
      <c r="J155" t="s">
        <v>835</v>
      </c>
      <c r="K155" s="2" t="s">
        <v>75</v>
      </c>
      <c r="L155" s="2">
        <v>250</v>
      </c>
      <c r="M155" s="11">
        <v>0</v>
      </c>
    </row>
    <row r="156" ht="33.5" spans="1:13">
      <c r="A156" s="2" t="s">
        <v>836</v>
      </c>
      <c r="B156" s="3" t="s">
        <v>837</v>
      </c>
      <c r="C156" t="s">
        <v>838</v>
      </c>
      <c r="D156" t="s">
        <v>839</v>
      </c>
      <c r="E156" s="2">
        <v>141.94</v>
      </c>
      <c r="F156" t="str">
        <f>_xlfn.DISPIMG("ID_A7316DA51BCE8A5B230D12629DF54EC2",1)</f>
        <v>=DISPIMG("ID_A7316DA51BCE8A5B230D12629DF54EC2",1)</v>
      </c>
      <c r="G156" t="s">
        <v>820</v>
      </c>
      <c r="H156" s="2" t="s">
        <v>172</v>
      </c>
      <c r="J156" t="s">
        <v>47</v>
      </c>
      <c r="K156" s="2" t="s">
        <v>840</v>
      </c>
      <c r="L156" s="2">
        <v>500</v>
      </c>
      <c r="M156" s="2">
        <v>1</v>
      </c>
    </row>
    <row r="157" ht="21.3" spans="1:15">
      <c r="A157" s="2" t="s">
        <v>841</v>
      </c>
      <c r="B157" s="3" t="s">
        <v>842</v>
      </c>
      <c r="C157" t="s">
        <v>843</v>
      </c>
      <c r="D157" t="s">
        <v>844</v>
      </c>
      <c r="E157" s="7">
        <v>239.2</v>
      </c>
      <c r="F157" t="str">
        <f>_xlfn.DISPIMG("ID_18A19360F9C9E323380D12624FD6FCC3",1)</f>
        <v>=DISPIMG("ID_18A19360F9C9E323380D12624FD6FCC3",1)</v>
      </c>
      <c r="G157" t="s">
        <v>794</v>
      </c>
      <c r="H157" s="2" t="s">
        <v>845</v>
      </c>
      <c r="J157" t="s">
        <v>846</v>
      </c>
      <c r="K157" s="13">
        <v>0.97</v>
      </c>
      <c r="L157" s="2">
        <v>50</v>
      </c>
      <c r="M157" s="2">
        <v>1</v>
      </c>
      <c r="N157" t="s">
        <v>847</v>
      </c>
      <c r="O157" s="5">
        <v>1</v>
      </c>
    </row>
    <row r="158" spans="1:13">
      <c r="A158" s="2" t="s">
        <v>848</v>
      </c>
      <c r="B158" s="3" t="s">
        <v>849</v>
      </c>
      <c r="C158" t="s">
        <v>850</v>
      </c>
      <c r="D158" t="s">
        <v>851</v>
      </c>
      <c r="E158" s="2">
        <v>34.01</v>
      </c>
      <c r="F158" t="str">
        <f>_xlfn.DISPIMG("ID_97141E7F717BCBBADAC61562D12B0443",1)</f>
        <v>=DISPIMG("ID_97141E7F717BCBBADAC61562D12B0443",1)</v>
      </c>
      <c r="G158" t="s">
        <v>852</v>
      </c>
      <c r="H158" s="2" t="s">
        <v>853</v>
      </c>
      <c r="I158" s="4" t="s">
        <v>854</v>
      </c>
      <c r="J158" t="s">
        <v>47</v>
      </c>
      <c r="K158" s="2" t="s">
        <v>855</v>
      </c>
      <c r="L158" s="2">
        <v>500</v>
      </c>
      <c r="M158" s="2">
        <v>1</v>
      </c>
    </row>
    <row r="159" spans="1:15">
      <c r="A159" s="2" t="s">
        <v>856</v>
      </c>
      <c r="B159" s="3" t="s">
        <v>857</v>
      </c>
      <c r="C159" t="s">
        <v>858</v>
      </c>
      <c r="D159" t="s">
        <v>859</v>
      </c>
      <c r="E159" s="2">
        <v>264.04</v>
      </c>
      <c r="F159" t="str">
        <f>_xlfn.DISPIMG("ID_1C63B61A45092B8C85FA5A62369B346F",1)</f>
        <v>=DISPIMG("ID_1C63B61A45092B8C85FA5A62369B346F",1)</v>
      </c>
      <c r="G159" t="s">
        <v>794</v>
      </c>
      <c r="H159" s="2" t="s">
        <v>154</v>
      </c>
      <c r="I159" s="4" t="s">
        <v>599</v>
      </c>
      <c r="K159" s="13">
        <v>0.99</v>
      </c>
      <c r="L159" s="2">
        <v>1</v>
      </c>
      <c r="M159" s="2">
        <v>1</v>
      </c>
      <c r="N159" t="s">
        <v>130</v>
      </c>
      <c r="O159" s="5">
        <v>1</v>
      </c>
    </row>
    <row r="160" ht="27.25" spans="1:14">
      <c r="A160" s="2" t="s">
        <v>860</v>
      </c>
      <c r="B160" s="3" t="s">
        <v>861</v>
      </c>
      <c r="C160" t="s">
        <v>862</v>
      </c>
      <c r="D160" t="s">
        <v>863</v>
      </c>
      <c r="E160" s="7">
        <v>64.1</v>
      </c>
      <c r="F160" t="str">
        <f>_xlfn.DISPIMG("ID_422D114C0408C6468DC8156285DD4E1F",1)</f>
        <v>=DISPIMG("ID_422D114C0408C6468DC8156285DD4E1F",1)</v>
      </c>
      <c r="G160" t="s">
        <v>864</v>
      </c>
      <c r="H160" s="2" t="s">
        <v>69</v>
      </c>
      <c r="K160" s="2" t="s">
        <v>865</v>
      </c>
      <c r="L160" s="2">
        <v>100</v>
      </c>
      <c r="M160" s="11">
        <v>0</v>
      </c>
      <c r="N160" t="s">
        <v>106</v>
      </c>
    </row>
    <row r="161" ht="34.55" spans="1:15">
      <c r="A161" s="2" t="s">
        <v>866</v>
      </c>
      <c r="B161" s="3" t="s">
        <v>867</v>
      </c>
      <c r="C161" t="s">
        <v>868</v>
      </c>
      <c r="D161" t="s">
        <v>869</v>
      </c>
      <c r="E161" s="2">
        <v>55.29</v>
      </c>
      <c r="F161" t="str">
        <f>_xlfn.DISPIMG("ID_165F1DE329179A33580D1262BAB68A30",1)</f>
        <v>=DISPIMG("ID_165F1DE329179A33580D1262BAB68A30",1)</v>
      </c>
      <c r="G161" t="s">
        <v>870</v>
      </c>
      <c r="H161" s="2" t="s">
        <v>59</v>
      </c>
      <c r="J161" t="s">
        <v>313</v>
      </c>
      <c r="K161" s="13">
        <v>0.9</v>
      </c>
      <c r="L161" s="2">
        <v>100</v>
      </c>
      <c r="M161" s="11">
        <v>0</v>
      </c>
      <c r="O161" s="5">
        <v>1</v>
      </c>
    </row>
    <row r="162" spans="1:13">
      <c r="A162" s="2" t="s">
        <v>871</v>
      </c>
      <c r="B162" s="3" t="s">
        <v>872</v>
      </c>
      <c r="C162" t="s">
        <v>873</v>
      </c>
      <c r="D162" t="s">
        <v>874</v>
      </c>
      <c r="E162" s="2">
        <v>12.01</v>
      </c>
      <c r="G162" t="s">
        <v>875</v>
      </c>
      <c r="H162" s="2" t="s">
        <v>876</v>
      </c>
      <c r="K162" s="2" t="s">
        <v>75</v>
      </c>
      <c r="L162" s="2">
        <v>100</v>
      </c>
      <c r="M162" s="2">
        <v>1</v>
      </c>
    </row>
    <row r="163" spans="1:13">
      <c r="A163" s="2" t="s">
        <v>877</v>
      </c>
      <c r="B163" s="3" t="s">
        <v>878</v>
      </c>
      <c r="C163" t="s">
        <v>879</v>
      </c>
      <c r="D163" t="s">
        <v>880</v>
      </c>
      <c r="E163" s="2">
        <v>24.31</v>
      </c>
      <c r="G163" t="s">
        <v>881</v>
      </c>
      <c r="H163" s="2" t="s">
        <v>876</v>
      </c>
      <c r="I163" s="4" t="s">
        <v>882</v>
      </c>
      <c r="J163" t="s">
        <v>148</v>
      </c>
      <c r="K163" s="2" t="s">
        <v>865</v>
      </c>
      <c r="L163" s="2">
        <v>25</v>
      </c>
      <c r="M163" s="2">
        <v>1</v>
      </c>
    </row>
    <row r="164" spans="1:13">
      <c r="A164" s="2" t="s">
        <v>877</v>
      </c>
      <c r="B164" s="3" t="s">
        <v>883</v>
      </c>
      <c r="C164" t="s">
        <v>884</v>
      </c>
      <c r="D164" t="s">
        <v>880</v>
      </c>
      <c r="E164" s="2">
        <v>24.31</v>
      </c>
      <c r="G164" t="s">
        <v>881</v>
      </c>
      <c r="H164" s="2" t="s">
        <v>876</v>
      </c>
      <c r="I164" s="4" t="s">
        <v>882</v>
      </c>
      <c r="J164" t="s">
        <v>148</v>
      </c>
      <c r="K164" s="2" t="s">
        <v>865</v>
      </c>
      <c r="L164" s="2">
        <v>25</v>
      </c>
      <c r="M164" s="2">
        <v>1</v>
      </c>
    </row>
    <row r="165" spans="1:13">
      <c r="A165" s="2" t="s">
        <v>877</v>
      </c>
      <c r="B165" s="3" t="s">
        <v>885</v>
      </c>
      <c r="C165" t="s">
        <v>886</v>
      </c>
      <c r="D165" t="s">
        <v>880</v>
      </c>
      <c r="E165" s="2">
        <v>24.31</v>
      </c>
      <c r="G165" t="s">
        <v>881</v>
      </c>
      <c r="H165" s="2" t="s">
        <v>876</v>
      </c>
      <c r="K165" s="2" t="s">
        <v>865</v>
      </c>
      <c r="L165" s="2">
        <v>100</v>
      </c>
      <c r="M165" s="2">
        <v>1</v>
      </c>
    </row>
    <row r="166" spans="1:13">
      <c r="A166" s="2" t="s">
        <v>887</v>
      </c>
      <c r="B166" s="3" t="s">
        <v>888</v>
      </c>
      <c r="C166" t="s">
        <v>889</v>
      </c>
      <c r="D166" t="s">
        <v>890</v>
      </c>
      <c r="E166" s="2">
        <v>26.98</v>
      </c>
      <c r="G166" t="s">
        <v>881</v>
      </c>
      <c r="H166" s="2" t="s">
        <v>876</v>
      </c>
      <c r="I166" s="4" t="s">
        <v>891</v>
      </c>
      <c r="K166" s="2" t="s">
        <v>166</v>
      </c>
      <c r="L166" s="2">
        <v>500</v>
      </c>
      <c r="M166" s="2">
        <v>1</v>
      </c>
    </row>
    <row r="167" spans="1:13">
      <c r="A167" s="2" t="s">
        <v>887</v>
      </c>
      <c r="B167" s="3" t="s">
        <v>892</v>
      </c>
      <c r="C167" t="s">
        <v>893</v>
      </c>
      <c r="D167" t="s">
        <v>890</v>
      </c>
      <c r="E167" s="2">
        <v>26.98</v>
      </c>
      <c r="G167" t="s">
        <v>881</v>
      </c>
      <c r="H167" s="2" t="s">
        <v>876</v>
      </c>
      <c r="J167" t="s">
        <v>83</v>
      </c>
      <c r="K167" s="2" t="s">
        <v>75</v>
      </c>
      <c r="L167" s="2">
        <v>100</v>
      </c>
      <c r="M167" s="2">
        <v>1</v>
      </c>
    </row>
    <row r="168" spans="1:13">
      <c r="A168" s="2" t="s">
        <v>894</v>
      </c>
      <c r="B168" s="3" t="s">
        <v>895</v>
      </c>
      <c r="C168" t="s">
        <v>896</v>
      </c>
      <c r="D168" t="s">
        <v>897</v>
      </c>
      <c r="E168" s="2">
        <v>123.89</v>
      </c>
      <c r="G168" t="s">
        <v>875</v>
      </c>
      <c r="H168" s="2" t="s">
        <v>876</v>
      </c>
      <c r="J168" t="s">
        <v>47</v>
      </c>
      <c r="K168" s="2" t="s">
        <v>166</v>
      </c>
      <c r="L168" s="2">
        <v>500</v>
      </c>
      <c r="M168" s="2">
        <v>1</v>
      </c>
    </row>
    <row r="169" ht="46.3" spans="1:13">
      <c r="A169" s="2" t="s">
        <v>898</v>
      </c>
      <c r="B169" s="3" t="s">
        <v>899</v>
      </c>
      <c r="C169" t="s">
        <v>900</v>
      </c>
      <c r="D169" t="s">
        <v>901</v>
      </c>
      <c r="E169" s="2">
        <v>256.56</v>
      </c>
      <c r="F169" t="str">
        <f>_xlfn.DISPIMG("ID_8E7389FA94FDC6F5650D1262F69D7BF5",1)</f>
        <v>=DISPIMG("ID_8E7389FA94FDC6F5650D1262F69D7BF5",1)</v>
      </c>
      <c r="G169" t="s">
        <v>875</v>
      </c>
      <c r="H169" s="2" t="s">
        <v>876</v>
      </c>
      <c r="I169" s="4" t="s">
        <v>902</v>
      </c>
      <c r="K169" s="2" t="s">
        <v>54</v>
      </c>
      <c r="L169" s="2">
        <v>500</v>
      </c>
      <c r="M169" s="11">
        <v>0</v>
      </c>
    </row>
    <row r="170" spans="1:13">
      <c r="A170" s="2" t="s">
        <v>903</v>
      </c>
      <c r="B170" s="3" t="s">
        <v>904</v>
      </c>
      <c r="C170" t="s">
        <v>905</v>
      </c>
      <c r="D170" t="s">
        <v>906</v>
      </c>
      <c r="E170" s="7">
        <v>52</v>
      </c>
      <c r="G170" t="s">
        <v>881</v>
      </c>
      <c r="H170" s="2" t="s">
        <v>75</v>
      </c>
      <c r="K170" s="13">
        <v>0.99</v>
      </c>
      <c r="L170" s="2">
        <v>100</v>
      </c>
      <c r="M170" s="2">
        <v>1</v>
      </c>
    </row>
    <row r="171" spans="1:13">
      <c r="A171" s="2" t="s">
        <v>907</v>
      </c>
      <c r="B171" s="3" t="s">
        <v>908</v>
      </c>
      <c r="C171" t="s">
        <v>909</v>
      </c>
      <c r="D171" t="s">
        <v>910</v>
      </c>
      <c r="E171" s="2">
        <v>65.38</v>
      </c>
      <c r="G171" t="s">
        <v>881</v>
      </c>
      <c r="H171" s="2" t="s">
        <v>75</v>
      </c>
      <c r="K171" s="2" t="s">
        <v>166</v>
      </c>
      <c r="L171" s="2">
        <v>500</v>
      </c>
      <c r="M171" s="2">
        <v>1</v>
      </c>
    </row>
    <row r="172" spans="1:13">
      <c r="A172" s="2" t="s">
        <v>907</v>
      </c>
      <c r="B172" s="3" t="s">
        <v>911</v>
      </c>
      <c r="C172" t="s">
        <v>912</v>
      </c>
      <c r="D172" t="s">
        <v>910</v>
      </c>
      <c r="E172" s="2">
        <v>65.39</v>
      </c>
      <c r="G172" t="s">
        <v>881</v>
      </c>
      <c r="H172" s="2" t="s">
        <v>913</v>
      </c>
      <c r="I172" s="4" t="s">
        <v>914</v>
      </c>
      <c r="K172" s="2" t="s">
        <v>166</v>
      </c>
      <c r="L172" s="2">
        <v>500</v>
      </c>
      <c r="M172" s="2">
        <v>1</v>
      </c>
    </row>
    <row r="173" spans="1:13">
      <c r="A173" s="2" t="s">
        <v>915</v>
      </c>
      <c r="B173" s="3" t="s">
        <v>916</v>
      </c>
      <c r="C173" t="s">
        <v>917</v>
      </c>
      <c r="D173" t="s">
        <v>918</v>
      </c>
      <c r="E173" s="2">
        <v>63.55</v>
      </c>
      <c r="G173" t="s">
        <v>881</v>
      </c>
      <c r="H173" s="2" t="s">
        <v>825</v>
      </c>
      <c r="J173" t="s">
        <v>919</v>
      </c>
      <c r="K173" s="2" t="s">
        <v>865</v>
      </c>
      <c r="L173" s="2">
        <v>250</v>
      </c>
      <c r="M173" s="2">
        <v>1</v>
      </c>
    </row>
    <row r="174" spans="1:13">
      <c r="A174" s="2" t="s">
        <v>920</v>
      </c>
      <c r="B174" s="3" t="s">
        <v>921</v>
      </c>
      <c r="C174" t="s">
        <v>922</v>
      </c>
      <c r="D174" t="s">
        <v>923</v>
      </c>
      <c r="E174" s="2">
        <v>58.69</v>
      </c>
      <c r="G174" t="s">
        <v>881</v>
      </c>
      <c r="H174" s="2" t="s">
        <v>924</v>
      </c>
      <c r="K174" s="19" t="s">
        <v>925</v>
      </c>
      <c r="L174" s="2">
        <v>25</v>
      </c>
      <c r="M174" s="2">
        <v>1</v>
      </c>
    </row>
    <row r="175" spans="1:13">
      <c r="A175" s="2" t="s">
        <v>926</v>
      </c>
      <c r="B175" s="3" t="s">
        <v>927</v>
      </c>
      <c r="C175" t="s">
        <v>928</v>
      </c>
      <c r="D175" t="s">
        <v>929</v>
      </c>
      <c r="E175" s="2">
        <v>253.81</v>
      </c>
      <c r="G175" t="s">
        <v>930</v>
      </c>
      <c r="H175" s="2" t="s">
        <v>416</v>
      </c>
      <c r="J175" t="s">
        <v>931</v>
      </c>
      <c r="K175" s="2" t="s">
        <v>166</v>
      </c>
      <c r="L175" s="2">
        <v>250</v>
      </c>
      <c r="M175" s="2">
        <v>1</v>
      </c>
    </row>
    <row r="176" spans="1:13">
      <c r="A176" s="2" t="s">
        <v>932</v>
      </c>
      <c r="B176" s="3" t="s">
        <v>933</v>
      </c>
      <c r="C176" t="s">
        <v>934</v>
      </c>
      <c r="D176" t="s">
        <v>935</v>
      </c>
      <c r="E176" s="2">
        <v>95.94</v>
      </c>
      <c r="G176" t="s">
        <v>881</v>
      </c>
      <c r="H176" s="2" t="s">
        <v>75</v>
      </c>
      <c r="K176" s="13">
        <v>0.99</v>
      </c>
      <c r="L176" s="2">
        <v>100</v>
      </c>
      <c r="M176" s="11">
        <v>0</v>
      </c>
    </row>
    <row r="177" spans="1:14">
      <c r="A177" s="2" t="s">
        <v>936</v>
      </c>
      <c r="B177" s="3" t="s">
        <v>937</v>
      </c>
      <c r="C177" t="s">
        <v>938</v>
      </c>
      <c r="D177" t="s">
        <v>939</v>
      </c>
      <c r="E177" s="2">
        <v>47.87</v>
      </c>
      <c r="G177" t="s">
        <v>881</v>
      </c>
      <c r="H177" s="2" t="s">
        <v>75</v>
      </c>
      <c r="K177" s="13">
        <v>0.99</v>
      </c>
      <c r="L177" s="2">
        <v>100</v>
      </c>
      <c r="M177" s="2">
        <v>1</v>
      </c>
      <c r="N177" t="s">
        <v>940</v>
      </c>
    </row>
    <row r="178" ht="55.6" spans="1:15">
      <c r="A178" s="2" t="s">
        <v>941</v>
      </c>
      <c r="B178" s="3" t="s">
        <v>942</v>
      </c>
      <c r="C178" t="s">
        <v>943</v>
      </c>
      <c r="D178" t="s">
        <v>944</v>
      </c>
      <c r="E178" s="2">
        <v>342.22</v>
      </c>
      <c r="F178" t="str">
        <f>_xlfn.DISPIMG("ID_5D7518A76636D652EE0D1262D0238E14",1)</f>
        <v>=DISPIMG("ID_5D7518A76636D652EE0D1262D0238E14",1)</v>
      </c>
      <c r="G178" t="s">
        <v>945</v>
      </c>
      <c r="H178" s="2" t="s">
        <v>160</v>
      </c>
      <c r="J178" t="s">
        <v>448</v>
      </c>
      <c r="K178" s="2" t="s">
        <v>166</v>
      </c>
      <c r="L178" s="2">
        <v>10</v>
      </c>
      <c r="M178" s="2">
        <v>1</v>
      </c>
      <c r="O178" s="5">
        <v>1</v>
      </c>
    </row>
    <row r="179" ht="48.75" spans="1:15">
      <c r="A179" s="2" t="s">
        <v>946</v>
      </c>
      <c r="B179" s="3" t="s">
        <v>947</v>
      </c>
      <c r="C179" t="s">
        <v>948</v>
      </c>
      <c r="D179" t="s">
        <v>949</v>
      </c>
      <c r="E179" s="2">
        <v>358.32</v>
      </c>
      <c r="F179" t="str">
        <f>_xlfn.DISPIMG("ID_7EA985047574EE82FE0D12621F5767D9",1)</f>
        <v>=DISPIMG("ID_7EA985047574EE82FE0D12621F5767D9",1)</v>
      </c>
      <c r="G179" t="s">
        <v>950</v>
      </c>
      <c r="H179" s="2" t="s">
        <v>59</v>
      </c>
      <c r="J179" t="s">
        <v>951</v>
      </c>
      <c r="K179" s="2" t="s">
        <v>166</v>
      </c>
      <c r="L179" s="2">
        <v>10</v>
      </c>
      <c r="M179" s="2">
        <v>1</v>
      </c>
      <c r="N179" t="s">
        <v>294</v>
      </c>
      <c r="O179" s="5">
        <v>1</v>
      </c>
    </row>
    <row r="180" ht="29.7" spans="1:13">
      <c r="A180" s="2" t="s">
        <v>952</v>
      </c>
      <c r="B180" s="3" t="s">
        <v>953</v>
      </c>
      <c r="C180" t="s">
        <v>954</v>
      </c>
      <c r="D180" t="s">
        <v>955</v>
      </c>
      <c r="E180" s="2">
        <v>119.38</v>
      </c>
      <c r="F180" t="str">
        <f>_xlfn.DISPIMG("ID_6B276C5B33FC056F18C815623E51347C",1)</f>
        <v>=DISPIMG("ID_6B276C5B33FC056F18C815623E51347C",1)</v>
      </c>
      <c r="G180" t="s">
        <v>956</v>
      </c>
      <c r="H180" s="2" t="s">
        <v>957</v>
      </c>
      <c r="I180" s="4" t="s">
        <v>112</v>
      </c>
      <c r="K180" s="2" t="s">
        <v>100</v>
      </c>
      <c r="L180" s="2">
        <v>500</v>
      </c>
      <c r="M180" s="11">
        <v>0</v>
      </c>
    </row>
    <row r="181" ht="33.75" spans="1:13">
      <c r="A181" s="2" t="s">
        <v>958</v>
      </c>
      <c r="B181" s="3" t="s">
        <v>959</v>
      </c>
      <c r="C181" t="s">
        <v>960</v>
      </c>
      <c r="D181" t="s">
        <v>961</v>
      </c>
      <c r="E181" s="2">
        <v>78.11</v>
      </c>
      <c r="F181" t="str">
        <f>_xlfn.DISPIMG("ID_80F39C5ACD42567B0CC81562698EF13D",1)</f>
        <v>=DISPIMG("ID_80F39C5ACD42567B0CC81562698EF13D",1)</v>
      </c>
      <c r="G181" t="s">
        <v>962</v>
      </c>
      <c r="H181" s="2" t="s">
        <v>963</v>
      </c>
      <c r="K181" s="2" t="s">
        <v>166</v>
      </c>
      <c r="L181" s="2">
        <v>500</v>
      </c>
      <c r="M181" s="2">
        <v>1</v>
      </c>
    </row>
    <row r="182" ht="26.7" spans="1:13">
      <c r="A182" s="2" t="s">
        <v>964</v>
      </c>
      <c r="B182" s="3" t="s">
        <v>965</v>
      </c>
      <c r="C182" t="s">
        <v>966</v>
      </c>
      <c r="D182" t="s">
        <v>967</v>
      </c>
      <c r="E182" s="2">
        <v>92.14</v>
      </c>
      <c r="F182" t="str">
        <f>_xlfn.DISPIMG("ID_C8342A7D16D3FB2112C815628D429DA8",1)</f>
        <v>=DISPIMG("ID_C8342A7D16D3FB2112C815628D429DA8",1)</v>
      </c>
      <c r="G182" t="s">
        <v>962</v>
      </c>
      <c r="H182" s="2" t="s">
        <v>963</v>
      </c>
      <c r="I182" s="4" t="s">
        <v>968</v>
      </c>
      <c r="J182" t="s">
        <v>47</v>
      </c>
      <c r="K182" s="2" t="s">
        <v>54</v>
      </c>
      <c r="L182" s="2">
        <v>500</v>
      </c>
      <c r="M182" s="2">
        <v>1</v>
      </c>
    </row>
    <row r="183" ht="53.95" spans="1:14">
      <c r="A183" s="2" t="s">
        <v>969</v>
      </c>
      <c r="B183" s="3" t="s">
        <v>970</v>
      </c>
      <c r="C183" t="s">
        <v>971</v>
      </c>
      <c r="D183" t="s">
        <v>972</v>
      </c>
      <c r="E183" s="2">
        <v>106.17</v>
      </c>
      <c r="F183" t="str">
        <f>_xlfn.DISPIMG("ID_976E8DA543CEF8DCB70E126207E4765C",1)</f>
        <v>=DISPIMG("ID_976E8DA543CEF8DCB70E126207E4765C",1)</v>
      </c>
      <c r="G183" t="s">
        <v>973</v>
      </c>
      <c r="H183" s="2" t="s">
        <v>876</v>
      </c>
      <c r="J183" t="s">
        <v>148</v>
      </c>
      <c r="K183" s="2" t="s">
        <v>974</v>
      </c>
      <c r="L183" s="2">
        <v>500</v>
      </c>
      <c r="M183" s="2">
        <v>1</v>
      </c>
      <c r="N183" t="s">
        <v>294</v>
      </c>
    </row>
    <row r="184" spans="1:13">
      <c r="A184" s="2" t="s">
        <v>975</v>
      </c>
      <c r="B184" s="3" t="s">
        <v>976</v>
      </c>
      <c r="C184" t="s">
        <v>977</v>
      </c>
      <c r="D184" t="s">
        <v>978</v>
      </c>
      <c r="E184" s="2">
        <v>32.04</v>
      </c>
      <c r="F184" t="str">
        <f>_xlfn.DISPIMG("ID_94115DAF4788E699C60E12625D69F539",1)</f>
        <v>=DISPIMG("ID_94115DAF4788E699C60E12625D69F539",1)</v>
      </c>
      <c r="G184" t="s">
        <v>979</v>
      </c>
      <c r="H184" s="2" t="s">
        <v>980</v>
      </c>
      <c r="J184" t="s">
        <v>47</v>
      </c>
      <c r="K184" s="2" t="s">
        <v>54</v>
      </c>
      <c r="L184" s="2">
        <v>500</v>
      </c>
      <c r="M184" s="2">
        <v>1</v>
      </c>
    </row>
    <row r="185" spans="1:13">
      <c r="A185" s="2" t="s">
        <v>975</v>
      </c>
      <c r="B185" s="3" t="s">
        <v>976</v>
      </c>
      <c r="C185" t="s">
        <v>981</v>
      </c>
      <c r="D185" t="s">
        <v>978</v>
      </c>
      <c r="E185" s="2">
        <v>32.04</v>
      </c>
      <c r="F185" t="str">
        <f>_xlfn.DISPIMG("ID_94115DAF4788E699C60E12625D69F539",1)</f>
        <v>=DISPIMG("ID_94115DAF4788E699C60E12625D69F539",1)</v>
      </c>
      <c r="G185" t="s">
        <v>979</v>
      </c>
      <c r="H185" s="2" t="s">
        <v>980</v>
      </c>
      <c r="J185" t="s">
        <v>47</v>
      </c>
      <c r="K185" s="2" t="s">
        <v>54</v>
      </c>
      <c r="L185" s="2">
        <v>500</v>
      </c>
      <c r="M185" s="2">
        <v>1</v>
      </c>
    </row>
    <row r="186" ht="20.5" spans="1:13">
      <c r="A186" s="2" t="s">
        <v>982</v>
      </c>
      <c r="B186" s="3" t="s">
        <v>983</v>
      </c>
      <c r="C186" t="s">
        <v>984</v>
      </c>
      <c r="D186" t="s">
        <v>985</v>
      </c>
      <c r="E186" s="2">
        <v>46.07</v>
      </c>
      <c r="F186" t="str">
        <f>_xlfn.DISPIMG("ID_E45A08DA23827E79CF0E126292F82034",1)</f>
        <v>=DISPIMG("ID_E45A08DA23827E79CF0E126292F82034",1)</v>
      </c>
      <c r="G186" t="s">
        <v>979</v>
      </c>
      <c r="H186" s="2" t="s">
        <v>876</v>
      </c>
      <c r="J186" t="s">
        <v>47</v>
      </c>
      <c r="K186" s="2" t="s">
        <v>82</v>
      </c>
      <c r="L186" s="2">
        <v>500</v>
      </c>
      <c r="M186" s="11">
        <v>0</v>
      </c>
    </row>
    <row r="187" ht="20.5" spans="1:13">
      <c r="A187" s="2" t="s">
        <v>982</v>
      </c>
      <c r="B187" s="3" t="s">
        <v>983</v>
      </c>
      <c r="C187" t="s">
        <v>984</v>
      </c>
      <c r="D187" t="s">
        <v>985</v>
      </c>
      <c r="E187" s="2">
        <v>46.07</v>
      </c>
      <c r="F187" t="str">
        <f>_xlfn.DISPIMG("ID_E45A08DA23827E79CF0E126292F82034",1)</f>
        <v>=DISPIMG("ID_E45A08DA23827E79CF0E126292F82034",1)</v>
      </c>
      <c r="G187" t="s">
        <v>979</v>
      </c>
      <c r="H187" s="2" t="s">
        <v>876</v>
      </c>
      <c r="J187" t="s">
        <v>47</v>
      </c>
      <c r="K187" s="2" t="s">
        <v>82</v>
      </c>
      <c r="L187" s="2">
        <v>2500</v>
      </c>
      <c r="M187" s="11">
        <v>0</v>
      </c>
    </row>
    <row r="188" spans="1:13">
      <c r="A188" s="2" t="s">
        <v>986</v>
      </c>
      <c r="B188" s="3" t="s">
        <v>987</v>
      </c>
      <c r="C188" t="s">
        <v>988</v>
      </c>
      <c r="D188" t="s">
        <v>989</v>
      </c>
      <c r="E188" s="2">
        <v>74.12</v>
      </c>
      <c r="F188" t="str">
        <f>_xlfn.DISPIMG("ID_01EF9DCABAA6E43DAC2330625330D88E",1)</f>
        <v>=DISPIMG("ID_01EF9DCABAA6E43DAC2330625330D88E",1)</v>
      </c>
      <c r="G188" t="s">
        <v>990</v>
      </c>
      <c r="H188" s="2" t="s">
        <v>454</v>
      </c>
      <c r="I188" s="10" t="s">
        <v>991</v>
      </c>
      <c r="J188" t="s">
        <v>992</v>
      </c>
      <c r="K188" s="2" t="s">
        <v>772</v>
      </c>
      <c r="L188" s="2">
        <v>500</v>
      </c>
      <c r="M188" s="2">
        <v>1</v>
      </c>
    </row>
    <row r="189" ht="24.4" spans="1:13">
      <c r="A189" s="2" t="s">
        <v>993</v>
      </c>
      <c r="B189" s="3" t="s">
        <v>994</v>
      </c>
      <c r="C189" t="s">
        <v>995</v>
      </c>
      <c r="D189" t="s">
        <v>996</v>
      </c>
      <c r="E189" s="2">
        <v>92.09</v>
      </c>
      <c r="F189" t="str">
        <f>_xlfn.DISPIMG("ID_442471AF2CD075DDD70E1262A4B24C95",1)</f>
        <v>=DISPIMG("ID_442471AF2CD075DDD70E1262A4B24C95",1)</v>
      </c>
      <c r="G189" t="s">
        <v>979</v>
      </c>
      <c r="H189" s="2" t="s">
        <v>876</v>
      </c>
      <c r="J189" t="s">
        <v>47</v>
      </c>
      <c r="K189" s="2" t="s">
        <v>100</v>
      </c>
      <c r="L189" s="2">
        <v>500</v>
      </c>
      <c r="M189" s="2">
        <v>1</v>
      </c>
    </row>
    <row r="190" ht="24.4" spans="1:13">
      <c r="A190" s="2" t="s">
        <v>993</v>
      </c>
      <c r="B190" s="3" t="s">
        <v>994</v>
      </c>
      <c r="C190" t="s">
        <v>995</v>
      </c>
      <c r="D190" t="s">
        <v>996</v>
      </c>
      <c r="E190" s="2">
        <v>92.09</v>
      </c>
      <c r="F190" t="str">
        <f>_xlfn.DISPIMG("ID_442471AF2CD075DDD70E1262A4B24C95",1)</f>
        <v>=DISPIMG("ID_442471AF2CD075DDD70E1262A4B24C95",1)</v>
      </c>
      <c r="G190" t="s">
        <v>979</v>
      </c>
      <c r="H190" s="2" t="s">
        <v>876</v>
      </c>
      <c r="K190" s="2" t="s">
        <v>100</v>
      </c>
      <c r="L190" s="2">
        <v>500</v>
      </c>
      <c r="M190" s="2">
        <v>1</v>
      </c>
    </row>
    <row r="191" spans="1:13">
      <c r="A191" s="2" t="s">
        <v>997</v>
      </c>
      <c r="B191" s="3" t="s">
        <v>998</v>
      </c>
      <c r="C191" t="s">
        <v>999</v>
      </c>
      <c r="D191" t="s">
        <v>1000</v>
      </c>
      <c r="E191" s="2">
        <v>150.17</v>
      </c>
      <c r="F191" t="str">
        <f>_xlfn.DISPIMG("ID_4B5C00517BB465A2D9689264646786E3",1)</f>
        <v>=DISPIMG("ID_4B5C00517BB465A2D9689264646786E3",1)</v>
      </c>
      <c r="G191" t="s">
        <v>1001</v>
      </c>
      <c r="H191" s="2" t="s">
        <v>75</v>
      </c>
      <c r="J191" t="s">
        <v>128</v>
      </c>
      <c r="K191" s="2" t="s">
        <v>100</v>
      </c>
      <c r="L191" s="2">
        <v>500</v>
      </c>
      <c r="M191" s="2">
        <v>1</v>
      </c>
    </row>
    <row r="192" ht="33.45" spans="1:13">
      <c r="A192" s="2" t="s">
        <v>1002</v>
      </c>
      <c r="B192" s="3" t="s">
        <v>1003</v>
      </c>
      <c r="C192" t="s">
        <v>1004</v>
      </c>
      <c r="D192" t="s">
        <v>1005</v>
      </c>
      <c r="E192" s="2">
        <v>76.09</v>
      </c>
      <c r="F192" t="str">
        <f>_xlfn.DISPIMG("ID_75D5624820D7E8C5E40E12628CF38B90",1)</f>
        <v>=DISPIMG("ID_75D5624820D7E8C5E40E12628CF38B90",1)</v>
      </c>
      <c r="G192" t="s">
        <v>979</v>
      </c>
      <c r="H192" s="2" t="s">
        <v>876</v>
      </c>
      <c r="J192" t="s">
        <v>47</v>
      </c>
      <c r="K192" s="2" t="s">
        <v>100</v>
      </c>
      <c r="L192" s="2">
        <v>500</v>
      </c>
      <c r="M192" s="2">
        <v>1</v>
      </c>
    </row>
    <row r="193" ht="32.05" spans="1:13">
      <c r="A193" s="2" t="s">
        <v>1006</v>
      </c>
      <c r="B193" s="3" t="s">
        <v>1007</v>
      </c>
      <c r="C193" t="s">
        <v>1008</v>
      </c>
      <c r="D193" t="s">
        <v>1009</v>
      </c>
      <c r="E193" s="2">
        <v>122.12</v>
      </c>
      <c r="F193" t="str">
        <f>_xlfn.DISPIMG("ID_95FA91724FBBF9D9EC0E1262FB1E7691",1)</f>
        <v>=DISPIMG("ID_95FA91724FBBF9D9EC0E1262FB1E7691",1)</v>
      </c>
      <c r="G193" t="s">
        <v>1010</v>
      </c>
      <c r="H193" s="2" t="s">
        <v>876</v>
      </c>
      <c r="K193" s="2" t="s">
        <v>1011</v>
      </c>
      <c r="L193" s="2">
        <v>500</v>
      </c>
      <c r="M193" s="2">
        <v>1</v>
      </c>
    </row>
    <row r="194" ht="37.8" spans="1:14">
      <c r="A194" s="2" t="s">
        <v>1012</v>
      </c>
      <c r="B194" s="3" t="s">
        <v>1013</v>
      </c>
      <c r="C194" t="s">
        <v>1014</v>
      </c>
      <c r="D194" t="s">
        <v>1015</v>
      </c>
      <c r="E194" s="2">
        <v>74.12</v>
      </c>
      <c r="F194" t="str">
        <f>_xlfn.DISPIMG("ID_F146C57A98B8A70B22C8156237143BC5",1)</f>
        <v>=DISPIMG("ID_F146C57A98B8A70B22C8156237143BC5",1)</v>
      </c>
      <c r="G194" t="s">
        <v>979</v>
      </c>
      <c r="H194" s="2" t="s">
        <v>454</v>
      </c>
      <c r="J194" t="s">
        <v>148</v>
      </c>
      <c r="K194" s="2" t="s">
        <v>54</v>
      </c>
      <c r="L194" s="2">
        <v>500</v>
      </c>
      <c r="M194" s="2">
        <v>1</v>
      </c>
      <c r="N194" t="s">
        <v>294</v>
      </c>
    </row>
    <row r="195" ht="32.15" spans="1:14">
      <c r="A195" s="2" t="s">
        <v>1016</v>
      </c>
      <c r="B195" s="3" t="s">
        <v>1017</v>
      </c>
      <c r="C195" t="s">
        <v>1018</v>
      </c>
      <c r="D195" t="s">
        <v>1019</v>
      </c>
      <c r="E195" s="7">
        <v>60.11</v>
      </c>
      <c r="F195" t="str">
        <f>_xlfn.DISPIMG("ID_7C57C10C12C00C3B2AC81562FE62FDBC",1)</f>
        <v>=DISPIMG("ID_7C57C10C12C00C3B2AC81562FE62FDBC",1)</v>
      </c>
      <c r="G195" t="s">
        <v>979</v>
      </c>
      <c r="H195" s="2" t="s">
        <v>876</v>
      </c>
      <c r="J195" t="s">
        <v>1020</v>
      </c>
      <c r="K195" s="2" t="s">
        <v>82</v>
      </c>
      <c r="L195" s="2">
        <v>500</v>
      </c>
      <c r="M195" s="2">
        <v>1</v>
      </c>
      <c r="N195" t="s">
        <v>294</v>
      </c>
    </row>
    <row r="196" ht="34.15" spans="1:15">
      <c r="A196" s="2" t="s">
        <v>1016</v>
      </c>
      <c r="B196" s="3" t="s">
        <v>1017</v>
      </c>
      <c r="C196" t="s">
        <v>1018</v>
      </c>
      <c r="D196" t="s">
        <v>1019</v>
      </c>
      <c r="E196" s="7">
        <v>60.11</v>
      </c>
      <c r="F196" t="str">
        <f>_xlfn.DISPIMG("ID_24D135757CF74DA72FC815629640763A",1)</f>
        <v>=DISPIMG("ID_24D135757CF74DA72FC815629640763A",1)</v>
      </c>
      <c r="G196" t="s">
        <v>979</v>
      </c>
      <c r="H196" s="2" t="s">
        <v>876</v>
      </c>
      <c r="J196" t="s">
        <v>1021</v>
      </c>
      <c r="K196" s="2" t="s">
        <v>1022</v>
      </c>
      <c r="L196" s="2">
        <v>2</v>
      </c>
      <c r="M196" s="2">
        <v>1</v>
      </c>
      <c r="O196" s="5">
        <v>1</v>
      </c>
    </row>
    <row r="197" ht="24.25" spans="1:13">
      <c r="A197" s="2" t="s">
        <v>1023</v>
      </c>
      <c r="B197" s="3" t="s">
        <v>1024</v>
      </c>
      <c r="C197" t="s">
        <v>1025</v>
      </c>
      <c r="D197" t="s">
        <v>1026</v>
      </c>
      <c r="E197" s="2">
        <v>182.17</v>
      </c>
      <c r="F197" t="str">
        <f>_xlfn.DISPIMG("ID_A03AADED33A2BDF7F5111262CA780EAE",1)</f>
        <v>=DISPIMG("ID_A03AADED33A2BDF7F5111262CA780EAE",1)</v>
      </c>
      <c r="G197" t="s">
        <v>1010</v>
      </c>
      <c r="H197" s="2" t="s">
        <v>876</v>
      </c>
      <c r="J197" t="s">
        <v>47</v>
      </c>
      <c r="K197" s="2" t="s">
        <v>974</v>
      </c>
      <c r="L197" s="2">
        <v>100</v>
      </c>
      <c r="M197" s="2">
        <v>1</v>
      </c>
    </row>
    <row r="198" ht="83.8" spans="1:13">
      <c r="A198" s="2" t="s">
        <v>1027</v>
      </c>
      <c r="B198" s="3" t="s">
        <v>1028</v>
      </c>
      <c r="C198" t="s">
        <v>1029</v>
      </c>
      <c r="D198" t="s">
        <v>1030</v>
      </c>
      <c r="E198" s="2">
        <v>94.11</v>
      </c>
      <c r="F198" t="str">
        <f>_xlfn.DISPIMG("ID_591C34E56AC418360F1212627459B139",1)</f>
        <v>=DISPIMG("ID_591C34E56AC418360F1212627459B139",1)</v>
      </c>
      <c r="G198" t="s">
        <v>1031</v>
      </c>
      <c r="H198" s="2" t="s">
        <v>146</v>
      </c>
      <c r="J198" t="s">
        <v>47</v>
      </c>
      <c r="K198" s="2" t="s">
        <v>100</v>
      </c>
      <c r="L198" s="2">
        <v>500</v>
      </c>
      <c r="M198" s="2">
        <v>1</v>
      </c>
    </row>
    <row r="199" ht="64.1" spans="1:13">
      <c r="A199" s="2" t="s">
        <v>1032</v>
      </c>
      <c r="B199" s="3" t="s">
        <v>1033</v>
      </c>
      <c r="C199" t="s">
        <v>1034</v>
      </c>
      <c r="D199" t="s">
        <v>1035</v>
      </c>
      <c r="E199" s="2">
        <v>110.11</v>
      </c>
      <c r="F199" t="str">
        <f>_xlfn.DISPIMG("ID_DAF061A951DEE8D51A1212625258B7E2",1)</f>
        <v>=DISPIMG("ID_DAF061A951DEE8D51A1212625258B7E2",1)</v>
      </c>
      <c r="G199" t="s">
        <v>1031</v>
      </c>
      <c r="H199" s="2" t="s">
        <v>1036</v>
      </c>
      <c r="J199" t="s">
        <v>60</v>
      </c>
      <c r="K199" s="2" t="s">
        <v>54</v>
      </c>
      <c r="L199" s="2">
        <v>100</v>
      </c>
      <c r="M199" s="2">
        <v>1</v>
      </c>
    </row>
    <row r="200" ht="117.05" spans="1:15">
      <c r="A200" s="2" t="s">
        <v>1037</v>
      </c>
      <c r="B200" s="3" t="s">
        <v>1038</v>
      </c>
      <c r="C200" t="s">
        <v>1039</v>
      </c>
      <c r="D200" t="s">
        <v>1035</v>
      </c>
      <c r="E200" s="2">
        <v>110.11</v>
      </c>
      <c r="F200" t="str">
        <f>_xlfn.DISPIMG("ID_4529AFF83B6863B234C74E623CA15FAC",1)</f>
        <v>=DISPIMG("ID_4529AFF83B6863B234C74E623CA15FAC",1)</v>
      </c>
      <c r="G200" t="s">
        <v>1031</v>
      </c>
      <c r="H200" s="2" t="s">
        <v>1040</v>
      </c>
      <c r="K200" s="2" t="s">
        <v>1041</v>
      </c>
      <c r="L200" s="2">
        <v>50</v>
      </c>
      <c r="M200" s="2">
        <v>1</v>
      </c>
      <c r="N200" t="s">
        <v>1042</v>
      </c>
      <c r="O200" s="5">
        <v>1</v>
      </c>
    </row>
    <row r="201" ht="35.05" spans="1:13">
      <c r="A201" s="2" t="s">
        <v>1043</v>
      </c>
      <c r="B201" s="3" t="s">
        <v>1044</v>
      </c>
      <c r="C201" t="s">
        <v>1045</v>
      </c>
      <c r="D201" t="s">
        <v>1046</v>
      </c>
      <c r="E201" s="2">
        <v>145.16</v>
      </c>
      <c r="F201" t="str">
        <f>_xlfn.DISPIMG("ID_3E6CC2C59859D25A81C81562EC43C7B1",1)</f>
        <v>=DISPIMG("ID_3E6CC2C59859D25A81C81562EC43C7B1",1)</v>
      </c>
      <c r="G201" t="s">
        <v>1047</v>
      </c>
      <c r="H201" s="2" t="s">
        <v>59</v>
      </c>
      <c r="K201" s="2" t="s">
        <v>166</v>
      </c>
      <c r="L201" s="2">
        <v>25</v>
      </c>
      <c r="M201" s="2">
        <v>1</v>
      </c>
    </row>
    <row r="202" customFormat="1" ht="34.4" spans="1:15">
      <c r="A202" s="2" t="s">
        <v>1048</v>
      </c>
      <c r="B202" s="1" t="s">
        <v>1049</v>
      </c>
      <c r="C202" t="s">
        <v>1050</v>
      </c>
      <c r="D202" s="20" t="s">
        <v>1051</v>
      </c>
      <c r="E202" s="2">
        <v>178.27</v>
      </c>
      <c r="F202" t="str">
        <f>_xlfn.DISPIMG("ID_26577B346DA748FFA42390BE4E05C081",1)</f>
        <v>=DISPIMG("ID_26577B346DA748FFA42390BE4E05C081",1)</v>
      </c>
      <c r="G202" t="s">
        <v>1031</v>
      </c>
      <c r="H202" s="2" t="s">
        <v>59</v>
      </c>
      <c r="J202" t="s">
        <v>128</v>
      </c>
      <c r="K202" s="13">
        <v>0.98</v>
      </c>
      <c r="L202" s="2">
        <v>5</v>
      </c>
      <c r="M202" s="2">
        <v>1</v>
      </c>
      <c r="O202" s="5">
        <v>1</v>
      </c>
    </row>
    <row r="203" customFormat="1" ht="18.1" spans="1:15">
      <c r="A203" s="2" t="s">
        <v>1052</v>
      </c>
      <c r="B203" s="3" t="s">
        <v>1053</v>
      </c>
      <c r="C203" t="s">
        <v>1054</v>
      </c>
      <c r="D203" t="s">
        <v>1055</v>
      </c>
      <c r="E203" s="2">
        <v>64.06</v>
      </c>
      <c r="F203" t="str">
        <f>_xlfn.DISPIMG("ID_9529B398CA994B829FFFDA2DD1C83F86",1)</f>
        <v>=DISPIMG("ID_9529B398CA994B829FFFDA2DD1C83F86",1)</v>
      </c>
      <c r="G203" t="s">
        <v>1056</v>
      </c>
      <c r="H203" s="2" t="s">
        <v>59</v>
      </c>
      <c r="J203" t="s">
        <v>1057</v>
      </c>
      <c r="K203" s="13">
        <v>0.98</v>
      </c>
      <c r="L203" s="2">
        <v>1</v>
      </c>
      <c r="M203" s="11">
        <v>0</v>
      </c>
      <c r="O203" s="5"/>
    </row>
    <row r="204" ht="53.9" spans="1:13">
      <c r="A204" s="2" t="s">
        <v>1058</v>
      </c>
      <c r="B204" s="3" t="s">
        <v>1059</v>
      </c>
      <c r="C204" t="s">
        <v>1060</v>
      </c>
      <c r="D204" t="s">
        <v>1061</v>
      </c>
      <c r="E204" s="2">
        <v>180.16</v>
      </c>
      <c r="F204" t="str">
        <f>_xlfn.DISPIMG("ID_29D29FD113B65E5DB17F28621F427F17",1)</f>
        <v>=DISPIMG("ID_29D29FD113B65E5DB17F28621F427F17",1)</v>
      </c>
      <c r="G204" t="s">
        <v>1062</v>
      </c>
      <c r="H204" s="2" t="s">
        <v>876</v>
      </c>
      <c r="J204" t="s">
        <v>47</v>
      </c>
      <c r="K204" s="2" t="s">
        <v>166</v>
      </c>
      <c r="L204" s="2">
        <v>500</v>
      </c>
      <c r="M204" s="2">
        <v>1</v>
      </c>
    </row>
    <row r="205" ht="61.95" spans="1:13">
      <c r="A205" s="2" t="s">
        <v>1063</v>
      </c>
      <c r="B205" s="3" t="s">
        <v>1064</v>
      </c>
      <c r="C205" t="s">
        <v>1065</v>
      </c>
      <c r="D205" t="s">
        <v>1066</v>
      </c>
      <c r="E205" s="2">
        <v>148.12</v>
      </c>
      <c r="F205" t="str">
        <f>_xlfn.DISPIMG("ID_51AA063B5FD713A05C121262F038E654",1)</f>
        <v>=DISPIMG("ID_51AA063B5FD713A05C121262F038E654",1)</v>
      </c>
      <c r="G205" t="s">
        <v>1067</v>
      </c>
      <c r="H205" s="2" t="s">
        <v>127</v>
      </c>
      <c r="J205" t="s">
        <v>47</v>
      </c>
      <c r="K205" s="2" t="s">
        <v>166</v>
      </c>
      <c r="L205" s="2">
        <v>500</v>
      </c>
      <c r="M205" s="11">
        <v>0</v>
      </c>
    </row>
    <row r="206" ht="31.5" spans="1:15">
      <c r="A206" s="2" t="s">
        <v>1068</v>
      </c>
      <c r="B206" s="3" t="s">
        <v>1069</v>
      </c>
      <c r="C206" t="s">
        <v>1070</v>
      </c>
      <c r="D206" t="s">
        <v>1071</v>
      </c>
      <c r="E206" s="2">
        <v>147.13</v>
      </c>
      <c r="F206" t="str">
        <f>_xlfn.DISPIMG("ID_412CFAB5DA8BD20878C815626C697654",1)</f>
        <v>=DISPIMG("ID_412CFAB5DA8BD20878C815626C697654",1)</v>
      </c>
      <c r="G206" t="s">
        <v>1072</v>
      </c>
      <c r="H206" s="2" t="s">
        <v>59</v>
      </c>
      <c r="L206" s="2">
        <v>5</v>
      </c>
      <c r="M206" s="2">
        <v>1</v>
      </c>
      <c r="O206" s="5">
        <v>1</v>
      </c>
    </row>
    <row r="207" ht="50.6" spans="1:13">
      <c r="A207" s="2" t="s">
        <v>1073</v>
      </c>
      <c r="B207" s="3" t="s">
        <v>1074</v>
      </c>
      <c r="C207" t="s">
        <v>1075</v>
      </c>
      <c r="D207" t="s">
        <v>1076</v>
      </c>
      <c r="E207" s="2">
        <v>204.22</v>
      </c>
      <c r="F207" t="str">
        <f>_xlfn.DISPIMG("ID_D0137861716E6E7E2BC74E6265CB1CF4",1)</f>
        <v>=DISPIMG("ID_D0137861716E6E7E2BC74E6265CB1CF4",1)</v>
      </c>
      <c r="G207" t="s">
        <v>1077</v>
      </c>
      <c r="H207" s="2" t="s">
        <v>75</v>
      </c>
      <c r="J207" t="s">
        <v>1078</v>
      </c>
      <c r="K207" s="2" t="s">
        <v>166</v>
      </c>
      <c r="L207" s="2">
        <v>500</v>
      </c>
      <c r="M207" s="11">
        <v>0</v>
      </c>
    </row>
    <row r="208" ht="36.8" spans="1:15">
      <c r="A208" s="2" t="s">
        <v>1079</v>
      </c>
      <c r="B208" s="3" t="s">
        <v>1080</v>
      </c>
      <c r="C208" t="s">
        <v>1081</v>
      </c>
      <c r="D208" t="s">
        <v>1082</v>
      </c>
      <c r="E208" s="2">
        <v>211.13</v>
      </c>
      <c r="F208" t="str">
        <f>_xlfn.DISPIMG("ID_1BC5E0B38ADBB6DA5F649264E6E061AD",1)</f>
        <v>=DISPIMG("ID_1BC5E0B38ADBB6DA5F649264E6E061AD",1)</v>
      </c>
      <c r="G208" t="s">
        <v>1083</v>
      </c>
      <c r="H208" s="2" t="s">
        <v>28</v>
      </c>
      <c r="J208" t="s">
        <v>128</v>
      </c>
      <c r="K208" s="13">
        <v>0.96</v>
      </c>
      <c r="L208" s="2">
        <v>100</v>
      </c>
      <c r="M208" s="2">
        <v>1</v>
      </c>
      <c r="O208" s="5">
        <v>1</v>
      </c>
    </row>
    <row r="209" ht="34.4" spans="1:13">
      <c r="A209" s="2" t="s">
        <v>1084</v>
      </c>
      <c r="B209" s="3" t="s">
        <v>1085</v>
      </c>
      <c r="C209" t="s">
        <v>1086</v>
      </c>
      <c r="D209" t="s">
        <v>1087</v>
      </c>
      <c r="E209" s="2">
        <v>72.11</v>
      </c>
      <c r="F209" t="str">
        <f>_xlfn.DISPIMG("ID_5C82768D3267BD2E45C815628F5DC7F9",1)</f>
        <v>=DISPIMG("ID_5C82768D3267BD2E45C815628F5DC7F9",1)</v>
      </c>
      <c r="G209" t="s">
        <v>1088</v>
      </c>
      <c r="H209" s="2" t="s">
        <v>963</v>
      </c>
      <c r="J209" t="s">
        <v>47</v>
      </c>
      <c r="K209" s="2" t="s">
        <v>100</v>
      </c>
      <c r="L209" s="2">
        <v>500</v>
      </c>
      <c r="M209" s="2">
        <v>1</v>
      </c>
    </row>
    <row r="210" ht="29.05" spans="1:13">
      <c r="A210" s="2" t="s">
        <v>1089</v>
      </c>
      <c r="B210" s="3" t="s">
        <v>1090</v>
      </c>
      <c r="C210" t="s">
        <v>1091</v>
      </c>
      <c r="D210" t="s">
        <v>1092</v>
      </c>
      <c r="E210" s="2">
        <v>58.08</v>
      </c>
      <c r="F210" t="str">
        <f>_xlfn.DISPIMG("ID_C0CB91498A7CF9264AC81562E3235BE9",1)</f>
        <v>=DISPIMG("ID_C0CB91498A7CF9264AC81562E3235BE9",1)</v>
      </c>
      <c r="G210" t="s">
        <v>1093</v>
      </c>
      <c r="H210" s="2" t="s">
        <v>454</v>
      </c>
      <c r="I210" s="21" t="s">
        <v>1094</v>
      </c>
      <c r="J210" t="s">
        <v>1095</v>
      </c>
      <c r="K210" s="2" t="s">
        <v>54</v>
      </c>
      <c r="L210" s="2">
        <v>500</v>
      </c>
      <c r="M210" s="2">
        <v>1</v>
      </c>
    </row>
    <row r="211" ht="32.25" spans="1:15">
      <c r="A211" s="2" t="s">
        <v>1096</v>
      </c>
      <c r="B211" s="3" t="s">
        <v>1097</v>
      </c>
      <c r="C211" t="s">
        <v>1098</v>
      </c>
      <c r="D211" t="s">
        <v>1099</v>
      </c>
      <c r="E211" s="2">
        <v>234.29</v>
      </c>
      <c r="F211" t="str">
        <f>_xlfn.DISPIMG("ID_FA10CE3E557DCFC50AC74E625D976FF1",1)</f>
        <v>=DISPIMG("ID_FA10CE3E557DCFC50AC74E625D976FF1",1)</v>
      </c>
      <c r="G211" t="s">
        <v>1100</v>
      </c>
      <c r="H211" s="2" t="s">
        <v>59</v>
      </c>
      <c r="I211" s="21"/>
      <c r="L211" s="2">
        <v>5</v>
      </c>
      <c r="M211" s="2">
        <v>1</v>
      </c>
      <c r="N211" t="s">
        <v>1042</v>
      </c>
      <c r="O211" s="5">
        <v>1</v>
      </c>
    </row>
    <row r="212" ht="37.55" spans="1:13">
      <c r="A212" s="2" t="s">
        <v>1101</v>
      </c>
      <c r="B212" s="3" t="s">
        <v>1102</v>
      </c>
      <c r="C212" t="s">
        <v>1103</v>
      </c>
      <c r="D212" t="s">
        <v>1087</v>
      </c>
      <c r="E212" s="7">
        <v>72.1</v>
      </c>
      <c r="F212" t="str">
        <f>_xlfn.DISPIMG("ID_03793C180AC35AC08012126250A81BDF",1)</f>
        <v>=DISPIMG("ID_03793C180AC35AC08012126250A81BDF",1)</v>
      </c>
      <c r="G212" t="s">
        <v>1093</v>
      </c>
      <c r="H212" s="2" t="s">
        <v>454</v>
      </c>
      <c r="I212" s="21" t="s">
        <v>1094</v>
      </c>
      <c r="J212" t="s">
        <v>1104</v>
      </c>
      <c r="K212" s="2"/>
      <c r="L212" s="2">
        <v>500</v>
      </c>
      <c r="M212" s="11">
        <v>0</v>
      </c>
    </row>
    <row r="213" spans="1:13">
      <c r="A213" s="2" t="s">
        <v>1105</v>
      </c>
      <c r="B213" s="3" t="s">
        <v>1106</v>
      </c>
      <c r="C213" t="s">
        <v>1107</v>
      </c>
      <c r="D213" t="s">
        <v>1108</v>
      </c>
      <c r="E213" s="2">
        <v>30.03</v>
      </c>
      <c r="F213" t="str">
        <f>_xlfn.DISPIMG("ID_7CC9DD6C3C2186DA861212625E5BD7CD",1)</f>
        <v>=DISPIMG("ID_7CC9DD6C3C2186DA861212625E5BD7CD",1)</v>
      </c>
      <c r="G213" t="s">
        <v>1109</v>
      </c>
      <c r="H213" s="2" t="s">
        <v>1040</v>
      </c>
      <c r="J213" t="s">
        <v>47</v>
      </c>
      <c r="K213" s="2" t="s">
        <v>35</v>
      </c>
      <c r="L213" s="2">
        <v>500</v>
      </c>
      <c r="M213" s="2">
        <v>1</v>
      </c>
    </row>
    <row r="214" ht="24.4" spans="1:13">
      <c r="A214" s="2" t="s">
        <v>1110</v>
      </c>
      <c r="B214" s="3" t="s">
        <v>1111</v>
      </c>
      <c r="C214" t="s">
        <v>1112</v>
      </c>
      <c r="D214" t="s">
        <v>1113</v>
      </c>
      <c r="E214" s="2">
        <v>44.05</v>
      </c>
      <c r="F214" t="str">
        <f>_xlfn.DISPIMG("ID_0E750995F02B7D0C8D121262DF1FEF72",1)</f>
        <v>=DISPIMG("ID_0E750995F02B7D0C8D121262DF1FEF72",1)</v>
      </c>
      <c r="G214" t="s">
        <v>1109</v>
      </c>
      <c r="H214" s="2" t="s">
        <v>963</v>
      </c>
      <c r="J214" t="s">
        <v>148</v>
      </c>
      <c r="K214" s="2" t="s">
        <v>35</v>
      </c>
      <c r="L214" s="2">
        <v>500</v>
      </c>
      <c r="M214" s="11">
        <v>0</v>
      </c>
    </row>
    <row r="215" ht="20.55" spans="1:13">
      <c r="A215" s="2" t="s">
        <v>1114</v>
      </c>
      <c r="B215" s="3" t="s">
        <v>1115</v>
      </c>
      <c r="C215" t="s">
        <v>1116</v>
      </c>
      <c r="D215" t="s">
        <v>1117</v>
      </c>
      <c r="E215" s="2">
        <v>58.04</v>
      </c>
      <c r="F215" t="str">
        <f>_xlfn.DISPIMG("ID_C05B2CDF55B2674997121262179962C8",1)</f>
        <v>=DISPIMG("ID_C05B2CDF55B2674997121262179962C8",1)</v>
      </c>
      <c r="G215" t="s">
        <v>1109</v>
      </c>
      <c r="H215" s="2" t="s">
        <v>256</v>
      </c>
      <c r="J215" t="s">
        <v>1118</v>
      </c>
      <c r="K215" s="2" t="s">
        <v>35</v>
      </c>
      <c r="L215" s="2">
        <v>500</v>
      </c>
      <c r="M215" s="2">
        <v>1</v>
      </c>
    </row>
    <row r="216" ht="35.75" spans="1:14">
      <c r="A216" s="2" t="s">
        <v>1119</v>
      </c>
      <c r="B216" s="3" t="s">
        <v>1120</v>
      </c>
      <c r="C216" t="s">
        <v>1121</v>
      </c>
      <c r="D216" t="s">
        <v>1122</v>
      </c>
      <c r="E216" s="8">
        <v>106.12</v>
      </c>
      <c r="F216" t="str">
        <f>_xlfn.DISPIMG("ID_C91773D09709B30F6FC815626C4908C0",1)</f>
        <v>=DISPIMG("ID_C91773D09709B30F6FC815626C4908C0",1)</v>
      </c>
      <c r="G216" t="s">
        <v>1123</v>
      </c>
      <c r="H216" s="2" t="s">
        <v>256</v>
      </c>
      <c r="J216" t="s">
        <v>148</v>
      </c>
      <c r="K216" s="2" t="s">
        <v>166</v>
      </c>
      <c r="L216" s="2">
        <v>500</v>
      </c>
      <c r="M216" s="2">
        <v>1</v>
      </c>
      <c r="N216" t="s">
        <v>294</v>
      </c>
    </row>
    <row r="217" spans="1:13">
      <c r="A217" s="2" t="s">
        <v>1124</v>
      </c>
      <c r="B217" s="3" t="s">
        <v>1125</v>
      </c>
      <c r="C217" t="s">
        <v>1126</v>
      </c>
      <c r="D217" t="s">
        <v>1127</v>
      </c>
      <c r="E217" s="7">
        <v>60.1</v>
      </c>
      <c r="F217" t="str">
        <f>_xlfn.DISPIMG("ID_8B0814C0671D7DCDA1121262E14F36A4",1)</f>
        <v>=DISPIMG("ID_8B0814C0671D7DCDA1121262E14F36A4",1)</v>
      </c>
      <c r="G217" t="s">
        <v>1128</v>
      </c>
      <c r="H217" s="2" t="s">
        <v>1129</v>
      </c>
      <c r="I217" s="4" t="s">
        <v>1130</v>
      </c>
      <c r="K217" s="2" t="s">
        <v>166</v>
      </c>
      <c r="L217" s="2">
        <v>500</v>
      </c>
      <c r="M217" s="11">
        <v>0</v>
      </c>
    </row>
    <row r="218" ht="34" spans="1:13">
      <c r="A218" s="9" t="s">
        <v>1131</v>
      </c>
      <c r="B218" s="3" t="s">
        <v>1132</v>
      </c>
      <c r="C218" t="s">
        <v>1133</v>
      </c>
      <c r="D218" t="s">
        <v>1134</v>
      </c>
      <c r="E218" s="7">
        <v>69.49</v>
      </c>
      <c r="F218" t="str">
        <f>_xlfn.DISPIMG("ID_BFDC4CDFD5C8ED9BD7471E622E973420",1)</f>
        <v>=DISPIMG("ID_BFDC4CDFD5C8ED9BD7471E622E973420",1)</v>
      </c>
      <c r="G218" t="s">
        <v>1135</v>
      </c>
      <c r="H218" s="2" t="s">
        <v>1136</v>
      </c>
      <c r="J218" t="s">
        <v>47</v>
      </c>
      <c r="K218" s="2" t="s">
        <v>166</v>
      </c>
      <c r="L218" s="2">
        <v>100</v>
      </c>
      <c r="M218" s="2">
        <v>1</v>
      </c>
    </row>
    <row r="219" ht="34.5" spans="1:15">
      <c r="A219" s="9" t="s">
        <v>1137</v>
      </c>
      <c r="B219" s="3" t="s">
        <v>1138</v>
      </c>
      <c r="C219" t="s">
        <v>1139</v>
      </c>
      <c r="D219" t="s">
        <v>1140</v>
      </c>
      <c r="E219" s="7">
        <v>109.6</v>
      </c>
      <c r="F219" t="str">
        <f>_xlfn.DISPIMG("ID_4947F88350E7CC3049689264B9BCA4F7",1)</f>
        <v>=DISPIMG("ID_4947F88350E7CC3049689264B9BCA4F7",1)</v>
      </c>
      <c r="G219" t="s">
        <v>1141</v>
      </c>
      <c r="H219" s="2" t="s">
        <v>59</v>
      </c>
      <c r="J219" t="s">
        <v>128</v>
      </c>
      <c r="K219" s="2" t="s">
        <v>166</v>
      </c>
      <c r="L219" s="2">
        <v>25</v>
      </c>
      <c r="M219" s="2">
        <v>1</v>
      </c>
      <c r="O219" s="5">
        <v>1</v>
      </c>
    </row>
    <row r="220" ht="19.75" spans="1:14">
      <c r="A220" s="9" t="s">
        <v>1142</v>
      </c>
      <c r="B220" s="3" t="s">
        <v>1143</v>
      </c>
      <c r="C220" t="s">
        <v>1144</v>
      </c>
      <c r="D220" t="s">
        <v>1145</v>
      </c>
      <c r="E220" s="7">
        <v>165.7</v>
      </c>
      <c r="F220" t="str">
        <f>_xlfn.DISPIMG("ID_A0D765A7881F27FCF361926454B49AD4",1)</f>
        <v>=DISPIMG("ID_A0D765A7881F27FCF361926454B49AD4",1)</v>
      </c>
      <c r="G220" t="s">
        <v>1146</v>
      </c>
      <c r="H220" s="2" t="s">
        <v>59</v>
      </c>
      <c r="K220" s="13">
        <v>0.98</v>
      </c>
      <c r="L220" s="2">
        <v>25</v>
      </c>
      <c r="M220" s="11">
        <v>0</v>
      </c>
      <c r="N220" t="s">
        <v>1147</v>
      </c>
    </row>
    <row r="221" ht="26.25" spans="1:15">
      <c r="A221" s="2" t="s">
        <v>1148</v>
      </c>
      <c r="B221" s="3" t="s">
        <v>1149</v>
      </c>
      <c r="C221" t="s">
        <v>1150</v>
      </c>
      <c r="D221" t="s">
        <v>1151</v>
      </c>
      <c r="E221" s="2">
        <v>157.64</v>
      </c>
      <c r="F221" t="str">
        <f>_xlfn.DISPIMG("ID_72FCC5E81A3A9B87BF121262ADD4A686",1)</f>
        <v>=DISPIMG("ID_72FCC5E81A3A9B87BF121262ADD4A686",1)</v>
      </c>
      <c r="G221" t="s">
        <v>1152</v>
      </c>
      <c r="H221" s="2" t="s">
        <v>59</v>
      </c>
      <c r="J221" t="s">
        <v>128</v>
      </c>
      <c r="K221" s="13">
        <v>0.99</v>
      </c>
      <c r="L221" s="2">
        <v>25</v>
      </c>
      <c r="M221" s="2">
        <v>1</v>
      </c>
      <c r="O221" s="5">
        <v>1</v>
      </c>
    </row>
    <row r="222" ht="38.4" spans="1:15">
      <c r="A222" s="2" t="s">
        <v>1153</v>
      </c>
      <c r="B222" s="3" t="s">
        <v>1154</v>
      </c>
      <c r="C222" t="s">
        <v>1155</v>
      </c>
      <c r="D222" t="s">
        <v>1156</v>
      </c>
      <c r="E222" s="2">
        <v>142.12</v>
      </c>
      <c r="F222" t="str">
        <f>_xlfn.DISPIMG("ID_8CADCB4090E6EB11D01212624ADC652D",1)</f>
        <v>=DISPIMG("ID_8CADCB4090E6EB11D01212624ADC652D",1)</v>
      </c>
      <c r="G222" t="s">
        <v>1157</v>
      </c>
      <c r="H222" s="2" t="s">
        <v>75</v>
      </c>
      <c r="K222" s="13">
        <v>0.97</v>
      </c>
      <c r="L222" s="2">
        <v>25</v>
      </c>
      <c r="M222" s="2">
        <v>1</v>
      </c>
      <c r="O222" s="5">
        <v>1</v>
      </c>
    </row>
    <row r="223" ht="20.8" spans="1:13">
      <c r="A223" s="9" t="s">
        <v>1158</v>
      </c>
      <c r="B223" s="3" t="s">
        <v>1159</v>
      </c>
      <c r="C223" t="s">
        <v>1160</v>
      </c>
      <c r="D223" t="s">
        <v>1161</v>
      </c>
      <c r="E223" s="7">
        <v>45.04</v>
      </c>
      <c r="F223" t="str">
        <f>_xlfn.DISPIMG("ID_47F66D718978165EA9121262AFC934AD",1)</f>
        <v>=DISPIMG("ID_47F66D718978165EA9121262AFC934AD",1)</v>
      </c>
      <c r="G223" t="s">
        <v>1162</v>
      </c>
      <c r="H223" s="2" t="s">
        <v>53</v>
      </c>
      <c r="J223" t="s">
        <v>148</v>
      </c>
      <c r="K223" s="2" t="s">
        <v>166</v>
      </c>
      <c r="L223" s="2">
        <v>500</v>
      </c>
      <c r="M223" s="2">
        <v>1</v>
      </c>
    </row>
    <row r="224" ht="39.2" spans="1:13">
      <c r="A224" s="2" t="s">
        <v>1163</v>
      </c>
      <c r="B224" s="3" t="s">
        <v>1164</v>
      </c>
      <c r="C224" t="s">
        <v>1165</v>
      </c>
      <c r="D224" t="s">
        <v>1166</v>
      </c>
      <c r="E224" s="2">
        <v>60.06</v>
      </c>
      <c r="F224" t="str">
        <f>_xlfn.DISPIMG("ID_B432244DF0965A0CD91212624BE481CF",1)</f>
        <v>=DISPIMG("ID_B432244DF0965A0CD91212624BE481CF",1)</v>
      </c>
      <c r="G224" t="s">
        <v>1167</v>
      </c>
      <c r="H224" s="2" t="s">
        <v>75</v>
      </c>
      <c r="J224" t="s">
        <v>47</v>
      </c>
      <c r="K224" s="2" t="s">
        <v>100</v>
      </c>
      <c r="L224" s="2">
        <v>500</v>
      </c>
      <c r="M224" s="2">
        <v>1</v>
      </c>
    </row>
    <row r="225" ht="34.6" spans="1:13">
      <c r="A225" s="2" t="s">
        <v>1168</v>
      </c>
      <c r="B225" s="3" t="s">
        <v>1169</v>
      </c>
      <c r="C225" t="s">
        <v>1170</v>
      </c>
      <c r="D225" t="s">
        <v>1171</v>
      </c>
      <c r="E225" s="2">
        <v>140.19</v>
      </c>
      <c r="F225" t="str">
        <f>_xlfn.DISPIMG("ID_4FEB8B426AD5A5A267C81562948352B6",1)</f>
        <v>=DISPIMG("ID_4FEB8B426AD5A5A267C81562948352B6",1)</v>
      </c>
      <c r="G225" t="s">
        <v>1172</v>
      </c>
      <c r="H225" s="2" t="s">
        <v>454</v>
      </c>
      <c r="I225" s="4" t="s">
        <v>1173</v>
      </c>
      <c r="J225" t="s">
        <v>148</v>
      </c>
      <c r="K225" s="2" t="s">
        <v>100</v>
      </c>
      <c r="L225" s="2">
        <v>500</v>
      </c>
      <c r="M225" s="11">
        <v>0</v>
      </c>
    </row>
    <row r="226" ht="33.25" spans="1:14">
      <c r="A226" s="2" t="s">
        <v>1174</v>
      </c>
      <c r="B226" s="3" t="s">
        <v>1175</v>
      </c>
      <c r="C226" t="s">
        <v>1176</v>
      </c>
      <c r="D226" t="s">
        <v>1177</v>
      </c>
      <c r="E226" s="7">
        <v>79.1</v>
      </c>
      <c r="F226" t="str">
        <f>_xlfn.DISPIMG("ID_2294FBEAE5F517D456C81562D3DF4F5C",1)</f>
        <v>=DISPIMG("ID_2294FBEAE5F517D456C81562D3DF4F5C",1)</v>
      </c>
      <c r="G226" t="s">
        <v>1178</v>
      </c>
      <c r="H226" s="2" t="s">
        <v>454</v>
      </c>
      <c r="I226" s="4" t="s">
        <v>70</v>
      </c>
      <c r="J226" t="s">
        <v>148</v>
      </c>
      <c r="K226" s="2" t="s">
        <v>166</v>
      </c>
      <c r="L226" s="2">
        <v>500</v>
      </c>
      <c r="M226" s="2">
        <v>1</v>
      </c>
      <c r="N226" t="s">
        <v>294</v>
      </c>
    </row>
    <row r="227" ht="46.1" spans="1:13">
      <c r="A227" s="2" t="s">
        <v>1179</v>
      </c>
      <c r="B227" s="3" t="s">
        <v>1180</v>
      </c>
      <c r="C227" t="s">
        <v>1181</v>
      </c>
      <c r="D227" t="s">
        <v>1182</v>
      </c>
      <c r="E227" s="2">
        <v>198.22</v>
      </c>
      <c r="F227" t="str">
        <f>_xlfn.DISPIMG("ID_ED6ADC0C4FF36B502E141262228EF533",1)</f>
        <v>=DISPIMG("ID_ED6ADC0C4FF36B502E141262228EF533",1)</v>
      </c>
      <c r="G227" t="s">
        <v>1178</v>
      </c>
      <c r="H227" s="2" t="s">
        <v>1183</v>
      </c>
      <c r="J227" t="s">
        <v>47</v>
      </c>
      <c r="K227" s="2" t="s">
        <v>166</v>
      </c>
      <c r="L227" s="2">
        <v>5</v>
      </c>
      <c r="M227" s="2">
        <v>2</v>
      </c>
    </row>
    <row r="228" ht="46.1" spans="1:15">
      <c r="A228" s="2" t="s">
        <v>1179</v>
      </c>
      <c r="B228" s="3" t="s">
        <v>1180</v>
      </c>
      <c r="C228" t="s">
        <v>1181</v>
      </c>
      <c r="D228" t="s">
        <v>1182</v>
      </c>
      <c r="E228" s="2">
        <v>198.22</v>
      </c>
      <c r="F228" t="str">
        <f>_xlfn.DISPIMG("ID_ED6ADC0C4FF36B502E141262228EF533",1)</f>
        <v>=DISPIMG("ID_ED6ADC0C4FF36B502E141262228EF533",1)</v>
      </c>
      <c r="G228" t="s">
        <v>1178</v>
      </c>
      <c r="H228" s="2" t="s">
        <v>1183</v>
      </c>
      <c r="J228" t="s">
        <v>1118</v>
      </c>
      <c r="K228" s="2" t="s">
        <v>166</v>
      </c>
      <c r="L228" s="2">
        <v>5</v>
      </c>
      <c r="M228" s="2">
        <v>1</v>
      </c>
      <c r="O228" s="5">
        <v>1</v>
      </c>
    </row>
    <row r="229" ht="56.55" spans="1:15">
      <c r="A229" s="2" t="s">
        <v>1184</v>
      </c>
      <c r="B229" s="3" t="s">
        <v>1185</v>
      </c>
      <c r="C229" t="s">
        <v>1186</v>
      </c>
      <c r="D229" t="s">
        <v>1187</v>
      </c>
      <c r="E229" s="2">
        <v>173.19</v>
      </c>
      <c r="F229" t="str">
        <f>_xlfn.DISPIMG("ID_EFAD5781AF36764FB623306238686F12",1)</f>
        <v>=DISPIMG("ID_EFAD5781AF36764FB623306238686F12",1)</v>
      </c>
      <c r="G229" t="s">
        <v>1188</v>
      </c>
      <c r="H229" s="2" t="s">
        <v>59</v>
      </c>
      <c r="J229" t="s">
        <v>1189</v>
      </c>
      <c r="L229" s="2">
        <v>1</v>
      </c>
      <c r="M229" s="2">
        <v>1</v>
      </c>
      <c r="O229" s="5">
        <v>1</v>
      </c>
    </row>
    <row r="230" ht="28" spans="1:15">
      <c r="A230" s="2" t="s">
        <v>1190</v>
      </c>
      <c r="B230" s="3" t="s">
        <v>1191</v>
      </c>
      <c r="C230" t="s">
        <v>1192</v>
      </c>
      <c r="D230" t="s">
        <v>1193</v>
      </c>
      <c r="E230" s="2">
        <v>154.6</v>
      </c>
      <c r="F230" t="str">
        <f>_xlfn.DISPIMG("ID_492E29B18BCBFE48E1F41462412970EC",1)</f>
        <v>=DISPIMG("ID_492E29B18BCBFE48E1F41462412970EC",1)</v>
      </c>
      <c r="G230" t="s">
        <v>1194</v>
      </c>
      <c r="H230" s="2" t="s">
        <v>20</v>
      </c>
      <c r="J230" t="s">
        <v>128</v>
      </c>
      <c r="K230" s="13">
        <v>0.98</v>
      </c>
      <c r="L230" s="2">
        <v>100</v>
      </c>
      <c r="M230" s="2">
        <v>1</v>
      </c>
      <c r="O230" s="5">
        <v>1</v>
      </c>
    </row>
    <row r="231" ht="31.55" spans="1:13">
      <c r="A231" s="2" t="s">
        <v>1195</v>
      </c>
      <c r="B231" s="3" t="s">
        <v>1196</v>
      </c>
      <c r="C231" t="s">
        <v>1197</v>
      </c>
      <c r="D231" t="s">
        <v>1198</v>
      </c>
      <c r="E231" s="7">
        <v>78.5</v>
      </c>
      <c r="F231" t="str">
        <f>_xlfn.DISPIMG("ID_9EC14240651455C05CC8156271EB8E8B",1)</f>
        <v>=DISPIMG("ID_9EC14240651455C05CC8156271EB8E8B",1)</v>
      </c>
      <c r="G231" t="s">
        <v>1199</v>
      </c>
      <c r="H231" s="2" t="s">
        <v>1200</v>
      </c>
      <c r="I231" s="4" t="s">
        <v>70</v>
      </c>
      <c r="J231" t="s">
        <v>148</v>
      </c>
      <c r="K231" s="13" t="s">
        <v>166</v>
      </c>
      <c r="L231" s="2">
        <v>500</v>
      </c>
      <c r="M231" s="2">
        <v>1</v>
      </c>
    </row>
    <row r="232" ht="54.45" spans="1:13">
      <c r="A232" s="2" t="s">
        <v>1201</v>
      </c>
      <c r="B232" s="3" t="s">
        <v>1202</v>
      </c>
      <c r="C232" t="s">
        <v>1203</v>
      </c>
      <c r="D232" t="s">
        <v>1204</v>
      </c>
      <c r="E232" s="2">
        <v>385.47</v>
      </c>
      <c r="F232" t="str">
        <f>_xlfn.DISPIMG("ID_A1C5F772EECF96DD401312623DC2AF96",1)</f>
        <v>=DISPIMG("ID_A1C5F772EECF96DD401312623DC2AF96",1)</v>
      </c>
      <c r="G232" t="s">
        <v>1205</v>
      </c>
      <c r="H232" s="2" t="s">
        <v>59</v>
      </c>
      <c r="K232" s="2" t="s">
        <v>1206</v>
      </c>
      <c r="L232" s="2">
        <v>1000</v>
      </c>
      <c r="M232" s="2">
        <v>1</v>
      </c>
    </row>
    <row r="233" ht="54.45" spans="1:15">
      <c r="A233" s="2" t="s">
        <v>1207</v>
      </c>
      <c r="B233" s="3" t="s">
        <v>1208</v>
      </c>
      <c r="C233" t="s">
        <v>1209</v>
      </c>
      <c r="D233" t="s">
        <v>1210</v>
      </c>
      <c r="E233" s="2">
        <v>262.29</v>
      </c>
      <c r="F233" t="str">
        <f>_xlfn.DISPIMG("ID_0237C4BDA51D7F8813679264129342F6",1)</f>
        <v>=DISPIMG("ID_0237C4BDA51D7F8813679264129342F6",1)</v>
      </c>
      <c r="G233" t="s">
        <v>1211</v>
      </c>
      <c r="H233" s="2" t="s">
        <v>28</v>
      </c>
      <c r="J233" t="s">
        <v>128</v>
      </c>
      <c r="K233" s="19">
        <v>0.99</v>
      </c>
      <c r="L233" s="2">
        <v>100</v>
      </c>
      <c r="M233" s="2">
        <v>2</v>
      </c>
      <c r="O233" s="5">
        <v>1</v>
      </c>
    </row>
    <row r="234" ht="30.5" spans="1:13">
      <c r="A234" s="2" t="s">
        <v>1212</v>
      </c>
      <c r="B234" s="3" t="s">
        <v>1213</v>
      </c>
      <c r="C234" t="s">
        <v>1214</v>
      </c>
      <c r="D234" t="s">
        <v>1215</v>
      </c>
      <c r="E234" s="2">
        <v>88.11</v>
      </c>
      <c r="F234" t="str">
        <f>_xlfn.DISPIMG("ID_4DA7E9F9CF212DBAAC1312629C1E3B9D",1)</f>
        <v>=DISPIMG("ID_4DA7E9F9CF212DBAAC1312629C1E3B9D",1)</v>
      </c>
      <c r="G234" t="s">
        <v>1216</v>
      </c>
      <c r="H234" s="2" t="s">
        <v>1217</v>
      </c>
      <c r="J234" t="s">
        <v>47</v>
      </c>
      <c r="K234" s="2" t="s">
        <v>54</v>
      </c>
      <c r="L234" s="2">
        <v>500</v>
      </c>
      <c r="M234" s="2">
        <v>1</v>
      </c>
    </row>
    <row r="235" customFormat="1" ht="23.85" spans="1:15">
      <c r="A235" s="2" t="s">
        <v>1218</v>
      </c>
      <c r="B235" s="3" t="s">
        <v>1219</v>
      </c>
      <c r="C235" t="s">
        <v>1220</v>
      </c>
      <c r="D235" t="s">
        <v>1221</v>
      </c>
      <c r="E235" s="2">
        <v>195.05</v>
      </c>
      <c r="F235" t="str">
        <f>_xlfn.DISPIMG("ID_B074F258F8E54050A66FE8207450609A",1)</f>
        <v>=DISPIMG("ID_B074F258F8E54050A66FE8207450609A",1)</v>
      </c>
      <c r="G235" t="s">
        <v>1222</v>
      </c>
      <c r="H235" s="2" t="s">
        <v>59</v>
      </c>
      <c r="J235" t="s">
        <v>1223</v>
      </c>
      <c r="K235" s="13">
        <v>0.98</v>
      </c>
      <c r="L235" s="2">
        <v>100</v>
      </c>
      <c r="M235" s="11">
        <v>0</v>
      </c>
      <c r="O235" s="5"/>
    </row>
    <row r="236" customFormat="1" ht="34.25" spans="1:15">
      <c r="A236" s="2" t="s">
        <v>1224</v>
      </c>
      <c r="B236" s="3" t="s">
        <v>1225</v>
      </c>
      <c r="C236" t="s">
        <v>1226</v>
      </c>
      <c r="D236" t="s">
        <v>1227</v>
      </c>
      <c r="E236" s="2">
        <v>106.1</v>
      </c>
      <c r="F236" t="str">
        <f>_xlfn.DISPIMG("ID_6655FA744B7248EB90176B3850A990B8",1)</f>
        <v>=DISPIMG("ID_6655FA744B7248EB90176B3850A990B8",1)</v>
      </c>
      <c r="G236" t="s">
        <v>1228</v>
      </c>
      <c r="H236" s="2" t="s">
        <v>1229</v>
      </c>
      <c r="J236" t="s">
        <v>1230</v>
      </c>
      <c r="K236" s="13">
        <v>0.98</v>
      </c>
      <c r="L236" s="2">
        <v>25</v>
      </c>
      <c r="M236" s="11">
        <v>0</v>
      </c>
      <c r="O236" s="5"/>
    </row>
    <row r="237" ht="24.7" spans="1:13">
      <c r="A237" s="2" t="s">
        <v>1231</v>
      </c>
      <c r="B237" s="3" t="s">
        <v>1232</v>
      </c>
      <c r="C237" t="s">
        <v>1233</v>
      </c>
      <c r="D237" t="s">
        <v>1234</v>
      </c>
      <c r="E237" s="2">
        <v>337.27</v>
      </c>
      <c r="F237" t="str">
        <f>_xlfn.DISPIMG("ID_843FAE869B421652047F28626046AF19",1)</f>
        <v>=DISPIMG("ID_843FAE869B421652047F28626046AF19",1)</v>
      </c>
      <c r="G237" t="s">
        <v>1235</v>
      </c>
      <c r="H237" s="2" t="s">
        <v>75</v>
      </c>
      <c r="K237" s="2" t="s">
        <v>76</v>
      </c>
      <c r="L237" s="2">
        <v>25</v>
      </c>
      <c r="M237" s="11">
        <v>0</v>
      </c>
    </row>
    <row r="238" ht="35.75" spans="1:15">
      <c r="A238" s="9" t="s">
        <v>1236</v>
      </c>
      <c r="B238" s="3" t="s">
        <v>1237</v>
      </c>
      <c r="C238" t="s">
        <v>1238</v>
      </c>
      <c r="D238" t="s">
        <v>1239</v>
      </c>
      <c r="E238" s="2">
        <v>95.53</v>
      </c>
      <c r="F238" t="str">
        <f>_xlfn.DISPIMG("ID_E4274ACBAF6903639E609264A4CEB351",1)</f>
        <v>=DISPIMG("ID_E4274ACBAF6903639E609264A4CEB351",1)</v>
      </c>
      <c r="G238" t="s">
        <v>1240</v>
      </c>
      <c r="H238" s="2" t="s">
        <v>59</v>
      </c>
      <c r="K238" s="2" t="s">
        <v>100</v>
      </c>
      <c r="L238" s="2">
        <v>100</v>
      </c>
      <c r="M238" s="2">
        <v>1</v>
      </c>
      <c r="N238" t="s">
        <v>1241</v>
      </c>
      <c r="O238" s="5">
        <v>1</v>
      </c>
    </row>
    <row r="239" ht="80.3" spans="1:13">
      <c r="A239" s="9" t="s">
        <v>1242</v>
      </c>
      <c r="B239" s="3" t="s">
        <v>1243</v>
      </c>
      <c r="C239" t="s">
        <v>1244</v>
      </c>
      <c r="D239" t="s">
        <v>1245</v>
      </c>
      <c r="E239" s="2">
        <v>318.32</v>
      </c>
      <c r="F239" t="str">
        <f>_xlfn.DISPIMG("ID_F440741B42F2CE37B513126204DF5A05",1)</f>
        <v>=DISPIMG("ID_F440741B42F2CE37B513126204DF5A05",1)</v>
      </c>
      <c r="G239" t="s">
        <v>1246</v>
      </c>
      <c r="H239" s="2" t="s">
        <v>53</v>
      </c>
      <c r="J239" t="s">
        <v>47</v>
      </c>
      <c r="K239" s="2" t="s">
        <v>1247</v>
      </c>
      <c r="L239" s="2">
        <v>25</v>
      </c>
      <c r="M239" s="2">
        <v>1</v>
      </c>
    </row>
    <row r="240" ht="36.5" spans="1:13">
      <c r="A240" s="2" t="s">
        <v>1248</v>
      </c>
      <c r="B240" s="3" t="s">
        <v>1249</v>
      </c>
      <c r="C240" t="s">
        <v>1250</v>
      </c>
      <c r="D240" t="s">
        <v>1251</v>
      </c>
      <c r="E240" s="2">
        <v>716.62</v>
      </c>
      <c r="F240" t="str">
        <f>_xlfn.DISPIMG("ID_0476AFF96FBC4C425F171262CDCB166A",1)</f>
        <v>=DISPIMG("ID_0476AFF96FBC4C425F171262CDCB166A",1)</v>
      </c>
      <c r="G240" t="s">
        <v>1252</v>
      </c>
      <c r="H240" s="2" t="s">
        <v>75</v>
      </c>
      <c r="J240" t="s">
        <v>1253</v>
      </c>
      <c r="K240" s="2" t="s">
        <v>166</v>
      </c>
      <c r="L240" s="2">
        <v>5</v>
      </c>
      <c r="M240" s="2">
        <v>1</v>
      </c>
    </row>
    <row r="241" ht="61.15" spans="1:13">
      <c r="A241" s="2" t="s">
        <v>1254</v>
      </c>
      <c r="B241" s="3" t="s">
        <v>1255</v>
      </c>
      <c r="C241" t="s">
        <v>1256</v>
      </c>
      <c r="D241" t="s">
        <v>1257</v>
      </c>
      <c r="E241" s="7">
        <v>799.8</v>
      </c>
      <c r="F241" t="str">
        <f>_xlfn.DISPIMG("ID_35B85ED0A589E1CF0F3909625B6CC89C",1)</f>
        <v>=DISPIMG("ID_35B85ED0A589E1CF0F3909625B6CC89C",1)</v>
      </c>
      <c r="G241" t="s">
        <v>1258</v>
      </c>
      <c r="H241" s="2" t="s">
        <v>75</v>
      </c>
      <c r="J241" t="s">
        <v>347</v>
      </c>
      <c r="K241" s="2" t="s">
        <v>1259</v>
      </c>
      <c r="L241" s="2">
        <v>25</v>
      </c>
      <c r="M241" s="2">
        <v>1</v>
      </c>
    </row>
    <row r="242" ht="36.5" spans="1:15">
      <c r="A242" s="2" t="s">
        <v>1260</v>
      </c>
      <c r="B242" s="3" t="s">
        <v>1261</v>
      </c>
      <c r="C242" t="s">
        <v>1262</v>
      </c>
      <c r="D242" t="s">
        <v>1263</v>
      </c>
      <c r="E242" s="7">
        <v>373.9</v>
      </c>
      <c r="F242" t="str">
        <f>_xlfn.DISPIMG("ID_39F0CFA614A5804C6E14126242F826F3",1)</f>
        <v>=DISPIMG("ID_39F0CFA614A5804C6E14126242F826F3",1)</v>
      </c>
      <c r="G242" t="s">
        <v>1258</v>
      </c>
      <c r="H242" s="2" t="s">
        <v>59</v>
      </c>
      <c r="J242" t="s">
        <v>710</v>
      </c>
      <c r="K242" s="2" t="s">
        <v>1247</v>
      </c>
      <c r="L242" s="2">
        <v>25</v>
      </c>
      <c r="M242" s="2">
        <v>1</v>
      </c>
      <c r="O242" s="5">
        <v>1</v>
      </c>
    </row>
    <row r="243" ht="36.5" spans="1:15">
      <c r="A243" s="2" t="s">
        <v>1260</v>
      </c>
      <c r="B243" s="3" t="s">
        <v>1261</v>
      </c>
      <c r="C243" t="s">
        <v>1262</v>
      </c>
      <c r="D243" t="s">
        <v>1263</v>
      </c>
      <c r="E243" s="7">
        <v>373.9</v>
      </c>
      <c r="F243" t="str">
        <f>_xlfn.DISPIMG("ID_39F0CFA614A5804C6E14126242F826F3",1)</f>
        <v>=DISPIMG("ID_39F0CFA614A5804C6E14126242F826F3",1)</v>
      </c>
      <c r="G243" t="s">
        <v>1258</v>
      </c>
      <c r="H243" s="2" t="s">
        <v>59</v>
      </c>
      <c r="J243" t="s">
        <v>1264</v>
      </c>
      <c r="K243" s="2" t="s">
        <v>1247</v>
      </c>
      <c r="L243" s="2">
        <v>25</v>
      </c>
      <c r="M243" s="2">
        <v>2</v>
      </c>
      <c r="O243" s="5">
        <v>1</v>
      </c>
    </row>
    <row r="244" ht="36.5" spans="1:15">
      <c r="A244" s="2" t="s">
        <v>1260</v>
      </c>
      <c r="B244" s="3" t="s">
        <v>1261</v>
      </c>
      <c r="C244" t="s">
        <v>1262</v>
      </c>
      <c r="D244" t="s">
        <v>1263</v>
      </c>
      <c r="E244" s="7">
        <v>373.9</v>
      </c>
      <c r="F244" t="str">
        <f>_xlfn.DISPIMG("ID_39F0CFA614A5804C6E14126242F826F3",1)</f>
        <v>=DISPIMG("ID_39F0CFA614A5804C6E14126242F826F3",1)</v>
      </c>
      <c r="G244" t="s">
        <v>1258</v>
      </c>
      <c r="H244" s="2" t="s">
        <v>59</v>
      </c>
      <c r="J244" t="s">
        <v>1265</v>
      </c>
      <c r="K244" s="2" t="s">
        <v>1247</v>
      </c>
      <c r="L244" s="2">
        <v>25</v>
      </c>
      <c r="M244" s="2">
        <v>1</v>
      </c>
      <c r="O244" s="5">
        <v>1</v>
      </c>
    </row>
    <row r="245" ht="43.4" spans="1:15">
      <c r="A245" s="2" t="s">
        <v>1266</v>
      </c>
      <c r="B245" s="3" t="s">
        <v>1267</v>
      </c>
      <c r="C245" t="s">
        <v>1268</v>
      </c>
      <c r="D245" t="s">
        <v>1269</v>
      </c>
      <c r="E245" s="2">
        <v>350.58</v>
      </c>
      <c r="F245" t="str">
        <f>_xlfn.DISPIMG("ID_CF4ED6CBC8964FC6AA141262A7186EB0",1)</f>
        <v>=DISPIMG("ID_CF4ED6CBC8964FC6AA141262A7186EB0",1)</v>
      </c>
      <c r="G245" t="s">
        <v>1258</v>
      </c>
      <c r="H245" s="2" t="s">
        <v>75</v>
      </c>
      <c r="J245" t="s">
        <v>313</v>
      </c>
      <c r="K245" s="2" t="s">
        <v>1247</v>
      </c>
      <c r="L245" s="2">
        <v>25</v>
      </c>
      <c r="M245" s="2">
        <v>1</v>
      </c>
      <c r="O245" s="5">
        <v>1</v>
      </c>
    </row>
    <row r="246" ht="45.8" spans="1:15">
      <c r="A246" s="2" t="s">
        <v>1270</v>
      </c>
      <c r="B246" s="3" t="s">
        <v>1271</v>
      </c>
      <c r="C246" t="s">
        <v>1272</v>
      </c>
      <c r="D246" t="s">
        <v>1273</v>
      </c>
      <c r="E246" s="2">
        <v>327.33</v>
      </c>
      <c r="F246" t="str">
        <f>_xlfn.DISPIMG("ID_116F6ABAB2E7641201F514626874A7FE",1)</f>
        <v>=DISPIMG("ID_116F6ABAB2E7641201F514626874A7FE",1)</v>
      </c>
      <c r="G246" t="s">
        <v>1258</v>
      </c>
      <c r="H246" s="2" t="s">
        <v>75</v>
      </c>
      <c r="J246" t="s">
        <v>710</v>
      </c>
      <c r="K246" s="2" t="s">
        <v>1247</v>
      </c>
      <c r="L246" s="2">
        <v>25</v>
      </c>
      <c r="M246" s="2">
        <v>1</v>
      </c>
      <c r="O246" s="5">
        <v>1</v>
      </c>
    </row>
    <row r="247" ht="45.8" spans="1:13">
      <c r="A247" s="2" t="s">
        <v>1270</v>
      </c>
      <c r="B247" s="3" t="s">
        <v>1271</v>
      </c>
      <c r="C247" t="s">
        <v>1272</v>
      </c>
      <c r="D247" t="s">
        <v>1273</v>
      </c>
      <c r="E247" s="2">
        <v>327.33</v>
      </c>
      <c r="F247" t="str">
        <f>_xlfn.DISPIMG("ID_116F6ABAB2E7641201F514626874A7FE",1)</f>
        <v>=DISPIMG("ID_116F6ABAB2E7641201F514626874A7FE",1)</v>
      </c>
      <c r="G247" t="s">
        <v>1258</v>
      </c>
      <c r="H247" s="2" t="s">
        <v>75</v>
      </c>
      <c r="J247" t="s">
        <v>99</v>
      </c>
      <c r="K247" s="2" t="s">
        <v>1247</v>
      </c>
      <c r="L247" s="2">
        <v>25</v>
      </c>
      <c r="M247" s="11">
        <v>0</v>
      </c>
    </row>
    <row r="248" ht="54.1" spans="1:13">
      <c r="A248" s="2" t="s">
        <v>1274</v>
      </c>
      <c r="B248" s="3" t="s">
        <v>1275</v>
      </c>
      <c r="C248" t="s">
        <v>1276</v>
      </c>
      <c r="D248" t="s">
        <v>1277</v>
      </c>
      <c r="E248" s="7">
        <v>296.3</v>
      </c>
      <c r="F248" t="str">
        <f>_xlfn.DISPIMG("ID_ADEC5414A98DAED1163809624C6644E0",1)</f>
        <v>=DISPIMG("ID_ADEC5414A98DAED1163809624C6644E0",1)</v>
      </c>
      <c r="G248" t="s">
        <v>1258</v>
      </c>
      <c r="H248" s="2" t="s">
        <v>75</v>
      </c>
      <c r="J248" t="s">
        <v>47</v>
      </c>
      <c r="K248" s="2" t="s">
        <v>1247</v>
      </c>
      <c r="L248" s="2">
        <v>25</v>
      </c>
      <c r="M248" s="2">
        <v>1</v>
      </c>
    </row>
    <row r="249" ht="47.75" spans="1:13">
      <c r="A249" s="2" t="s">
        <v>1278</v>
      </c>
      <c r="B249" s="3" t="s">
        <v>1279</v>
      </c>
      <c r="C249" t="s">
        <v>1280</v>
      </c>
      <c r="D249" t="s">
        <v>1281</v>
      </c>
      <c r="E249" s="2">
        <v>364.91</v>
      </c>
      <c r="F249" t="str">
        <f>_xlfn.DISPIMG("ID_78E94FA879BD83F8A31712629CEA5A3D",1)</f>
        <v>=DISPIMG("ID_78E94FA879BD83F8A31712629CEA5A3D",1)</v>
      </c>
      <c r="G249" t="s">
        <v>1258</v>
      </c>
      <c r="H249" s="2" t="s">
        <v>206</v>
      </c>
      <c r="J249" t="s">
        <v>83</v>
      </c>
      <c r="K249" s="2" t="s">
        <v>1247</v>
      </c>
      <c r="L249" s="2">
        <v>25</v>
      </c>
      <c r="M249" s="2">
        <v>1</v>
      </c>
    </row>
    <row r="250" ht="56.55" spans="1:15">
      <c r="A250" s="2" t="s">
        <v>1282</v>
      </c>
      <c r="B250" s="3" t="s">
        <v>1283</v>
      </c>
      <c r="C250" t="s">
        <v>1284</v>
      </c>
      <c r="D250" t="s">
        <v>1285</v>
      </c>
      <c r="E250" s="2">
        <v>698.01</v>
      </c>
      <c r="F250" t="str">
        <f>_xlfn.DISPIMG("ID_1D5A7DC61D8408B2D0233062D51258CC",1)</f>
        <v>=DISPIMG("ID_1D5A7DC61D8408B2D0233062D51258CC",1)</v>
      </c>
      <c r="G250" t="s">
        <v>1252</v>
      </c>
      <c r="H250" s="2" t="s">
        <v>75</v>
      </c>
      <c r="J250" t="s">
        <v>1264</v>
      </c>
      <c r="K250" s="2" t="s">
        <v>1247</v>
      </c>
      <c r="L250" s="2">
        <v>10</v>
      </c>
      <c r="M250" s="2">
        <v>1</v>
      </c>
      <c r="O250" s="5">
        <v>1</v>
      </c>
    </row>
    <row r="251" ht="41.6" spans="1:15">
      <c r="A251" s="2" t="s">
        <v>1286</v>
      </c>
      <c r="B251" s="3" t="s">
        <v>1287</v>
      </c>
      <c r="C251" t="s">
        <v>1288</v>
      </c>
      <c r="D251" t="s">
        <v>1289</v>
      </c>
      <c r="E251" s="2">
        <v>150.22</v>
      </c>
      <c r="F251" t="str">
        <f>_xlfn.DISPIMG("ID_458D5EF7383B7B5375AC3A62E78B3AA2",1)</f>
        <v>=DISPIMG("ID_458D5EF7383B7B5375AC3A62E78B3AA2",1)</v>
      </c>
      <c r="G251" t="s">
        <v>1290</v>
      </c>
      <c r="H251" s="2" t="s">
        <v>154</v>
      </c>
      <c r="J251" t="s">
        <v>313</v>
      </c>
      <c r="K251" s="2" t="s">
        <v>166</v>
      </c>
      <c r="L251" s="2">
        <v>100</v>
      </c>
      <c r="M251" s="2">
        <v>1</v>
      </c>
      <c r="O251" s="5">
        <v>1</v>
      </c>
    </row>
    <row r="252" ht="20" spans="1:13">
      <c r="A252" s="2" t="s">
        <v>1291</v>
      </c>
      <c r="B252" s="3" t="s">
        <v>1292</v>
      </c>
      <c r="C252" t="s">
        <v>1293</v>
      </c>
      <c r="D252" t="s">
        <v>1294</v>
      </c>
      <c r="E252" s="2">
        <v>240.27</v>
      </c>
      <c r="F252" t="str">
        <f>_xlfn.DISPIMG("ID_B88B128FDB1EDD536115126265E54AEE",1)</f>
        <v>=DISPIMG("ID_B88B128FDB1EDD536115126265E54AEE",1)</v>
      </c>
      <c r="G252" t="s">
        <v>1252</v>
      </c>
      <c r="H252" s="2" t="s">
        <v>59</v>
      </c>
      <c r="J252" t="s">
        <v>148</v>
      </c>
      <c r="K252" s="2" t="s">
        <v>166</v>
      </c>
      <c r="L252" s="2">
        <v>25</v>
      </c>
      <c r="M252" s="2">
        <v>1</v>
      </c>
    </row>
    <row r="253" ht="23" spans="1:15">
      <c r="A253" s="2" t="s">
        <v>1295</v>
      </c>
      <c r="B253" s="3" t="s">
        <v>1296</v>
      </c>
      <c r="C253" t="s">
        <v>1297</v>
      </c>
      <c r="D253" t="s">
        <v>1298</v>
      </c>
      <c r="E253" s="7">
        <v>829</v>
      </c>
      <c r="F253" t="str">
        <f>_xlfn.DISPIMG("ID_00FBF68918CDFE73BD151262B47ECAC9",1)</f>
        <v>=DISPIMG("ID_00FBF68918CDFE73BD151262B47ECAC9",1)</v>
      </c>
      <c r="G253" t="s">
        <v>1299</v>
      </c>
      <c r="H253" s="2" t="s">
        <v>59</v>
      </c>
      <c r="J253" t="s">
        <v>1253</v>
      </c>
      <c r="K253" s="2" t="s">
        <v>1247</v>
      </c>
      <c r="L253" s="2">
        <v>1</v>
      </c>
      <c r="M253" s="2">
        <v>1</v>
      </c>
      <c r="O253" s="5">
        <v>1</v>
      </c>
    </row>
    <row r="254" ht="27.2" spans="1:15">
      <c r="A254" s="2" t="s">
        <v>1300</v>
      </c>
      <c r="B254" s="3" t="s">
        <v>1301</v>
      </c>
      <c r="C254" t="s">
        <v>1302</v>
      </c>
      <c r="D254" t="s">
        <v>1303</v>
      </c>
      <c r="E254" s="2">
        <v>211.26</v>
      </c>
      <c r="F254" t="str">
        <f>_xlfn.DISPIMG("ID_246BE312284ACA45D41512628E709CF0",1)</f>
        <v>=DISPIMG("ID_246BE312284ACA45D41512628E709CF0",1)</v>
      </c>
      <c r="G254" t="s">
        <v>1252</v>
      </c>
      <c r="H254" s="2" t="s">
        <v>59</v>
      </c>
      <c r="J254" t="s">
        <v>1304</v>
      </c>
      <c r="K254" s="13">
        <v>0.99</v>
      </c>
      <c r="L254" s="2">
        <v>5</v>
      </c>
      <c r="M254" s="2">
        <v>1</v>
      </c>
      <c r="N254" t="s">
        <v>1042</v>
      </c>
      <c r="O254" s="5">
        <v>1</v>
      </c>
    </row>
    <row r="255" ht="56.55" spans="1:13">
      <c r="A255" s="2" t="s">
        <v>1305</v>
      </c>
      <c r="B255" s="3" t="s">
        <v>1306</v>
      </c>
      <c r="C255" t="s">
        <v>1307</v>
      </c>
      <c r="D255" t="s">
        <v>1308</v>
      </c>
      <c r="E255" s="2">
        <v>461.38</v>
      </c>
      <c r="F255" t="str">
        <f>_xlfn.DISPIMG("ID_331B2A00CF712BB484151262F0644549",1)</f>
        <v>=DISPIMG("ID_331B2A00CF712BB484151262F0644549",1)</v>
      </c>
      <c r="G255" t="s">
        <v>1252</v>
      </c>
      <c r="H255" s="2" t="s">
        <v>75</v>
      </c>
      <c r="J255" t="s">
        <v>239</v>
      </c>
      <c r="K255" s="2" t="s">
        <v>1247</v>
      </c>
      <c r="L255" s="2">
        <v>25</v>
      </c>
      <c r="M255" s="2">
        <v>1</v>
      </c>
    </row>
    <row r="256" ht="30.1" spans="1:13">
      <c r="A256" s="2" t="s">
        <v>1309</v>
      </c>
      <c r="B256" s="3" t="s">
        <v>1310</v>
      </c>
      <c r="C256" t="s">
        <v>1311</v>
      </c>
      <c r="D256" t="s">
        <v>1312</v>
      </c>
      <c r="E256" s="2">
        <v>416.38</v>
      </c>
      <c r="F256" t="str">
        <f>_xlfn.DISPIMG("ID_7E40BAFE8F6BE6C0AF1512624913D0B5",1)</f>
        <v>=DISPIMG("ID_7E40BAFE8F6BE6C0AF1512624913D0B5",1)</v>
      </c>
      <c r="G256" t="s">
        <v>1252</v>
      </c>
      <c r="H256" s="2" t="s">
        <v>59</v>
      </c>
      <c r="J256" t="s">
        <v>1313</v>
      </c>
      <c r="K256" s="2" t="s">
        <v>1247</v>
      </c>
      <c r="L256" s="2">
        <v>25</v>
      </c>
      <c r="M256" s="2">
        <v>1</v>
      </c>
    </row>
    <row r="257" ht="40.75" spans="1:13">
      <c r="A257" s="2" t="s">
        <v>1314</v>
      </c>
      <c r="B257" s="3" t="s">
        <v>1315</v>
      </c>
      <c r="C257" s="3" t="s">
        <v>1316</v>
      </c>
      <c r="D257" t="s">
        <v>1317</v>
      </c>
      <c r="E257" s="2">
        <v>448.57</v>
      </c>
      <c r="F257" t="str">
        <f>_xlfn.DISPIMG("ID_101ABF3004C0CD0F1CA84562A81E3E5B",1)</f>
        <v>=DISPIMG("ID_101ABF3004C0CD0F1CA84562A81E3E5B",1)</v>
      </c>
      <c r="G257" t="s">
        <v>1318</v>
      </c>
      <c r="H257" s="2" t="s">
        <v>75</v>
      </c>
      <c r="K257" s="2" t="s">
        <v>1319</v>
      </c>
      <c r="L257" s="2">
        <v>25</v>
      </c>
      <c r="M257" s="11">
        <v>0</v>
      </c>
    </row>
    <row r="258" ht="56" customHeight="1" spans="1:15">
      <c r="A258" s="2" t="s">
        <v>1320</v>
      </c>
      <c r="B258" s="17" t="s">
        <v>1321</v>
      </c>
      <c r="C258" s="3" t="s">
        <v>1322</v>
      </c>
      <c r="D258" s="22" t="s">
        <v>1323</v>
      </c>
      <c r="E258" s="2">
        <v>268.35</v>
      </c>
      <c r="F258" t="str">
        <f>_xlfn.DISPIMG("ID_F92BBFCF70024119851021863ABCFE62",1)</f>
        <v>=DISPIMG("ID_F92BBFCF70024119851021863ABCFE62",1)</v>
      </c>
      <c r="G258" t="s">
        <v>1324</v>
      </c>
      <c r="H258" s="2" t="s">
        <v>825</v>
      </c>
      <c r="J258" t="s">
        <v>128</v>
      </c>
      <c r="K258" s="13">
        <v>0.99</v>
      </c>
      <c r="L258" s="2">
        <v>1</v>
      </c>
      <c r="M258" s="2">
        <v>1</v>
      </c>
      <c r="O258" s="5">
        <v>1</v>
      </c>
    </row>
    <row r="259" ht="117.05" spans="1:15">
      <c r="A259" s="2" t="s">
        <v>1325</v>
      </c>
      <c r="B259" s="3" t="s">
        <v>1326</v>
      </c>
      <c r="C259" t="s">
        <v>1327</v>
      </c>
      <c r="D259" t="s">
        <v>1328</v>
      </c>
      <c r="E259" s="2">
        <v>356.32</v>
      </c>
      <c r="F259" t="str">
        <f>_xlfn.DISPIMG("ID_F56CC6CE2B61061824A84562DD757588",1)</f>
        <v>=DISPIMG("ID_F56CC6CE2B61061824A84562DD757588",1)</v>
      </c>
      <c r="G259" t="s">
        <v>1329</v>
      </c>
      <c r="H259" s="2" t="s">
        <v>59</v>
      </c>
      <c r="J259" t="s">
        <v>313</v>
      </c>
      <c r="K259" s="2" t="s">
        <v>1247</v>
      </c>
      <c r="L259" s="2">
        <v>10</v>
      </c>
      <c r="M259" s="2">
        <v>1</v>
      </c>
      <c r="O259" s="5">
        <v>1</v>
      </c>
    </row>
    <row r="260" ht="38.65" spans="1:13">
      <c r="A260" s="2" t="s">
        <v>1330</v>
      </c>
      <c r="B260" s="3" t="s">
        <v>1331</v>
      </c>
      <c r="C260" t="s">
        <v>1332</v>
      </c>
      <c r="D260" t="s">
        <v>1333</v>
      </c>
      <c r="E260" s="2">
        <v>225.31</v>
      </c>
      <c r="F260" t="str">
        <f>_xlfn.DISPIMG("ID_CCFFA7C1F14467590CF514624A8D3D42",1)</f>
        <v>=DISPIMG("ID_CCFFA7C1F14467590CF514624A8D3D42",1)</v>
      </c>
      <c r="G260" t="s">
        <v>1252</v>
      </c>
      <c r="H260" s="2" t="s">
        <v>75</v>
      </c>
      <c r="J260" t="s">
        <v>60</v>
      </c>
      <c r="K260" s="2" t="s">
        <v>166</v>
      </c>
      <c r="L260" s="2">
        <v>25</v>
      </c>
      <c r="M260" s="2">
        <v>1</v>
      </c>
    </row>
    <row r="261" ht="62.5" spans="1:15">
      <c r="A261" s="2" t="s">
        <v>1330</v>
      </c>
      <c r="B261" s="3" t="s">
        <v>1331</v>
      </c>
      <c r="C261" t="s">
        <v>1332</v>
      </c>
      <c r="D261" t="s">
        <v>1333</v>
      </c>
      <c r="E261" s="2">
        <v>225.31</v>
      </c>
      <c r="F261" t="str">
        <f>_xlfn.DISPIMG("ID_CCFFA7C1F14467590CF514624A8D3D42",1)</f>
        <v>=DISPIMG("ID_CCFFA7C1F14467590CF514624A8D3D42",1)</v>
      </c>
      <c r="G261" t="s">
        <v>1252</v>
      </c>
      <c r="H261" s="2" t="s">
        <v>75</v>
      </c>
      <c r="J261" t="s">
        <v>1264</v>
      </c>
      <c r="K261" s="2" t="s">
        <v>166</v>
      </c>
      <c r="L261" s="2">
        <v>100</v>
      </c>
      <c r="M261" s="2">
        <v>1</v>
      </c>
      <c r="O261" s="5">
        <v>1</v>
      </c>
    </row>
    <row r="262" ht="44" spans="1:15">
      <c r="A262" s="23" t="s">
        <v>1334</v>
      </c>
      <c r="B262" s="3" t="s">
        <v>1335</v>
      </c>
      <c r="C262" t="s">
        <v>1336</v>
      </c>
      <c r="D262" t="s">
        <v>1337</v>
      </c>
      <c r="E262" s="7">
        <v>229.11</v>
      </c>
      <c r="F262" t="str">
        <f>_xlfn.DISPIMG("ID_9F045E2E89161B5F0B16126205006422",1)</f>
        <v>=DISPIMG("ID_9F045E2E89161B5F0B16126205006422",1)</v>
      </c>
      <c r="G262" t="s">
        <v>1338</v>
      </c>
      <c r="H262" s="2" t="s">
        <v>1339</v>
      </c>
      <c r="I262" s="4" t="s">
        <v>1340</v>
      </c>
      <c r="J262" t="s">
        <v>1341</v>
      </c>
      <c r="K262" s="2"/>
      <c r="L262" s="2">
        <v>25</v>
      </c>
      <c r="M262" s="2">
        <v>1</v>
      </c>
      <c r="N262" t="s">
        <v>272</v>
      </c>
      <c r="O262" s="5">
        <v>1</v>
      </c>
    </row>
    <row r="263" ht="77.9" spans="1:15">
      <c r="A263" s="2" t="s">
        <v>1342</v>
      </c>
      <c r="B263" s="3" t="s">
        <v>1343</v>
      </c>
      <c r="C263" t="s">
        <v>1344</v>
      </c>
      <c r="D263" t="s">
        <v>1345</v>
      </c>
      <c r="E263" s="2">
        <v>403.96</v>
      </c>
      <c r="F263" t="str">
        <f>_xlfn.DISPIMG("ID_5176AD874217D2F219161262DA9DD988",1)</f>
        <v>=DISPIMG("ID_5176AD874217D2F219161262DA9DD988",1)</v>
      </c>
      <c r="G263" t="s">
        <v>1346</v>
      </c>
      <c r="H263" s="2" t="s">
        <v>437</v>
      </c>
      <c r="J263" t="s">
        <v>1347</v>
      </c>
      <c r="K263" s="2" t="s">
        <v>166</v>
      </c>
      <c r="L263" s="2">
        <v>10</v>
      </c>
      <c r="M263" s="2">
        <v>1</v>
      </c>
      <c r="O263" s="5">
        <v>1</v>
      </c>
    </row>
    <row r="264" spans="11:11">
      <c r="K264" s="13"/>
    </row>
    <row r="265" spans="11:11">
      <c r="K265" s="13"/>
    </row>
    <row r="266" spans="11:11">
      <c r="K266" s="13"/>
    </row>
    <row r="267" spans="11:11">
      <c r="K267" s="13"/>
    </row>
  </sheetData>
  <autoFilter xmlns:etc="http://www.wps.cn/officeDocument/2017/etCustomData" ref="A1:O263" etc:filterBottomFollowUsedRange="0">
    <extLst/>
  </autoFilter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苄钛实验室出品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 6s</dc:creator>
  <cp:lastModifiedBy>Benzyl_titanium</cp:lastModifiedBy>
  <dcterms:created xsi:type="dcterms:W3CDTF">2022-02-09T16:01:00Z</dcterms:created>
  <dcterms:modified xsi:type="dcterms:W3CDTF">2025-02-15T09:07:49Z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F505F2E00D9849F4BEDCF89351738D60_13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false</vt:bool>
  </property>
</Properties>
</file>