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Efemerides_transm/"/>
    </mc:Choice>
  </mc:AlternateContent>
  <xr:revisionPtr revIDLastSave="1503" documentId="8_{41CBE948-4A59-426F-B6A1-786314178200}" xr6:coauthVersionLast="47" xr6:coauthVersionMax="47" xr10:uidLastSave="{67DF8071-F791-4290-9313-1686C737F87E}"/>
  <bookViews>
    <workbookView xWindow="7560" yWindow="570" windowWidth="12930" windowHeight="10230" activeTab="2" xr2:uid="{C4CFFAFD-BFD9-4F39-9C3C-01FBA7C8A499}"/>
  </bookViews>
  <sheets>
    <sheet name="transmitidas" sheetId="1" r:id="rId1"/>
    <sheet name="precisas" sheetId="2" r:id="rId2"/>
    <sheet name="Calculos" sheetId="3" r:id="rId3"/>
    <sheet name="Iterate" sheetId="4" r:id="rId4"/>
  </sheets>
  <definedNames>
    <definedName name="f">Calculos!#REF!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3" l="1"/>
  <c r="B54" i="3"/>
  <c r="E59" i="3"/>
  <c r="E58" i="3"/>
  <c r="E57" i="3"/>
  <c r="B59" i="3"/>
  <c r="B58" i="3"/>
  <c r="B57" i="3"/>
  <c r="B40" i="3"/>
  <c r="I7" i="3"/>
  <c r="B39" i="3"/>
  <c r="B26" i="3"/>
  <c r="B24" i="3"/>
  <c r="B18" i="3"/>
  <c r="B8" i="3"/>
  <c r="P52" i="3"/>
  <c r="P51" i="3"/>
  <c r="P50" i="3"/>
  <c r="R45" i="3"/>
  <c r="Q45" i="3"/>
  <c r="P45" i="3"/>
  <c r="R44" i="3"/>
  <c r="Q44" i="3"/>
  <c r="P44" i="3"/>
  <c r="R43" i="3"/>
  <c r="Q43" i="3"/>
  <c r="P43" i="3"/>
  <c r="J52" i="3"/>
  <c r="J51" i="3"/>
  <c r="J50" i="3"/>
  <c r="L45" i="3"/>
  <c r="K45" i="3"/>
  <c r="J45" i="3"/>
  <c r="L44" i="3"/>
  <c r="K44" i="3"/>
  <c r="J44" i="3"/>
  <c r="L43" i="3"/>
  <c r="K43" i="3"/>
  <c r="J43" i="3"/>
  <c r="B1" i="3" l="1"/>
  <c r="H4" i="1"/>
  <c r="E7" i="3"/>
  <c r="B2" i="3"/>
  <c r="C5" i="1"/>
  <c r="B36" i="3"/>
  <c r="B35" i="3"/>
  <c r="B34" i="3"/>
  <c r="B33" i="3"/>
  <c r="B31" i="3"/>
  <c r="B30" i="3"/>
  <c r="B28" i="3"/>
  <c r="E28" i="3"/>
  <c r="B27" i="3"/>
  <c r="E27" i="3"/>
  <c r="B25" i="3"/>
  <c r="B14" i="3"/>
  <c r="B2" i="4" s="1"/>
  <c r="B6" i="4" s="1"/>
  <c r="E14" i="3"/>
  <c r="C2" i="4" s="1"/>
  <c r="B20" i="3"/>
  <c r="B19" i="3"/>
  <c r="B17" i="3"/>
  <c r="B15" i="3"/>
  <c r="B16" i="3" s="1"/>
  <c r="E15" i="3"/>
  <c r="E16" i="3" s="1"/>
  <c r="B13" i="3"/>
  <c r="E13" i="3"/>
  <c r="B10" i="3"/>
  <c r="E10" i="3" s="1"/>
  <c r="G50" i="3"/>
  <c r="G49" i="3"/>
  <c r="G48" i="3"/>
  <c r="B6" i="2"/>
  <c r="E36" i="3"/>
  <c r="E35" i="3"/>
  <c r="E34" i="3"/>
  <c r="E33" i="3"/>
  <c r="E31" i="3"/>
  <c r="E30" i="3"/>
  <c r="E25" i="3"/>
  <c r="E20" i="3"/>
  <c r="E19" i="3"/>
  <c r="D7" i="3"/>
  <c r="C48" i="1"/>
  <c r="E17" i="3"/>
  <c r="B9" i="3"/>
  <c r="D9" i="3" s="1"/>
  <c r="B38" i="1"/>
  <c r="B19" i="1"/>
  <c r="E1" i="1"/>
  <c r="B2" i="1"/>
  <c r="C29" i="1" s="1"/>
  <c r="B37" i="1"/>
  <c r="B18" i="1"/>
  <c r="C4" i="1"/>
  <c r="E3" i="1"/>
  <c r="C1" i="1"/>
  <c r="E18" i="3" l="1"/>
  <c r="F10" i="3"/>
  <c r="G10" i="3" s="1"/>
  <c r="E39" i="3"/>
  <c r="G53" i="3"/>
  <c r="E21" i="3"/>
  <c r="C6" i="4"/>
  <c r="D10" i="3"/>
  <c r="E9" i="3"/>
  <c r="F9" i="3" s="1"/>
  <c r="C6" i="1"/>
  <c r="C2" i="1"/>
  <c r="B1" i="4" l="1"/>
  <c r="G9" i="3"/>
  <c r="J30" i="3"/>
  <c r="K30" i="3"/>
  <c r="J29" i="3"/>
  <c r="K29" i="3"/>
  <c r="Q23" i="3"/>
  <c r="P23" i="3"/>
  <c r="P22" i="3"/>
  <c r="Q22" i="3"/>
  <c r="Q29" i="3"/>
  <c r="Q30" i="3"/>
  <c r="P30" i="3"/>
  <c r="P29" i="3"/>
  <c r="C1" i="4"/>
  <c r="B21" i="3"/>
  <c r="K23" i="3" l="1"/>
  <c r="J23" i="3"/>
  <c r="K22" i="3"/>
  <c r="J22" i="3"/>
  <c r="C5" i="4"/>
  <c r="C8" i="4" s="1"/>
  <c r="C9" i="4" s="1"/>
  <c r="C11" i="4" s="1"/>
  <c r="B5" i="4"/>
  <c r="B8" i="4" s="1"/>
  <c r="B9" i="4" s="1"/>
  <c r="B11" i="4" s="1"/>
  <c r="B10" i="4" l="1"/>
  <c r="B13" i="4" s="1"/>
  <c r="B14" i="4" s="1"/>
  <c r="C10" i="4"/>
  <c r="C13" i="4" s="1"/>
  <c r="C14" i="4" s="1"/>
  <c r="C15" i="4" s="1"/>
  <c r="B15" i="4" l="1"/>
  <c r="B16" i="4"/>
  <c r="C16" i="4"/>
  <c r="C18" i="4" s="1"/>
  <c r="C19" i="4" s="1"/>
  <c r="B18" i="4" l="1"/>
  <c r="B19" i="4" s="1"/>
  <c r="B21" i="4" s="1"/>
  <c r="C21" i="4"/>
  <c r="C20" i="4"/>
  <c r="B20" i="4" l="1"/>
  <c r="B23" i="4" s="1"/>
  <c r="B24" i="4" s="1"/>
  <c r="B22" i="3" s="1"/>
  <c r="C23" i="4"/>
  <c r="C24" i="4" s="1"/>
  <c r="B26" i="4" l="1"/>
  <c r="B25" i="4"/>
  <c r="E22" i="3"/>
  <c r="E24" i="3" s="1"/>
  <c r="C26" i="4"/>
  <c r="C25" i="4"/>
  <c r="B23" i="3"/>
  <c r="B37" i="3" l="1"/>
  <c r="B29" i="3"/>
  <c r="B32" i="3"/>
  <c r="E26" i="3"/>
  <c r="E23" i="3"/>
  <c r="B43" i="3" l="1"/>
  <c r="K38" i="3"/>
  <c r="L38" i="3"/>
  <c r="K37" i="3"/>
  <c r="L37" i="3"/>
  <c r="B42" i="3"/>
  <c r="E29" i="3"/>
  <c r="E40" i="3" s="1"/>
  <c r="E37" i="3"/>
  <c r="E32" i="3"/>
  <c r="L50" i="3" l="1"/>
  <c r="L51" i="3"/>
  <c r="L52" i="3"/>
  <c r="K51" i="3"/>
  <c r="K52" i="3"/>
  <c r="K50" i="3"/>
  <c r="E42" i="3"/>
  <c r="E43" i="3"/>
  <c r="Q38" i="3"/>
  <c r="R38" i="3"/>
  <c r="R37" i="3"/>
  <c r="Q37" i="3"/>
  <c r="Q52" i="3" l="1"/>
  <c r="Q51" i="3"/>
  <c r="Q50" i="3"/>
  <c r="R50" i="3"/>
  <c r="R52" i="3"/>
  <c r="R51" i="3"/>
  <c r="B49" i="3"/>
  <c r="B48" i="3"/>
  <c r="B50" i="3"/>
  <c r="E49" i="3" l="1"/>
  <c r="E50" i="3"/>
  <c r="E48" i="3"/>
  <c r="B53" i="3"/>
  <c r="D48" i="3" l="1"/>
  <c r="D49" i="3"/>
  <c r="E53" i="3"/>
  <c r="D50" i="3"/>
</calcChain>
</file>

<file path=xl/sharedStrings.xml><?xml version="1.0" encoding="utf-8"?>
<sst xmlns="http://schemas.openxmlformats.org/spreadsheetml/2006/main" count="234" uniqueCount="127">
  <si>
    <t>Efemérides transmitidas día 18 de marzo (079) del año 2001</t>
  </si>
  <si>
    <t>END OF HEADER</t>
  </si>
  <si>
    <t>Efemérides transmitidas día 19 de marzo (078) del año 2001</t>
  </si>
  <si>
    <t>Efemérides precisas para control</t>
  </si>
  <si>
    <t>semana 1106 dia 1</t>
  </si>
  <si>
    <t>P</t>
  </si>
  <si>
    <t>*</t>
  </si>
  <si>
    <t>IODE</t>
  </si>
  <si>
    <t>Crs</t>
  </si>
  <si>
    <t>Delta_n</t>
  </si>
  <si>
    <t>M0</t>
  </si>
  <si>
    <t>Cuc</t>
  </si>
  <si>
    <t>e</t>
  </si>
  <si>
    <t>Cus</t>
  </si>
  <si>
    <t>sqrtA</t>
  </si>
  <si>
    <t>Toe</t>
  </si>
  <si>
    <t>Cic</t>
  </si>
  <si>
    <t>OMEGA</t>
  </si>
  <si>
    <t>Cis</t>
  </si>
  <si>
    <t>i0</t>
  </si>
  <si>
    <t>Crc</t>
  </si>
  <si>
    <t>omega</t>
  </si>
  <si>
    <t>OMEGA_DOT</t>
  </si>
  <si>
    <t>idot</t>
  </si>
  <si>
    <t>c2</t>
  </si>
  <si>
    <t>GPS_Week</t>
  </si>
  <si>
    <t>L2_P</t>
  </si>
  <si>
    <t>SVa</t>
  </si>
  <si>
    <t>SVh</t>
  </si>
  <si>
    <t>TGD</t>
  </si>
  <si>
    <t>IODC</t>
  </si>
  <si>
    <t>TxToM</t>
  </si>
  <si>
    <t>FitInt</t>
  </si>
  <si>
    <t>a0</t>
  </si>
  <si>
    <t>a1</t>
  </si>
  <si>
    <t>a2</t>
  </si>
  <si>
    <t>LEAP SECONDS</t>
  </si>
  <si>
    <t>DELTA-UTC: A0,A1,T,W</t>
  </si>
  <si>
    <t>ION ALPHA</t>
  </si>
  <si>
    <t>ION BETA</t>
  </si>
  <si>
    <t xml:space="preserve">CONCATENATED NAVIGATIONFILES FOR IGS </t>
  </si>
  <si>
    <t>COMMENT</t>
  </si>
  <si>
    <t xml:space="preserve">CCRINEXN V1.5.5 UX BKG, FRANKFURT/MAIN 19-MAR- 1 13:25 </t>
  </si>
  <si>
    <t>PGM / RUN BY / DATE</t>
  </si>
  <si>
    <t xml:space="preserve">2 NAVIGATION DATA </t>
  </si>
  <si>
    <t>RINEX VERSION / TYPE</t>
  </si>
  <si>
    <t>2.10 Navigation</t>
  </si>
  <si>
    <t xml:space="preserve">RinexNavWriter NIMA 11-08-01 0:34:51 </t>
  </si>
  <si>
    <t>t</t>
  </si>
  <si>
    <t>GPSWk</t>
  </si>
  <si>
    <t>Sat: :</t>
  </si>
  <si>
    <t>Time=</t>
  </si>
  <si>
    <t>GPS 0</t>
  </si>
  <si>
    <t>days</t>
  </si>
  <si>
    <t>GPSWk+Toe=</t>
  </si>
  <si>
    <t>Sec/day</t>
  </si>
  <si>
    <t>Toe (UTC):</t>
  </si>
  <si>
    <t>ωe =</t>
  </si>
  <si>
    <t>μ =</t>
  </si>
  <si>
    <t>f =</t>
  </si>
  <si>
    <t>t ?</t>
  </si>
  <si>
    <r>
      <t>t</t>
    </r>
    <r>
      <rPr>
        <vertAlign val="subscript"/>
        <sz val="14"/>
        <color theme="1"/>
        <rFont val="Aptos Narrow"/>
        <family val="2"/>
        <scheme val="minor"/>
      </rPr>
      <t>0e1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</si>
  <si>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01</t>
    </r>
  </si>
  <si>
    <t>a =</t>
  </si>
  <si>
    <r>
      <t>M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</si>
  <si>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t [seg]</t>
  </si>
  <si>
    <t>t [dias]</t>
  </si>
  <si>
    <r>
      <t>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</si>
  <si>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h =</t>
  </si>
  <si>
    <r>
      <t>E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=</t>
    </r>
  </si>
  <si>
    <t>df =</t>
  </si>
  <si>
    <t>M :</t>
  </si>
  <si>
    <t>e :</t>
  </si>
  <si>
    <r>
      <t>E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 xml:space="preserve">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</si>
  <si>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</si>
  <si>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</si>
  <si>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=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</si>
  <si>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</si>
  <si>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</si>
  <si>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</si>
  <si>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 xml:space="preserve"> = 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</si>
  <si>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</si>
  <si>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</si>
  <si>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</si>
  <si>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t xml:space="preserve">ϴ = </t>
  </si>
  <si>
    <r>
      <t>R1 (-i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</si>
  <si>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x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</si>
  <si>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y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</si>
  <si>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 </t>
    </r>
  </si>
  <si>
    <r>
      <t>x'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</si>
  <si>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y'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</si>
  <si>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z'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</si>
  <si>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02</t>
    </r>
  </si>
  <si>
    <r>
      <t>M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</si>
  <si>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</si>
  <si>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</si>
  <si>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</si>
  <si>
    <r>
      <t>e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</si>
  <si>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02</t>
    </r>
    <r>
      <rPr>
        <sz val="11"/>
        <color theme="1"/>
        <rFont val="Aptos Narrow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</si>
  <si>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</si>
  <si>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t</t>
    </r>
    <r>
      <rPr>
        <vertAlign val="subscript"/>
        <sz val="14"/>
        <color theme="1"/>
        <rFont val="Aptos Narrow"/>
        <family val="2"/>
        <scheme val="minor"/>
      </rPr>
      <t>0e2</t>
    </r>
  </si>
  <si>
    <t>Transmitidas 18/3  22:00</t>
  </si>
  <si>
    <t>Transmitidas 19/3  02:00</t>
  </si>
  <si>
    <t>Precisas 19/3  00:15</t>
  </si>
  <si>
    <r>
      <t>u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</si>
  <si>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</si>
  <si>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02</t>
    </r>
    <r>
      <rPr>
        <sz val="11"/>
        <color theme="1"/>
        <rFont val="Aptos Narrow"/>
        <family val="2"/>
        <scheme val="minor"/>
      </rPr>
      <t xml:space="preserve"> = </t>
    </r>
  </si>
  <si>
    <r>
      <t>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</si>
  <si>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</si>
  <si>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</t>
    </r>
  </si>
  <si>
    <t xml:space="preserve">r =  </t>
  </si>
  <si>
    <t xml:space="preserve">Dif. r : </t>
  </si>
  <si>
    <t xml:space="preserve">Dif. X : </t>
  </si>
  <si>
    <t xml:space="preserve">Dif. Y : </t>
  </si>
  <si>
    <t xml:space="preserve">Dif. Z : </t>
  </si>
  <si>
    <r>
      <t>t - t</t>
    </r>
    <r>
      <rPr>
        <vertAlign val="subscript"/>
        <sz val="11"/>
        <color theme="1"/>
        <rFont val="Aptos Narrow"/>
        <family val="2"/>
        <scheme val="minor"/>
      </rPr>
      <t>0e</t>
    </r>
    <r>
      <rPr>
        <sz val="11"/>
        <color theme="1"/>
        <rFont val="Aptos Narrow"/>
        <family val="2"/>
        <scheme val="minor"/>
      </rPr>
      <t xml:space="preserve"> [seg]</t>
    </r>
  </si>
  <si>
    <r>
      <t>ωe * (t - t</t>
    </r>
    <r>
      <rPr>
        <vertAlign val="subscript"/>
        <sz val="11"/>
        <color theme="1"/>
        <rFont val="Aptos Narrow"/>
        <family val="2"/>
        <scheme val="minor"/>
      </rPr>
      <t>0e</t>
    </r>
    <r>
      <rPr>
        <sz val="11"/>
        <color theme="1"/>
        <rFont val="Aptos Narrow"/>
        <family val="2"/>
        <scheme val="minor"/>
      </rPr>
      <t xml:space="preserve"> )</t>
    </r>
  </si>
  <si>
    <t>t-GPS0</t>
  </si>
  <si>
    <r>
      <t>R3 (-Ω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</si>
  <si>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t>R3 (ϴ)</t>
  </si>
  <si>
    <r>
      <t>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</si>
  <si>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GPSWeek</t>
  </si>
  <si>
    <r>
      <t>R3 (ϴ) x R3 (-Ω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)               </t>
    </r>
  </si>
  <si>
    <r>
      <t>R3 (ϴ) x R3 (-Ω1) x R1 (-i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)           </t>
    </r>
  </si>
  <si>
    <r>
      <t>R3 (ϴ) x 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)                    </t>
    </r>
  </si>
  <si>
    <r>
      <t>R3 (ϴ)  x R3 (-Ω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 x R1 (-i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)            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</si>
  <si>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0e1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</si>
</sst>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 * #,##0.00_ ;_ * \-#,##0.00_ ;_ * &quot;-&quot;??_ ;_ @_ "/>
    <numFmt numFmtId="164" formatCode="dd/mm/yyyy\ hh:mm:ss"/>
    <numFmt numFmtId="165" formatCode="0.000"/>
    <numFmt numFmtId="166" formatCode="0.0000"/>
    <numFmt numFmtId="167" formatCode="0.00000"/>
    <numFmt numFmtId="168" formatCode="0.00000000"/>
    <numFmt numFmtId="169" formatCode="0.000000000"/>
    <numFmt numFmtId="170" formatCode="0.0000000000"/>
    <numFmt numFmtId="171" formatCode="0.00000000000"/>
    <numFmt numFmtId="172" formatCode="0.0000000E+00"/>
    <numFmt numFmtId="173" formatCode="_ * #,##0_ ;_ * \-#,##0_ ;_ * &quot;-&quot;??_ ;_ @_ "/>
    <numFmt numFmtId="174" formatCode="0.000000"/>
    <numFmt numFmtId="175" formatCode="0.000000E+00"/>
    <numFmt numFmtId="176" formatCode="0.00000000E+00"/>
    <numFmt numFmtId="177" formatCode="0.00000000000000"/>
    <numFmt numFmtId="178" formatCode="0.000000000000000"/>
    <numFmt numFmtId="179" formatCode="_ * #,##0.000000_ ;_ * \-#,##0.000000_ ;_ * &quot;-&quot;??_ ;_ @_ "/>
    <numFmt numFmtId="180" formatCode="_ * #,##0.000000000000_ ;_ * \-#,##0.000000000000_ ;_ * &quot;-&quot;??_ ;_ @_ "/>
    <numFmt numFmtId="181" formatCode="_ * #,##0.0000000000000000_ ;_ * \-#,##0.0000000000000000_ ;_ * &quot;-&quot;??_ ;_ @_ "/>
    <numFmt numFmtId="182" formatCode="0.00000000000E+00"/>
    <numFmt numFmtId="183" formatCode="0.0000000"/>
    <numFmt numFmtId="184" formatCode="0.0000000000000"/>
    <numFmt numFmtId="188" formatCode="0.00000000000000000"/>
    <numFmt numFmtId="190" formatCode="0.0000000000000000000"/>
    <numFmt numFmtId="191" formatCode="_ * #,##0.000_ ;_ * \-#,##0.000_ ;_ 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u/>
      <sz val="11"/>
      <color theme="1"/>
      <name val="Consolas"/>
      <family val="3"/>
    </font>
    <font>
      <b/>
      <u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22" fontId="0" fillId="0" borderId="0" xfId="0" applyNumberFormat="1"/>
    <xf numFmtId="2" fontId="0" fillId="0" borderId="0" xfId="0" applyNumberFormat="1"/>
    <xf numFmtId="11" fontId="0" fillId="0" borderId="0" xfId="0" applyNumberFormat="1"/>
    <xf numFmtId="11" fontId="2" fillId="0" borderId="0" xfId="0" quotePrefix="1" applyNumberFormat="1" applyFon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6" fillId="0" borderId="0" xfId="0" applyFont="1"/>
    <xf numFmtId="171" fontId="0" fillId="0" borderId="0" xfId="0" applyNumberFormat="1"/>
    <xf numFmtId="0" fontId="0" fillId="3" borderId="0" xfId="0" applyFill="1"/>
    <xf numFmtId="172" fontId="0" fillId="0" borderId="0" xfId="0" applyNumberFormat="1"/>
    <xf numFmtId="43" fontId="0" fillId="0" borderId="0" xfId="1" applyFont="1"/>
    <xf numFmtId="173" fontId="0" fillId="0" borderId="0" xfId="1" applyNumberFormat="1" applyFont="1"/>
    <xf numFmtId="4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4" fontId="0" fillId="0" borderId="0" xfId="0" applyNumberFormat="1"/>
    <xf numFmtId="183" fontId="0" fillId="0" borderId="0" xfId="1" applyNumberFormat="1" applyFont="1"/>
    <xf numFmtId="173" fontId="0" fillId="0" borderId="0" xfId="0" applyNumberFormat="1"/>
    <xf numFmtId="164" fontId="0" fillId="0" borderId="0" xfId="0" applyNumberFormat="1" applyAlignment="1">
      <alignment horizontal="center"/>
    </xf>
    <xf numFmtId="188" fontId="0" fillId="0" borderId="0" xfId="0" applyNumberFormat="1"/>
    <xf numFmtId="190" fontId="0" fillId="0" borderId="0" xfId="0" applyNumberFormat="1"/>
    <xf numFmtId="19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27</xdr:row>
      <xdr:rowOff>152400</xdr:rowOff>
    </xdr:from>
    <xdr:to>
      <xdr:col>8</xdr:col>
      <xdr:colOff>819150</xdr:colOff>
      <xdr:row>31</xdr:row>
      <xdr:rowOff>123825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3180039F-E2D1-716D-9610-79677273439A}"/>
            </a:ext>
          </a:extLst>
        </xdr:cNvPr>
        <xdr:cNvSpPr/>
      </xdr:nvSpPr>
      <xdr:spPr>
        <a:xfrm>
          <a:off x="5524500" y="5133975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34</xdr:row>
      <xdr:rowOff>76200</xdr:rowOff>
    </xdr:from>
    <xdr:to>
      <xdr:col>12</xdr:col>
      <xdr:colOff>228600</xdr:colOff>
      <xdr:row>38</xdr:row>
      <xdr:rowOff>104775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914BCAD-EF4C-4F23-38F2-673FCB639E76}"/>
            </a:ext>
          </a:extLst>
        </xdr:cNvPr>
        <xdr:cNvSpPr/>
      </xdr:nvSpPr>
      <xdr:spPr>
        <a:xfrm>
          <a:off x="7772400" y="6505575"/>
          <a:ext cx="95250" cy="8286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762000</xdr:colOff>
      <xdr:row>34</xdr:row>
      <xdr:rowOff>95250</xdr:rowOff>
    </xdr:from>
    <xdr:to>
      <xdr:col>8</xdr:col>
      <xdr:colOff>866775</xdr:colOff>
      <xdr:row>38</xdr:row>
      <xdr:rowOff>104775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6A1C7D4B-CE10-53BA-B6BE-4FA62946FFFC}"/>
            </a:ext>
          </a:extLst>
        </xdr:cNvPr>
        <xdr:cNvSpPr/>
      </xdr:nvSpPr>
      <xdr:spPr>
        <a:xfrm>
          <a:off x="5572125" y="6524625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27</xdr:row>
      <xdr:rowOff>114300</xdr:rowOff>
    </xdr:from>
    <xdr:to>
      <xdr:col>12</xdr:col>
      <xdr:colOff>228600</xdr:colOff>
      <xdr:row>31</xdr:row>
      <xdr:rowOff>142875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B01212AE-9594-BDD0-3C03-8BF631CC5609}"/>
            </a:ext>
          </a:extLst>
        </xdr:cNvPr>
        <xdr:cNvSpPr/>
      </xdr:nvSpPr>
      <xdr:spPr>
        <a:xfrm>
          <a:off x="7772400" y="5095875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771525</xdr:colOff>
      <xdr:row>41</xdr:row>
      <xdr:rowOff>66675</xdr:rowOff>
    </xdr:from>
    <xdr:to>
      <xdr:col>8</xdr:col>
      <xdr:colOff>876300</xdr:colOff>
      <xdr:row>45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CC765A97-A23A-076C-FBD8-8AA9554D358E}"/>
            </a:ext>
          </a:extLst>
        </xdr:cNvPr>
        <xdr:cNvSpPr/>
      </xdr:nvSpPr>
      <xdr:spPr>
        <a:xfrm>
          <a:off x="5581650" y="7905750"/>
          <a:ext cx="104775" cy="8477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161925</xdr:colOff>
      <xdr:row>41</xdr:row>
      <xdr:rowOff>57150</xdr:rowOff>
    </xdr:from>
    <xdr:to>
      <xdr:col>12</xdr:col>
      <xdr:colOff>257175</xdr:colOff>
      <xdr:row>45</xdr:row>
      <xdr:rowOff>161925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4060752D-F3A6-33EC-ECB1-C00EBD8656A4}"/>
            </a:ext>
          </a:extLst>
        </xdr:cNvPr>
        <xdr:cNvSpPr/>
      </xdr:nvSpPr>
      <xdr:spPr>
        <a:xfrm>
          <a:off x="7800975" y="7896225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41</xdr:row>
      <xdr:rowOff>57150</xdr:rowOff>
    </xdr:from>
    <xdr:to>
      <xdr:col>0</xdr:col>
      <xdr:colOff>179069</xdr:colOff>
      <xdr:row>43</xdr:row>
      <xdr:rowOff>180975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4712952E-FBF8-C661-DF87-EDF142249FC6}"/>
            </a:ext>
          </a:extLst>
        </xdr:cNvPr>
        <xdr:cNvSpPr/>
      </xdr:nvSpPr>
      <xdr:spPr>
        <a:xfrm>
          <a:off x="133350" y="8086725"/>
          <a:ext cx="45719" cy="5048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621030</xdr:colOff>
      <xdr:row>41</xdr:row>
      <xdr:rowOff>66676</xdr:rowOff>
    </xdr:from>
    <xdr:to>
      <xdr:col>0</xdr:col>
      <xdr:colOff>666749</xdr:colOff>
      <xdr:row>43</xdr:row>
      <xdr:rowOff>180976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1152FE9A-B9E5-B7B6-7DBB-E19057CA5A69}"/>
            </a:ext>
          </a:extLst>
        </xdr:cNvPr>
        <xdr:cNvSpPr/>
      </xdr:nvSpPr>
      <xdr:spPr>
        <a:xfrm>
          <a:off x="621030" y="8096251"/>
          <a:ext cx="45719" cy="4953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714375</xdr:colOff>
      <xdr:row>27</xdr:row>
      <xdr:rowOff>152400</xdr:rowOff>
    </xdr:from>
    <xdr:to>
      <xdr:col>14</xdr:col>
      <xdr:colOff>819150</xdr:colOff>
      <xdr:row>31</xdr:row>
      <xdr:rowOff>123825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EA4788F9-11B9-4CCD-963A-7149F7463412}"/>
            </a:ext>
          </a:extLst>
        </xdr:cNvPr>
        <xdr:cNvSpPr/>
      </xdr:nvSpPr>
      <xdr:spPr>
        <a:xfrm>
          <a:off x="6800850" y="5638800"/>
          <a:ext cx="0" cy="7715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34</xdr:row>
      <xdr:rowOff>76200</xdr:rowOff>
    </xdr:from>
    <xdr:to>
      <xdr:col>18</xdr:col>
      <xdr:colOff>228600</xdr:colOff>
      <xdr:row>38</xdr:row>
      <xdr:rowOff>104775</xdr:rowOff>
    </xdr:to>
    <xdr:sp macro="" textlink="">
      <xdr:nvSpPr>
        <xdr:cNvPr id="25" name="Right Brace 24">
          <a:extLst>
            <a:ext uri="{FF2B5EF4-FFF2-40B4-BE49-F238E27FC236}">
              <a16:creationId xmlns:a16="http://schemas.microsoft.com/office/drawing/2014/main" id="{9A06E32F-035F-4B38-9470-61447DA9FEE1}"/>
            </a:ext>
          </a:extLst>
        </xdr:cNvPr>
        <xdr:cNvSpPr/>
      </xdr:nvSpPr>
      <xdr:spPr>
        <a:xfrm>
          <a:off x="8763000" y="697230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762000</xdr:colOff>
      <xdr:row>34</xdr:row>
      <xdr:rowOff>95250</xdr:rowOff>
    </xdr:from>
    <xdr:to>
      <xdr:col>14</xdr:col>
      <xdr:colOff>866775</xdr:colOff>
      <xdr:row>38</xdr:row>
      <xdr:rowOff>104775</xdr:rowOff>
    </xdr:to>
    <xdr:sp macro="" textlink="">
      <xdr:nvSpPr>
        <xdr:cNvPr id="26" name="Left Brace 25">
          <a:extLst>
            <a:ext uri="{FF2B5EF4-FFF2-40B4-BE49-F238E27FC236}">
              <a16:creationId xmlns:a16="http://schemas.microsoft.com/office/drawing/2014/main" id="{EAB98F5D-01E5-49CB-A5B5-9FD4AA6B2492}"/>
            </a:ext>
          </a:extLst>
        </xdr:cNvPr>
        <xdr:cNvSpPr/>
      </xdr:nvSpPr>
      <xdr:spPr>
        <a:xfrm>
          <a:off x="6800850" y="6991350"/>
          <a:ext cx="0" cy="8477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27</xdr:row>
      <xdr:rowOff>114300</xdr:rowOff>
    </xdr:from>
    <xdr:to>
      <xdr:col>18</xdr:col>
      <xdr:colOff>228600</xdr:colOff>
      <xdr:row>31</xdr:row>
      <xdr:rowOff>142875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22B40313-98C8-49AA-9215-B7C1AF5B40E7}"/>
            </a:ext>
          </a:extLst>
        </xdr:cNvPr>
        <xdr:cNvSpPr/>
      </xdr:nvSpPr>
      <xdr:spPr>
        <a:xfrm>
          <a:off x="8763000" y="5600700"/>
          <a:ext cx="95250" cy="8286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771525</xdr:colOff>
      <xdr:row>41</xdr:row>
      <xdr:rowOff>66675</xdr:rowOff>
    </xdr:from>
    <xdr:to>
      <xdr:col>14</xdr:col>
      <xdr:colOff>876300</xdr:colOff>
      <xdr:row>45</xdr:row>
      <xdr:rowOff>152400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784AE75C-C84F-49FB-B9E3-2AA1C7A82814}"/>
            </a:ext>
          </a:extLst>
        </xdr:cNvPr>
        <xdr:cNvSpPr/>
      </xdr:nvSpPr>
      <xdr:spPr>
        <a:xfrm>
          <a:off x="6800850" y="8372475"/>
          <a:ext cx="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161925</xdr:colOff>
      <xdr:row>41</xdr:row>
      <xdr:rowOff>57150</xdr:rowOff>
    </xdr:from>
    <xdr:to>
      <xdr:col>18</xdr:col>
      <xdr:colOff>257175</xdr:colOff>
      <xdr:row>45</xdr:row>
      <xdr:rowOff>161925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9F1622A4-0E08-485E-A8D8-8E4B520A789A}"/>
            </a:ext>
          </a:extLst>
        </xdr:cNvPr>
        <xdr:cNvSpPr/>
      </xdr:nvSpPr>
      <xdr:spPr>
        <a:xfrm>
          <a:off x="8791575" y="836295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714375</xdr:colOff>
      <xdr:row>20</xdr:row>
      <xdr:rowOff>152400</xdr:rowOff>
    </xdr:from>
    <xdr:to>
      <xdr:col>8</xdr:col>
      <xdr:colOff>819150</xdr:colOff>
      <xdr:row>24</xdr:row>
      <xdr:rowOff>123825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E151B222-CB91-4097-A7B7-99A6F3125C66}"/>
            </a:ext>
          </a:extLst>
        </xdr:cNvPr>
        <xdr:cNvSpPr/>
      </xdr:nvSpPr>
      <xdr:spPr>
        <a:xfrm>
          <a:off x="6905625" y="5924550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20</xdr:row>
      <xdr:rowOff>114300</xdr:rowOff>
    </xdr:from>
    <xdr:to>
      <xdr:col>12</xdr:col>
      <xdr:colOff>228600</xdr:colOff>
      <xdr:row>24</xdr:row>
      <xdr:rowOff>142875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D9F965B-5BD5-4948-A3A1-6C04449C75B0}"/>
            </a:ext>
          </a:extLst>
        </xdr:cNvPr>
        <xdr:cNvSpPr/>
      </xdr:nvSpPr>
      <xdr:spPr>
        <a:xfrm>
          <a:off x="9382125" y="588645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714375</xdr:colOff>
      <xdr:row>20</xdr:row>
      <xdr:rowOff>152400</xdr:rowOff>
    </xdr:from>
    <xdr:to>
      <xdr:col>14</xdr:col>
      <xdr:colOff>819150</xdr:colOff>
      <xdr:row>24</xdr:row>
      <xdr:rowOff>123825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85C3649-940B-4C66-9A71-134D5E75C97E}"/>
            </a:ext>
          </a:extLst>
        </xdr:cNvPr>
        <xdr:cNvSpPr/>
      </xdr:nvSpPr>
      <xdr:spPr>
        <a:xfrm>
          <a:off x="11572875" y="5924550"/>
          <a:ext cx="104775" cy="8096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133350</xdr:colOff>
      <xdr:row>20</xdr:row>
      <xdr:rowOff>114300</xdr:rowOff>
    </xdr:from>
    <xdr:to>
      <xdr:col>18</xdr:col>
      <xdr:colOff>228600</xdr:colOff>
      <xdr:row>24</xdr:row>
      <xdr:rowOff>142875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7B01E542-937B-401D-BFA0-F84312C4BE15}"/>
            </a:ext>
          </a:extLst>
        </xdr:cNvPr>
        <xdr:cNvSpPr/>
      </xdr:nvSpPr>
      <xdr:spPr>
        <a:xfrm>
          <a:off x="13706475" y="5886450"/>
          <a:ext cx="95250" cy="8667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771525</xdr:colOff>
      <xdr:row>48</xdr:row>
      <xdr:rowOff>66675</xdr:rowOff>
    </xdr:from>
    <xdr:to>
      <xdr:col>8</xdr:col>
      <xdr:colOff>876300</xdr:colOff>
      <xdr:row>52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3ECA20E5-D0EB-4219-9583-BBD3F109B04C}"/>
            </a:ext>
          </a:extLst>
        </xdr:cNvPr>
        <xdr:cNvSpPr/>
      </xdr:nvSpPr>
      <xdr:spPr>
        <a:xfrm>
          <a:off x="7953375" y="8658225"/>
          <a:ext cx="7620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161925</xdr:colOff>
      <xdr:row>48</xdr:row>
      <xdr:rowOff>57150</xdr:rowOff>
    </xdr:from>
    <xdr:to>
      <xdr:col>12</xdr:col>
      <xdr:colOff>257175</xdr:colOff>
      <xdr:row>52</xdr:row>
      <xdr:rowOff>161925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09D63507-6D5A-44AE-A325-E1F802FB9AD0}"/>
            </a:ext>
          </a:extLst>
        </xdr:cNvPr>
        <xdr:cNvSpPr/>
      </xdr:nvSpPr>
      <xdr:spPr>
        <a:xfrm>
          <a:off x="10020300" y="864870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771525</xdr:colOff>
      <xdr:row>48</xdr:row>
      <xdr:rowOff>66675</xdr:rowOff>
    </xdr:from>
    <xdr:to>
      <xdr:col>14</xdr:col>
      <xdr:colOff>876300</xdr:colOff>
      <xdr:row>52</xdr:row>
      <xdr:rowOff>152400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8B06926B-B457-4FA3-B1E6-4A014423CDFF}"/>
            </a:ext>
          </a:extLst>
        </xdr:cNvPr>
        <xdr:cNvSpPr/>
      </xdr:nvSpPr>
      <xdr:spPr>
        <a:xfrm>
          <a:off x="12353925" y="8658225"/>
          <a:ext cx="0" cy="96202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161925</xdr:colOff>
      <xdr:row>48</xdr:row>
      <xdr:rowOff>57150</xdr:rowOff>
    </xdr:from>
    <xdr:to>
      <xdr:col>18</xdr:col>
      <xdr:colOff>257175</xdr:colOff>
      <xdr:row>52</xdr:row>
      <xdr:rowOff>161925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C63740B6-26B2-4E5B-819F-D938C6D06FC5}"/>
            </a:ext>
          </a:extLst>
        </xdr:cNvPr>
        <xdr:cNvSpPr/>
      </xdr:nvSpPr>
      <xdr:spPr>
        <a:xfrm>
          <a:off x="14344650" y="8648700"/>
          <a:ext cx="95250" cy="9810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46</xdr:row>
      <xdr:rowOff>9525</xdr:rowOff>
    </xdr:from>
    <xdr:to>
      <xdr:col>3</xdr:col>
      <xdr:colOff>838200</xdr:colOff>
      <xdr:row>46</xdr:row>
      <xdr:rowOff>161925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B26DB4-84ED-C948-522F-5D9BC21CB28E}"/>
            </a:ext>
          </a:extLst>
        </xdr:cNvPr>
        <xdr:cNvSpPr txBox="1"/>
      </xdr:nvSpPr>
      <xdr:spPr>
        <a:xfrm>
          <a:off x="2819400" y="9667875"/>
          <a:ext cx="485775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Difs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A84F-85F7-4054-BEB1-66776AF2C5EB}">
  <dimension ref="A1:K48"/>
  <sheetViews>
    <sheetView topLeftCell="A16" workbookViewId="0">
      <selection activeCell="K21" sqref="K21"/>
    </sheetView>
  </sheetViews>
  <sheetFormatPr defaultRowHeight="15" x14ac:dyDescent="0.25"/>
  <cols>
    <col min="1" max="1" width="5.85546875" customWidth="1"/>
    <col min="2" max="2" width="22" bestFit="1" customWidth="1"/>
    <col min="3" max="3" width="22.140625" customWidth="1"/>
    <col min="4" max="4" width="18.85546875" bestFit="1" customWidth="1"/>
    <col min="5" max="5" width="20.42578125" bestFit="1" customWidth="1"/>
    <col min="8" max="8" width="10" bestFit="1" customWidth="1"/>
  </cols>
  <sheetData>
    <row r="1" spans="1:8" x14ac:dyDescent="0.25">
      <c r="A1" t="s">
        <v>48</v>
      </c>
      <c r="B1" s="7">
        <v>36969.010416666664</v>
      </c>
      <c r="C1" s="8">
        <f>B1</f>
        <v>36969.010416666664</v>
      </c>
      <c r="D1" s="4" t="s">
        <v>55</v>
      </c>
      <c r="E1">
        <f>24*60*60</f>
        <v>86400</v>
      </c>
    </row>
    <row r="2" spans="1:8" x14ac:dyDescent="0.25">
      <c r="A2" t="s">
        <v>52</v>
      </c>
      <c r="B2" s="7">
        <f>DATE(1980,1,6)</f>
        <v>29226</v>
      </c>
      <c r="C2" s="8">
        <f>B2</f>
        <v>29226</v>
      </c>
      <c r="D2" s="19"/>
    </row>
    <row r="3" spans="1:8" x14ac:dyDescent="0.25">
      <c r="B3" s="4" t="s">
        <v>15</v>
      </c>
      <c r="C3">
        <v>79200</v>
      </c>
      <c r="D3">
        <v>13</v>
      </c>
      <c r="E3">
        <f>C3-D3</f>
        <v>79187</v>
      </c>
    </row>
    <row r="4" spans="1:8" x14ac:dyDescent="0.25">
      <c r="B4" s="4" t="s">
        <v>49</v>
      </c>
      <c r="C4" s="14">
        <f>D25</f>
        <v>1106</v>
      </c>
      <c r="H4">
        <f>C4*7*24*60*60</f>
        <v>668908800</v>
      </c>
    </row>
    <row r="5" spans="1:8" x14ac:dyDescent="0.25">
      <c r="B5" s="4" t="s">
        <v>53</v>
      </c>
      <c r="C5" s="21">
        <f>C4*7+C3/E1</f>
        <v>7742.916666666667</v>
      </c>
    </row>
    <row r="6" spans="1:8" x14ac:dyDescent="0.25">
      <c r="B6" s="4" t="s">
        <v>54</v>
      </c>
      <c r="C6" s="15">
        <f>B2+C5</f>
        <v>36968.916666666664</v>
      </c>
    </row>
    <row r="8" spans="1:8" x14ac:dyDescent="0.25">
      <c r="A8" s="5" t="s">
        <v>0</v>
      </c>
    </row>
    <row r="9" spans="1:8" x14ac:dyDescent="0.25">
      <c r="A9" s="1" t="s">
        <v>44</v>
      </c>
      <c r="F9" t="s">
        <v>45</v>
      </c>
    </row>
    <row r="10" spans="1:8" x14ac:dyDescent="0.25">
      <c r="A10" s="1" t="s">
        <v>42</v>
      </c>
      <c r="F10" t="s">
        <v>43</v>
      </c>
    </row>
    <row r="11" spans="1:8" x14ac:dyDescent="0.25">
      <c r="A11" s="1" t="s">
        <v>40</v>
      </c>
      <c r="F11" t="s">
        <v>41</v>
      </c>
    </row>
    <row r="12" spans="1:8" x14ac:dyDescent="0.25">
      <c r="B12" s="10">
        <v>2.6079999999999999E-8</v>
      </c>
      <c r="C12" s="9">
        <v>7.451E-9</v>
      </c>
      <c r="D12" s="9">
        <v>-1.192E-7</v>
      </c>
      <c r="E12" s="9">
        <v>0</v>
      </c>
      <c r="F12" t="s">
        <v>38</v>
      </c>
    </row>
    <row r="13" spans="1:8" x14ac:dyDescent="0.25">
      <c r="B13" s="10">
        <v>129000</v>
      </c>
      <c r="C13" s="9">
        <v>0</v>
      </c>
      <c r="D13" s="9">
        <v>-262100</v>
      </c>
      <c r="E13" s="9">
        <v>131100</v>
      </c>
      <c r="F13" t="s">
        <v>39</v>
      </c>
    </row>
    <row r="14" spans="1:8" x14ac:dyDescent="0.25">
      <c r="B14" s="10">
        <v>-2.0489096641499999E-8</v>
      </c>
      <c r="C14" s="9">
        <v>-6.3060667798700006E-14</v>
      </c>
      <c r="D14" s="4">
        <v>319488</v>
      </c>
      <c r="E14" s="4">
        <v>82</v>
      </c>
      <c r="F14" t="s">
        <v>37</v>
      </c>
    </row>
    <row r="15" spans="1:8" x14ac:dyDescent="0.25">
      <c r="A15" s="1">
        <v>13</v>
      </c>
      <c r="F15" t="s">
        <v>36</v>
      </c>
    </row>
    <row r="16" spans="1:8" x14ac:dyDescent="0.25">
      <c r="F16" s="1" t="s">
        <v>1</v>
      </c>
    </row>
    <row r="17" spans="1:11" x14ac:dyDescent="0.25">
      <c r="A17">
        <v>1</v>
      </c>
      <c r="B17">
        <v>1</v>
      </c>
      <c r="C17">
        <v>3</v>
      </c>
      <c r="D17">
        <v>18</v>
      </c>
      <c r="E17">
        <v>22</v>
      </c>
      <c r="F17">
        <v>0</v>
      </c>
      <c r="G17">
        <v>0</v>
      </c>
    </row>
    <row r="18" spans="1:11" x14ac:dyDescent="0.25">
      <c r="A18" t="s">
        <v>50</v>
      </c>
      <c r="B18">
        <f>A17</f>
        <v>1</v>
      </c>
    </row>
    <row r="19" spans="1:11" x14ac:dyDescent="0.25">
      <c r="A19" t="s">
        <v>51</v>
      </c>
      <c r="B19" s="15">
        <f>DATE(2000+B17,C17,D17)+TIME(E17,F17,G17)</f>
        <v>36968.916666666664</v>
      </c>
    </row>
    <row r="20" spans="1:11" x14ac:dyDescent="0.25">
      <c r="C20" s="9">
        <v>1.69087667018E-4</v>
      </c>
      <c r="D20" s="9">
        <v>1.5916157281000001E-12</v>
      </c>
      <c r="E20" s="9">
        <v>0</v>
      </c>
      <c r="I20" t="s">
        <v>33</v>
      </c>
      <c r="J20" t="s">
        <v>34</v>
      </c>
      <c r="K20" t="s">
        <v>35</v>
      </c>
    </row>
    <row r="21" spans="1:11" x14ac:dyDescent="0.25">
      <c r="B21" s="9">
        <v>81</v>
      </c>
      <c r="C21" s="9">
        <v>-84.03125</v>
      </c>
      <c r="D21" s="9">
        <v>4.2741066051299996E-9</v>
      </c>
      <c r="E21" s="9">
        <v>-2.93479942981</v>
      </c>
      <c r="H21" t="s">
        <v>7</v>
      </c>
      <c r="I21" t="s">
        <v>8</v>
      </c>
      <c r="J21" t="s">
        <v>9</v>
      </c>
      <c r="K21" t="s">
        <v>10</v>
      </c>
    </row>
    <row r="22" spans="1:11" x14ac:dyDescent="0.25">
      <c r="B22" s="9">
        <v>-4.3809413909899997E-6</v>
      </c>
      <c r="C22" s="9">
        <v>5.2295828936600001E-3</v>
      </c>
      <c r="D22" s="9">
        <v>7.0706009864799997E-6</v>
      </c>
      <c r="E22" s="9">
        <v>5153.5956897699998</v>
      </c>
      <c r="H22" t="s">
        <v>11</v>
      </c>
      <c r="I22" t="s">
        <v>12</v>
      </c>
      <c r="J22" t="s">
        <v>13</v>
      </c>
      <c r="K22" t="s">
        <v>14</v>
      </c>
    </row>
    <row r="23" spans="1:11" x14ac:dyDescent="0.25">
      <c r="B23" s="12">
        <v>79200</v>
      </c>
      <c r="C23" s="9">
        <v>1.1175870895399999E-8</v>
      </c>
      <c r="D23" s="9">
        <v>-1.3171339829099999</v>
      </c>
      <c r="E23" s="9">
        <v>-3.72529029846E-9</v>
      </c>
      <c r="H23" s="11" t="s">
        <v>15</v>
      </c>
      <c r="I23" t="s">
        <v>16</v>
      </c>
      <c r="J23" t="s">
        <v>17</v>
      </c>
      <c r="K23" t="s">
        <v>18</v>
      </c>
    </row>
    <row r="24" spans="1:11" x14ac:dyDescent="0.25">
      <c r="B24" s="9">
        <v>0.96342111504200001</v>
      </c>
      <c r="C24" s="9">
        <v>244.34375</v>
      </c>
      <c r="D24" s="9">
        <v>-1.70871652164</v>
      </c>
      <c r="E24" s="9">
        <v>-7.8349692150599998E-9</v>
      </c>
      <c r="H24" t="s">
        <v>19</v>
      </c>
      <c r="I24" t="s">
        <v>20</v>
      </c>
      <c r="J24" t="s">
        <v>21</v>
      </c>
      <c r="K24" t="s">
        <v>22</v>
      </c>
    </row>
    <row r="25" spans="1:11" x14ac:dyDescent="0.25">
      <c r="B25" s="9">
        <v>-1.22147945095E-10</v>
      </c>
      <c r="C25" s="9">
        <v>1</v>
      </c>
      <c r="D25" s="12">
        <v>1106</v>
      </c>
      <c r="E25" s="9">
        <v>0</v>
      </c>
      <c r="H25" t="s">
        <v>23</v>
      </c>
      <c r="I25" t="s">
        <v>24</v>
      </c>
      <c r="J25" s="13" t="s">
        <v>25</v>
      </c>
      <c r="K25" t="s">
        <v>26</v>
      </c>
    </row>
    <row r="26" spans="1:11" x14ac:dyDescent="0.25">
      <c r="B26" s="8">
        <v>4</v>
      </c>
      <c r="C26" s="8">
        <v>0</v>
      </c>
      <c r="D26" s="9">
        <v>-3.25962901115E-9</v>
      </c>
      <c r="E26" s="9">
        <v>337</v>
      </c>
      <c r="H26" t="s">
        <v>27</v>
      </c>
      <c r="I26" t="s">
        <v>28</v>
      </c>
      <c r="J26" t="s">
        <v>29</v>
      </c>
      <c r="K26" t="s">
        <v>30</v>
      </c>
    </row>
    <row r="27" spans="1:11" x14ac:dyDescent="0.25">
      <c r="B27" s="9">
        <v>72000</v>
      </c>
      <c r="C27" s="9">
        <v>0</v>
      </c>
      <c r="D27" s="9">
        <v>0</v>
      </c>
      <c r="E27" s="9">
        <v>0</v>
      </c>
      <c r="H27" t="s">
        <v>31</v>
      </c>
      <c r="I27" t="s">
        <v>32</v>
      </c>
    </row>
    <row r="28" spans="1:11" x14ac:dyDescent="0.25">
      <c r="B28" s="9"/>
      <c r="C28" s="9"/>
      <c r="D28" s="9"/>
      <c r="E28" s="9"/>
    </row>
    <row r="29" spans="1:11" x14ac:dyDescent="0.25">
      <c r="B29" t="s">
        <v>56</v>
      </c>
      <c r="C29" s="15">
        <f>D25*7+(B23+A$15)/86400+B$2</f>
        <v>36968.916817129633</v>
      </c>
      <c r="D29" s="9"/>
      <c r="E29" s="9"/>
    </row>
    <row r="30" spans="1:11" x14ac:dyDescent="0.25">
      <c r="B30" s="9"/>
      <c r="C30" s="9"/>
      <c r="D30" s="9"/>
      <c r="E30" s="9"/>
    </row>
    <row r="32" spans="1:11" x14ac:dyDescent="0.25">
      <c r="A32" s="6" t="s">
        <v>2</v>
      </c>
    </row>
    <row r="33" spans="1:11" x14ac:dyDescent="0.25">
      <c r="A33" s="1" t="s">
        <v>46</v>
      </c>
      <c r="E33" t="s">
        <v>45</v>
      </c>
    </row>
    <row r="34" spans="1:11" x14ac:dyDescent="0.25">
      <c r="A34" s="1" t="s">
        <v>47</v>
      </c>
      <c r="E34" t="s">
        <v>43</v>
      </c>
    </row>
    <row r="35" spans="1:11" x14ac:dyDescent="0.25">
      <c r="E35" s="1" t="s">
        <v>1</v>
      </c>
    </row>
    <row r="36" spans="1:11" x14ac:dyDescent="0.25">
      <c r="A36">
        <v>1</v>
      </c>
      <c r="B36">
        <v>1</v>
      </c>
      <c r="C36">
        <v>3</v>
      </c>
      <c r="D36">
        <v>19</v>
      </c>
      <c r="E36">
        <v>2</v>
      </c>
      <c r="F36">
        <v>0</v>
      </c>
      <c r="G36">
        <v>0</v>
      </c>
    </row>
    <row r="37" spans="1:11" x14ac:dyDescent="0.25">
      <c r="A37" t="s">
        <v>50</v>
      </c>
      <c r="B37">
        <f>A36</f>
        <v>1</v>
      </c>
    </row>
    <row r="38" spans="1:11" x14ac:dyDescent="0.25">
      <c r="A38" t="s">
        <v>51</v>
      </c>
      <c r="B38" s="15">
        <f>DATE(2000+B36,C36,D36)+TIME(E36,F36,G36)</f>
        <v>36969.083333333336</v>
      </c>
      <c r="D38" s="32"/>
    </row>
    <row r="39" spans="1:11" x14ac:dyDescent="0.25">
      <c r="C39" s="9">
        <v>1.6910256817899999E-4</v>
      </c>
      <c r="D39" s="9">
        <v>1.5916157281000001E-12</v>
      </c>
      <c r="E39" s="9">
        <v>0</v>
      </c>
      <c r="I39" t="s">
        <v>33</v>
      </c>
      <c r="J39" t="s">
        <v>34</v>
      </c>
      <c r="K39" t="s">
        <v>35</v>
      </c>
    </row>
    <row r="40" spans="1:11" x14ac:dyDescent="0.25">
      <c r="B40" s="9">
        <v>107</v>
      </c>
      <c r="C40" s="9">
        <v>-91</v>
      </c>
      <c r="D40" s="9">
        <v>4.4869726146999998E-9</v>
      </c>
      <c r="E40" s="9">
        <v>-0.83438569421099995</v>
      </c>
      <c r="H40" t="s">
        <v>7</v>
      </c>
      <c r="I40" t="s">
        <v>8</v>
      </c>
      <c r="J40" s="24" t="s">
        <v>9</v>
      </c>
      <c r="K40" s="24" t="s">
        <v>10</v>
      </c>
    </row>
    <row r="41" spans="1:11" x14ac:dyDescent="0.25">
      <c r="B41" s="9">
        <v>-4.7609210014300004E-6</v>
      </c>
      <c r="C41" s="9">
        <v>5.2283601835399996E-3</v>
      </c>
      <c r="D41" s="9">
        <v>7.6163560152000004E-6</v>
      </c>
      <c r="E41" s="9">
        <v>5153.59644699</v>
      </c>
      <c r="H41" t="s">
        <v>11</v>
      </c>
      <c r="I41" s="24" t="s">
        <v>12</v>
      </c>
      <c r="J41" t="s">
        <v>13</v>
      </c>
      <c r="K41" s="24" t="s">
        <v>14</v>
      </c>
    </row>
    <row r="42" spans="1:11" x14ac:dyDescent="0.25">
      <c r="B42" s="12">
        <v>93600</v>
      </c>
      <c r="C42" s="9">
        <v>-1.17346644402E-7</v>
      </c>
      <c r="D42" s="9">
        <v>-1.31724804078</v>
      </c>
      <c r="E42" s="9">
        <v>2.2351741790799999E-8</v>
      </c>
      <c r="H42" s="11" t="s">
        <v>15</v>
      </c>
      <c r="I42" t="s">
        <v>16</v>
      </c>
      <c r="J42" s="24" t="s">
        <v>17</v>
      </c>
      <c r="K42" t="s">
        <v>18</v>
      </c>
    </row>
    <row r="43" spans="1:11" x14ac:dyDescent="0.25">
      <c r="B43" s="9">
        <v>0.96341736265699995</v>
      </c>
      <c r="C43" s="9">
        <v>230.28125</v>
      </c>
      <c r="D43" s="9">
        <v>-1.7086775085399999</v>
      </c>
      <c r="E43" s="9">
        <v>-8.1442678128699999E-9</v>
      </c>
      <c r="H43" t="s">
        <v>19</v>
      </c>
      <c r="I43" t="s">
        <v>20</v>
      </c>
      <c r="J43" s="24" t="s">
        <v>21</v>
      </c>
      <c r="K43" s="24" t="s">
        <v>22</v>
      </c>
    </row>
    <row r="44" spans="1:11" x14ac:dyDescent="0.25">
      <c r="B44" s="9">
        <v>-1.8179328670599999E-10</v>
      </c>
      <c r="C44" s="9">
        <v>1</v>
      </c>
      <c r="D44" s="12">
        <v>1106</v>
      </c>
      <c r="E44" s="9">
        <v>0</v>
      </c>
      <c r="H44" t="s">
        <v>23</v>
      </c>
      <c r="I44" t="s">
        <v>24</v>
      </c>
      <c r="J44" s="11" t="s">
        <v>25</v>
      </c>
      <c r="K44" t="s">
        <v>26</v>
      </c>
    </row>
    <row r="45" spans="1:11" x14ac:dyDescent="0.25">
      <c r="B45" s="8">
        <v>3.4</v>
      </c>
      <c r="C45" s="8">
        <v>0</v>
      </c>
      <c r="D45" s="9">
        <v>-3.25962901115E-9</v>
      </c>
      <c r="E45" s="9">
        <v>107</v>
      </c>
      <c r="H45" t="s">
        <v>27</v>
      </c>
      <c r="I45" t="s">
        <v>28</v>
      </c>
      <c r="J45" t="s">
        <v>29</v>
      </c>
      <c r="K45" t="s">
        <v>30</v>
      </c>
    </row>
    <row r="46" spans="1:11" x14ac:dyDescent="0.25">
      <c r="B46" s="9">
        <v>86406</v>
      </c>
      <c r="C46" s="9">
        <v>4</v>
      </c>
      <c r="H46" t="s">
        <v>31</v>
      </c>
      <c r="I46" t="s">
        <v>32</v>
      </c>
    </row>
    <row r="48" spans="1:11" x14ac:dyDescent="0.25">
      <c r="B48" t="s">
        <v>56</v>
      </c>
      <c r="C48" s="15">
        <f>D44*7+(B42+A$15)/86400+B$2</f>
        <v>36969.083483796298</v>
      </c>
    </row>
  </sheetData>
  <pageMargins left="0.7" right="0.7" top="0.75" bottom="0.75" header="0.3" footer="0.3"/>
  <ignoredErrors>
    <ignoredError xmlns:x16r3="http://schemas.microsoft.com/office/spreadsheetml/2018/08/main" sqref="C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657D-6C11-4F27-995A-E6FFD81ACD47}">
  <dimension ref="A2:F35"/>
  <sheetViews>
    <sheetView workbookViewId="0">
      <selection activeCell="J6" sqref="J6"/>
    </sheetView>
  </sheetViews>
  <sheetFormatPr defaultRowHeight="15" x14ac:dyDescent="0.25"/>
  <cols>
    <col min="1" max="1" width="6.28515625" customWidth="1"/>
    <col min="2" max="2" width="5" bestFit="1" customWidth="1"/>
    <col min="3" max="5" width="12.7109375" bestFit="1" customWidth="1"/>
    <col min="6" max="6" width="11.7109375" bestFit="1" customWidth="1"/>
  </cols>
  <sheetData>
    <row r="2" spans="1:6" x14ac:dyDescent="0.25">
      <c r="A2" s="1" t="s">
        <v>3</v>
      </c>
    </row>
    <row r="3" spans="1:6" x14ac:dyDescent="0.25">
      <c r="A3" s="1" t="s">
        <v>4</v>
      </c>
    </row>
    <row r="4" spans="1:6" x14ac:dyDescent="0.25">
      <c r="A4" s="1" t="s">
        <v>6</v>
      </c>
    </row>
    <row r="5" spans="1:6" x14ac:dyDescent="0.25">
      <c r="A5">
        <v>2001</v>
      </c>
      <c r="B5">
        <v>3</v>
      </c>
      <c r="C5">
        <v>19</v>
      </c>
      <c r="D5">
        <v>0</v>
      </c>
      <c r="E5">
        <v>15</v>
      </c>
      <c r="F5">
        <v>0</v>
      </c>
    </row>
    <row r="6" spans="1:6" x14ac:dyDescent="0.25">
      <c r="A6" t="s">
        <v>51</v>
      </c>
      <c r="B6" s="43">
        <f>DATE(A5,B5,C5)+TIME(D5,E5,F5)</f>
        <v>36969.010416666664</v>
      </c>
      <c r="C6" s="43"/>
    </row>
    <row r="7" spans="1:6" x14ac:dyDescent="0.25">
      <c r="A7" t="s">
        <v>5</v>
      </c>
      <c r="B7">
        <v>1</v>
      </c>
      <c r="C7">
        <v>581.88642300000004</v>
      </c>
      <c r="D7">
        <v>25616.666528000002</v>
      </c>
      <c r="E7">
        <v>7088.5454710000004</v>
      </c>
      <c r="F7">
        <v>169.09280000000001</v>
      </c>
    </row>
    <row r="8" spans="1:6" x14ac:dyDescent="0.25">
      <c r="A8" t="s">
        <v>5</v>
      </c>
      <c r="B8">
        <v>2</v>
      </c>
      <c r="C8">
        <v>23664.386493000002</v>
      </c>
      <c r="D8">
        <v>7957.4552629999998</v>
      </c>
      <c r="E8">
        <v>-9106.3172909999994</v>
      </c>
      <c r="F8">
        <v>-354.600934</v>
      </c>
    </row>
    <row r="9" spans="1:6" x14ac:dyDescent="0.25">
      <c r="A9" t="s">
        <v>5</v>
      </c>
      <c r="B9">
        <v>3</v>
      </c>
      <c r="C9">
        <v>-12864.730552999999</v>
      </c>
      <c r="D9">
        <v>17822.448627999998</v>
      </c>
      <c r="E9">
        <v>14811.533496</v>
      </c>
      <c r="F9">
        <v>12.947709</v>
      </c>
    </row>
    <row r="10" spans="1:6" x14ac:dyDescent="0.25">
      <c r="A10" t="s">
        <v>5</v>
      </c>
      <c r="B10">
        <v>4</v>
      </c>
      <c r="C10">
        <v>25472.181647000001</v>
      </c>
      <c r="D10">
        <v>-4708.3289969999996</v>
      </c>
      <c r="E10">
        <v>-6348.922055</v>
      </c>
      <c r="F10">
        <v>694.33488599999998</v>
      </c>
    </row>
    <row r="11" spans="1:6" x14ac:dyDescent="0.25">
      <c r="A11" t="s">
        <v>5</v>
      </c>
      <c r="B11">
        <v>5</v>
      </c>
      <c r="C11">
        <v>-7081.8638469999996</v>
      </c>
      <c r="D11">
        <v>-19794.512387999999</v>
      </c>
      <c r="E11">
        <v>-16339.851694000001</v>
      </c>
      <c r="F11">
        <v>291.54371900000001</v>
      </c>
    </row>
    <row r="12" spans="1:6" x14ac:dyDescent="0.25">
      <c r="A12" t="s">
        <v>5</v>
      </c>
      <c r="B12">
        <v>6</v>
      </c>
      <c r="C12">
        <v>-6560.7341569999999</v>
      </c>
      <c r="D12">
        <v>-21866.620859999999</v>
      </c>
      <c r="E12">
        <v>13552.237397999999</v>
      </c>
      <c r="F12">
        <v>-0.32144699999999998</v>
      </c>
    </row>
    <row r="13" spans="1:6" x14ac:dyDescent="0.25">
      <c r="A13" t="s">
        <v>5</v>
      </c>
      <c r="B13">
        <v>7</v>
      </c>
      <c r="C13">
        <v>15151.414928</v>
      </c>
      <c r="D13">
        <v>2611.1547839999998</v>
      </c>
      <c r="E13">
        <v>-21325.127064</v>
      </c>
      <c r="F13">
        <v>579.26961600000004</v>
      </c>
    </row>
    <row r="14" spans="1:6" x14ac:dyDescent="0.25">
      <c r="A14" t="s">
        <v>5</v>
      </c>
      <c r="B14">
        <v>8</v>
      </c>
      <c r="C14">
        <v>22018.953984</v>
      </c>
      <c r="D14">
        <v>2878.7182520000001</v>
      </c>
      <c r="E14">
        <v>14451.124018</v>
      </c>
      <c r="F14">
        <v>9.7091799999999999</v>
      </c>
    </row>
    <row r="15" spans="1:6" x14ac:dyDescent="0.25">
      <c r="A15" t="s">
        <v>5</v>
      </c>
      <c r="B15">
        <v>9</v>
      </c>
      <c r="C15">
        <v>5798.6486750000004</v>
      </c>
      <c r="D15">
        <v>-17476.819056</v>
      </c>
      <c r="E15">
        <v>-19230.467840000001</v>
      </c>
      <c r="F15">
        <v>-36.057340000000003</v>
      </c>
    </row>
    <row r="16" spans="1:6" x14ac:dyDescent="0.25">
      <c r="A16" t="s">
        <v>5</v>
      </c>
      <c r="B16">
        <v>10</v>
      </c>
      <c r="C16">
        <v>10103.948909999999</v>
      </c>
      <c r="D16">
        <v>-10925.429662</v>
      </c>
      <c r="E16">
        <v>22009.912003000001</v>
      </c>
      <c r="F16">
        <v>1.1489510000000001</v>
      </c>
    </row>
    <row r="17" spans="1:6" x14ac:dyDescent="0.25">
      <c r="A17" t="s">
        <v>5</v>
      </c>
      <c r="B17">
        <v>11</v>
      </c>
      <c r="C17">
        <v>-5327.1441759999998</v>
      </c>
      <c r="D17">
        <v>17963.066368</v>
      </c>
      <c r="E17">
        <v>-18827.761576000001</v>
      </c>
      <c r="F17">
        <v>1.500459</v>
      </c>
    </row>
    <row r="18" spans="1:6" x14ac:dyDescent="0.25">
      <c r="A18" t="s">
        <v>5</v>
      </c>
      <c r="B18">
        <v>13</v>
      </c>
      <c r="C18">
        <v>7525.432597</v>
      </c>
      <c r="D18">
        <v>20488.591200999999</v>
      </c>
      <c r="E18">
        <v>15216.097470999999</v>
      </c>
      <c r="F18">
        <v>-0.65521600000000002</v>
      </c>
    </row>
    <row r="19" spans="1:6" x14ac:dyDescent="0.25">
      <c r="A19" t="s">
        <v>5</v>
      </c>
      <c r="B19">
        <v>14</v>
      </c>
      <c r="C19">
        <v>-14748.036217999999</v>
      </c>
      <c r="D19">
        <v>-3730.5770109999999</v>
      </c>
      <c r="E19">
        <v>-21721.137914999999</v>
      </c>
      <c r="F19">
        <v>-95.547434999999993</v>
      </c>
    </row>
    <row r="20" spans="1:6" x14ac:dyDescent="0.25">
      <c r="A20" t="s">
        <v>5</v>
      </c>
      <c r="B20">
        <v>15</v>
      </c>
      <c r="C20">
        <v>-21953.197743000001</v>
      </c>
      <c r="D20">
        <v>-3154.383041</v>
      </c>
      <c r="E20">
        <v>14359.717714</v>
      </c>
      <c r="F20">
        <v>999999.99999899999</v>
      </c>
    </row>
    <row r="21" spans="1:6" x14ac:dyDescent="0.25">
      <c r="A21" t="s">
        <v>5</v>
      </c>
      <c r="B21">
        <v>17</v>
      </c>
      <c r="C21">
        <v>-15581.44752</v>
      </c>
      <c r="D21">
        <v>-9291.1739170000001</v>
      </c>
      <c r="E21">
        <v>19585.656047</v>
      </c>
      <c r="F21">
        <v>-303.38576599999999</v>
      </c>
    </row>
    <row r="22" spans="1:6" x14ac:dyDescent="0.25">
      <c r="A22" t="s">
        <v>5</v>
      </c>
      <c r="B22">
        <v>18</v>
      </c>
      <c r="C22">
        <v>-20311.604997999999</v>
      </c>
      <c r="D22">
        <v>-17146.180623</v>
      </c>
      <c r="E22">
        <v>-884.91313400000001</v>
      </c>
      <c r="F22">
        <v>-55.640174999999999</v>
      </c>
    </row>
    <row r="23" spans="1:6" x14ac:dyDescent="0.25">
      <c r="A23" t="s">
        <v>5</v>
      </c>
      <c r="B23">
        <v>19</v>
      </c>
      <c r="C23">
        <v>4635.6733819999999</v>
      </c>
      <c r="D23">
        <v>15413.897102000001</v>
      </c>
      <c r="E23">
        <v>21229.563589000001</v>
      </c>
      <c r="F23">
        <v>469.247208</v>
      </c>
    </row>
    <row r="24" spans="1:6" x14ac:dyDescent="0.25">
      <c r="A24" t="s">
        <v>5</v>
      </c>
      <c r="B24">
        <v>20</v>
      </c>
      <c r="C24">
        <v>8591.0052049999995</v>
      </c>
      <c r="D24">
        <v>20202.768001</v>
      </c>
      <c r="E24">
        <v>-14964.568207</v>
      </c>
      <c r="F24">
        <v>-60.634765999999999</v>
      </c>
    </row>
    <row r="25" spans="1:6" x14ac:dyDescent="0.25">
      <c r="A25" t="s">
        <v>5</v>
      </c>
      <c r="B25">
        <v>21</v>
      </c>
      <c r="C25">
        <v>-22567.911763</v>
      </c>
      <c r="D25">
        <v>-7985.0457980000001</v>
      </c>
      <c r="E25">
        <v>-11809.260842</v>
      </c>
      <c r="F25">
        <v>1.6913009999999999</v>
      </c>
    </row>
    <row r="26" spans="1:6" x14ac:dyDescent="0.25">
      <c r="A26" t="s">
        <v>5</v>
      </c>
      <c r="B26">
        <v>22</v>
      </c>
      <c r="C26">
        <v>-17306.429050999999</v>
      </c>
      <c r="D26">
        <v>5342.0209290000003</v>
      </c>
      <c r="E26">
        <v>19303.684914000001</v>
      </c>
      <c r="F26">
        <v>563.17671199999995</v>
      </c>
    </row>
    <row r="27" spans="1:6" x14ac:dyDescent="0.25">
      <c r="A27" t="s">
        <v>5</v>
      </c>
      <c r="B27">
        <v>23</v>
      </c>
      <c r="C27">
        <v>-18665.328893999998</v>
      </c>
      <c r="D27">
        <v>-18901.078395</v>
      </c>
      <c r="E27">
        <v>2785.4327239999998</v>
      </c>
      <c r="F27">
        <v>9.7335860000000007</v>
      </c>
    </row>
    <row r="28" spans="1:6" x14ac:dyDescent="0.25">
      <c r="A28" t="s">
        <v>5</v>
      </c>
      <c r="B28">
        <v>24</v>
      </c>
      <c r="C28">
        <v>22368.646126</v>
      </c>
      <c r="D28">
        <v>-12657.08606</v>
      </c>
      <c r="E28">
        <v>6934.9286169999996</v>
      </c>
      <c r="F28">
        <v>36.698467999999998</v>
      </c>
    </row>
    <row r="29" spans="1:6" x14ac:dyDescent="0.25">
      <c r="A29" t="s">
        <v>5</v>
      </c>
      <c r="B29">
        <v>25</v>
      </c>
      <c r="C29">
        <v>-24758.634553</v>
      </c>
      <c r="D29">
        <v>8304.9459900000002</v>
      </c>
      <c r="E29">
        <v>-4005.4843770000002</v>
      </c>
      <c r="F29">
        <v>12.222019</v>
      </c>
    </row>
    <row r="30" spans="1:6" x14ac:dyDescent="0.25">
      <c r="A30" t="s">
        <v>5</v>
      </c>
      <c r="B30">
        <v>26</v>
      </c>
      <c r="C30">
        <v>7912.4101469999996</v>
      </c>
      <c r="D30">
        <v>-24291.679669000001</v>
      </c>
      <c r="E30">
        <v>5920.5168169999997</v>
      </c>
      <c r="F30">
        <v>385.693219</v>
      </c>
    </row>
    <row r="31" spans="1:6" x14ac:dyDescent="0.25">
      <c r="A31" t="s">
        <v>5</v>
      </c>
      <c r="B31">
        <v>27</v>
      </c>
      <c r="C31">
        <v>15057.427636</v>
      </c>
      <c r="D31">
        <v>9402.9473290000005</v>
      </c>
      <c r="E31">
        <v>20171.66734</v>
      </c>
      <c r="F31">
        <v>14.763242</v>
      </c>
    </row>
    <row r="32" spans="1:6" x14ac:dyDescent="0.25">
      <c r="A32" t="s">
        <v>5</v>
      </c>
      <c r="B32">
        <v>28</v>
      </c>
      <c r="C32">
        <v>-5895.0397510000003</v>
      </c>
      <c r="D32">
        <v>14576.928529000001</v>
      </c>
      <c r="E32">
        <v>21538.07404</v>
      </c>
      <c r="F32">
        <v>14.267922</v>
      </c>
    </row>
    <row r="33" spans="1:6" x14ac:dyDescent="0.25">
      <c r="A33" t="s">
        <v>5</v>
      </c>
      <c r="B33">
        <v>29</v>
      </c>
      <c r="C33">
        <v>-15209.730629</v>
      </c>
      <c r="D33">
        <v>1266.148299</v>
      </c>
      <c r="E33">
        <v>-21472.529725</v>
      </c>
      <c r="F33">
        <v>480.592265</v>
      </c>
    </row>
    <row r="34" spans="1:6" x14ac:dyDescent="0.25">
      <c r="A34" t="s">
        <v>5</v>
      </c>
      <c r="B34">
        <v>30</v>
      </c>
      <c r="C34">
        <v>-16098.076617000001</v>
      </c>
      <c r="D34">
        <v>-19634.766381000001</v>
      </c>
      <c r="E34">
        <v>-8071.8640660000001</v>
      </c>
      <c r="F34">
        <v>-12.143075</v>
      </c>
    </row>
    <row r="35" spans="1:6" x14ac:dyDescent="0.25">
      <c r="A35" t="s">
        <v>5</v>
      </c>
      <c r="B35">
        <v>31</v>
      </c>
      <c r="C35">
        <v>-5374.4467780000004</v>
      </c>
      <c r="D35">
        <v>25613.885374000001</v>
      </c>
      <c r="E35">
        <v>3084.4858800000002</v>
      </c>
      <c r="F35">
        <v>35.395657999999997</v>
      </c>
    </row>
  </sheetData>
  <mergeCells count="1"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02F2-1DD0-42F5-AAF6-FD2395C5A396}">
  <dimension ref="A1:R59"/>
  <sheetViews>
    <sheetView tabSelected="1" topLeftCell="A41" workbookViewId="0">
      <selection activeCell="E54" sqref="E54"/>
    </sheetView>
  </sheetViews>
  <sheetFormatPr defaultRowHeight="15" x14ac:dyDescent="0.25"/>
  <cols>
    <col min="1" max="1" width="12" bestFit="1" customWidth="1"/>
    <col min="2" max="2" width="19.5703125" customWidth="1"/>
    <col min="3" max="3" width="5.42578125" customWidth="1"/>
    <col min="4" max="4" width="15.85546875" bestFit="1" customWidth="1"/>
    <col min="5" max="5" width="21.42578125" customWidth="1"/>
    <col min="7" max="7" width="15" customWidth="1"/>
    <col min="8" max="8" width="14.85546875" customWidth="1"/>
    <col min="9" max="9" width="12.7109375" bestFit="1" customWidth="1"/>
    <col min="10" max="12" width="13.140625" customWidth="1"/>
    <col min="13" max="13" width="15" customWidth="1"/>
    <col min="14" max="14" width="13.28515625" customWidth="1"/>
    <col min="15" max="15" width="14" customWidth="1"/>
  </cols>
  <sheetData>
    <row r="1" spans="1:10" x14ac:dyDescent="0.25">
      <c r="A1" t="s">
        <v>121</v>
      </c>
      <c r="B1" s="8">
        <f>transmitidas!D25</f>
        <v>1106</v>
      </c>
    </row>
    <row r="2" spans="1:10" x14ac:dyDescent="0.25">
      <c r="A2" t="s">
        <v>52</v>
      </c>
      <c r="B2" s="7">
        <f>DATE(1980,1,6)</f>
        <v>29226</v>
      </c>
    </row>
    <row r="3" spans="1:10" x14ac:dyDescent="0.25">
      <c r="A3" s="4" t="s">
        <v>58</v>
      </c>
      <c r="B3" s="30">
        <v>398600441800000</v>
      </c>
      <c r="C3" s="9"/>
      <c r="D3">
        <v>398600441800000</v>
      </c>
    </row>
    <row r="4" spans="1:10" x14ac:dyDescent="0.25">
      <c r="A4" s="4" t="s">
        <v>57</v>
      </c>
      <c r="B4" s="39">
        <v>7.2921151466999996E-5</v>
      </c>
      <c r="C4" s="9"/>
    </row>
    <row r="5" spans="1:10" x14ac:dyDescent="0.25">
      <c r="A5" s="4"/>
      <c r="C5" s="9"/>
    </row>
    <row r="6" spans="1:10" ht="18" x14ac:dyDescent="0.35">
      <c r="D6" s="3" t="s">
        <v>66</v>
      </c>
      <c r="E6" s="3" t="s">
        <v>65</v>
      </c>
      <c r="F6" s="3" t="s">
        <v>115</v>
      </c>
      <c r="G6" s="3" t="s">
        <v>116</v>
      </c>
      <c r="I6" s="3" t="s">
        <v>117</v>
      </c>
    </row>
    <row r="7" spans="1:10" x14ac:dyDescent="0.25">
      <c r="A7" t="s">
        <v>60</v>
      </c>
      <c r="B7" s="7">
        <v>36969.010416666664</v>
      </c>
      <c r="C7" s="7"/>
      <c r="D7" s="8">
        <f>B7</f>
        <v>36969.010416666664</v>
      </c>
      <c r="E7" s="27">
        <f>86400*B7</f>
        <v>3194122500</v>
      </c>
      <c r="F7" s="27"/>
      <c r="I7" s="27">
        <f>86400*(B7-B2-7*B1)</f>
        <v>87299.999999790452</v>
      </c>
    </row>
    <row r="8" spans="1:10" ht="18" x14ac:dyDescent="0.35">
      <c r="A8" s="4" t="s">
        <v>126</v>
      </c>
      <c r="B8" s="27">
        <f>transmitidas!B23</f>
        <v>79200</v>
      </c>
      <c r="D8" s="42"/>
    </row>
    <row r="9" spans="1:10" ht="21.75" x14ac:dyDescent="0.4">
      <c r="A9" s="22" t="s">
        <v>61</v>
      </c>
      <c r="B9" s="7">
        <f>transmitidas!B19</f>
        <v>36968.916666666664</v>
      </c>
      <c r="C9" s="7"/>
      <c r="D9" s="8">
        <f>B9</f>
        <v>36968.916666666664</v>
      </c>
      <c r="E9" s="27">
        <f>86400*B9</f>
        <v>3194114400</v>
      </c>
      <c r="F9" s="27">
        <f>$E$7-E9</f>
        <v>8100</v>
      </c>
      <c r="G9" s="28">
        <f>F9*$B$4</f>
        <v>0.59066132688270001</v>
      </c>
      <c r="J9" s="28"/>
    </row>
    <row r="10" spans="1:10" ht="21.75" x14ac:dyDescent="0.4">
      <c r="A10" s="22" t="s">
        <v>100</v>
      </c>
      <c r="B10" s="7">
        <f>transmitidas!B38</f>
        <v>36969.083333333336</v>
      </c>
      <c r="C10" s="7"/>
      <c r="D10" s="8">
        <f>B10</f>
        <v>36969.083333333336</v>
      </c>
      <c r="E10" s="27">
        <f>86400*B10</f>
        <v>3194128800</v>
      </c>
      <c r="F10" s="27">
        <f>$E$7-E10</f>
        <v>-6300</v>
      </c>
      <c r="G10" s="28">
        <f>F10*$B$4</f>
        <v>-0.45940325424209999</v>
      </c>
    </row>
    <row r="11" spans="1:10" ht="18.75" x14ac:dyDescent="0.3">
      <c r="A11" s="22"/>
      <c r="B11" s="7"/>
      <c r="C11" s="7"/>
      <c r="D11" s="8"/>
      <c r="E11" s="27"/>
      <c r="F11" s="27"/>
    </row>
    <row r="12" spans="1:10" ht="18.75" x14ac:dyDescent="0.3">
      <c r="A12" s="22"/>
      <c r="B12" s="7"/>
      <c r="C12" s="7"/>
      <c r="D12" s="8"/>
      <c r="E12" s="27"/>
      <c r="F12" s="27"/>
    </row>
    <row r="13" spans="1:10" ht="19.5" x14ac:dyDescent="0.35">
      <c r="A13" s="22" t="s">
        <v>62</v>
      </c>
      <c r="B13" s="19">
        <f>transmitidas!E21</f>
        <v>-2.93479942981</v>
      </c>
      <c r="C13" s="29"/>
      <c r="D13" s="22" t="s">
        <v>92</v>
      </c>
      <c r="E13" s="23">
        <f>transmitidas!E40</f>
        <v>-0.83438569421099995</v>
      </c>
    </row>
    <row r="14" spans="1:10" ht="18" x14ac:dyDescent="0.35">
      <c r="A14" t="s">
        <v>96</v>
      </c>
      <c r="B14" s="25">
        <f>transmitidas!C22</f>
        <v>5.2295828936600001E-3</v>
      </c>
      <c r="C14" s="29"/>
      <c r="D14" t="s">
        <v>97</v>
      </c>
      <c r="E14" s="31">
        <f>transmitidas!C41</f>
        <v>5.2283601835399996E-3</v>
      </c>
    </row>
    <row r="15" spans="1:10" x14ac:dyDescent="0.25">
      <c r="A15" t="s">
        <v>14</v>
      </c>
      <c r="B15" s="17">
        <f>transmitidas!E22</f>
        <v>5153.5956897699998</v>
      </c>
      <c r="C15" s="17"/>
      <c r="D15" t="s">
        <v>14</v>
      </c>
      <c r="E15" s="19">
        <f>transmitidas!E41</f>
        <v>5153.59644699</v>
      </c>
    </row>
    <row r="16" spans="1:10" x14ac:dyDescent="0.25">
      <c r="A16" s="4" t="s">
        <v>63</v>
      </c>
      <c r="B16" s="17">
        <f>B15*B15</f>
        <v>26559548.533615921</v>
      </c>
      <c r="C16" s="17"/>
      <c r="D16" s="4" t="s">
        <v>63</v>
      </c>
      <c r="E16" s="29">
        <f>E15*E15</f>
        <v>26559556.338427953</v>
      </c>
    </row>
    <row r="17" spans="1:18" x14ac:dyDescent="0.25">
      <c r="A17" s="2" t="s">
        <v>9</v>
      </c>
      <c r="B17" s="25">
        <f>transmitidas!D21</f>
        <v>4.2741066051299996E-9</v>
      </c>
      <c r="C17" s="25"/>
      <c r="D17" s="2" t="s">
        <v>9</v>
      </c>
      <c r="E17" s="25">
        <f>transmitidas!D40</f>
        <v>4.4869726146999998E-9</v>
      </c>
    </row>
    <row r="18" spans="1:18" ht="18" x14ac:dyDescent="0.35">
      <c r="A18" s="4" t="s">
        <v>64</v>
      </c>
      <c r="B18" s="40">
        <f>B13+(SQRT($B$3/B16/B16/B16)+B17)*($E$7-$E$9)</f>
        <v>-1.7532943320404997</v>
      </c>
      <c r="C18" s="23"/>
      <c r="D18" s="4" t="s">
        <v>93</v>
      </c>
      <c r="E18" s="34">
        <f>E13+(SQRT($B$3/E16/E16/E16)+E17)*(E7-E10)</f>
        <v>-1.7533350395906879</v>
      </c>
    </row>
    <row r="19" spans="1:18" x14ac:dyDescent="0.25">
      <c r="A19" t="s">
        <v>17</v>
      </c>
      <c r="B19" s="23">
        <f>transmitidas!D23</f>
        <v>-1.3171339829099999</v>
      </c>
      <c r="C19" s="23"/>
      <c r="D19" t="s">
        <v>17</v>
      </c>
      <c r="E19" s="23">
        <f>transmitidas!D42</f>
        <v>-1.31724804078</v>
      </c>
    </row>
    <row r="20" spans="1:18" x14ac:dyDescent="0.25">
      <c r="A20" t="s">
        <v>22</v>
      </c>
      <c r="B20" s="25">
        <f>transmitidas!E24</f>
        <v>-7.8349692150599998E-9</v>
      </c>
      <c r="C20" s="25"/>
      <c r="D20" t="s">
        <v>22</v>
      </c>
      <c r="E20" s="25">
        <f>transmitidas!E43</f>
        <v>-8.1442678128699999E-9</v>
      </c>
    </row>
    <row r="21" spans="1:18" ht="18" x14ac:dyDescent="0.35">
      <c r="A21" s="4" t="s">
        <v>67</v>
      </c>
      <c r="B21" s="23">
        <f>B19+B20*($E$7-$E$9)</f>
        <v>-1.3171974461606419</v>
      </c>
      <c r="C21" s="23"/>
      <c r="D21" s="4" t="s">
        <v>94</v>
      </c>
      <c r="E21" s="34">
        <f>E19+E20*($E$7-$E$10)</f>
        <v>-1.3171967318927789</v>
      </c>
    </row>
    <row r="22" spans="1:18" ht="18" x14ac:dyDescent="0.35">
      <c r="A22" s="4" t="s">
        <v>77</v>
      </c>
      <c r="B22" s="35">
        <f>Iterate!B24</f>
        <v>-1.7584321252469055</v>
      </c>
      <c r="C22" s="23"/>
      <c r="D22" s="4" t="s">
        <v>95</v>
      </c>
      <c r="E22" s="34">
        <f>Iterate!C24</f>
        <v>-1.7584715930517871</v>
      </c>
      <c r="J22" s="3">
        <f>COS(-B21)</f>
        <v>0.25088934969896004</v>
      </c>
      <c r="K22" s="3">
        <f>SIN(-B21)</f>
        <v>0.96801577167297892</v>
      </c>
      <c r="L22" s="3">
        <v>0</v>
      </c>
      <c r="P22" s="3">
        <f>COS(-E21)</f>
        <v>0.25089004112145269</v>
      </c>
      <c r="Q22" s="3">
        <f>SIN(-E21)</f>
        <v>0.96801559247053237</v>
      </c>
      <c r="R22" s="3">
        <v>0</v>
      </c>
    </row>
    <row r="23" spans="1:18" ht="18" x14ac:dyDescent="0.35">
      <c r="A23" s="4" t="s">
        <v>78</v>
      </c>
      <c r="B23" s="26">
        <f>B16*(1-B14*COS(B22))</f>
        <v>26585457.617702439</v>
      </c>
      <c r="C23" s="26"/>
      <c r="D23" s="4" t="s">
        <v>98</v>
      </c>
      <c r="E23" s="41">
        <f>E16*(1-E14*COS(E22))</f>
        <v>26585464.756814755</v>
      </c>
      <c r="I23" t="s">
        <v>118</v>
      </c>
      <c r="J23" s="3">
        <f>-SIN(-B21)</f>
        <v>-0.96801577167297892</v>
      </c>
      <c r="K23" s="3">
        <f>COS(-B21)</f>
        <v>0.25088934969896004</v>
      </c>
      <c r="L23" s="3">
        <v>0</v>
      </c>
      <c r="O23" t="s">
        <v>120</v>
      </c>
      <c r="P23" s="3">
        <f>-SIN(-E21)</f>
        <v>-0.96801559247053237</v>
      </c>
      <c r="Q23" s="3">
        <f>COS(-E21)</f>
        <v>0.25089004112145269</v>
      </c>
      <c r="R23" s="3">
        <v>0</v>
      </c>
    </row>
    <row r="24" spans="1:18" ht="18" x14ac:dyDescent="0.35">
      <c r="A24" s="4" t="s">
        <v>79</v>
      </c>
      <c r="B24" s="34">
        <f>2*ATAN(TAN(B22/2)*SQRT(1+B14)/SQRT(1-B14))</f>
        <v>-1.7635674375012638</v>
      </c>
      <c r="C24" s="23"/>
      <c r="D24" s="4" t="s">
        <v>99</v>
      </c>
      <c r="E24" s="40">
        <f>2*ATAN(TAN(E22/2)*SQRT(1+E14)/SQRT(1-E14))</f>
        <v>-1.763605666213576</v>
      </c>
      <c r="J24" s="3">
        <v>0</v>
      </c>
      <c r="K24" s="3">
        <v>0</v>
      </c>
      <c r="L24" s="3">
        <v>1</v>
      </c>
      <c r="P24" s="3">
        <v>0</v>
      </c>
      <c r="Q24" s="3">
        <v>0</v>
      </c>
      <c r="R24" s="3">
        <v>1</v>
      </c>
    </row>
    <row r="25" spans="1:18" x14ac:dyDescent="0.25">
      <c r="A25" t="s">
        <v>21</v>
      </c>
      <c r="B25" s="23">
        <f>transmitidas!D24</f>
        <v>-1.70871652164</v>
      </c>
      <c r="C25" s="23"/>
      <c r="D25" t="s">
        <v>21</v>
      </c>
      <c r="E25" s="23">
        <f>transmitidas!D43</f>
        <v>-1.7086775085399999</v>
      </c>
    </row>
    <row r="26" spans="1:18" ht="18" x14ac:dyDescent="0.35">
      <c r="A26" s="4" t="s">
        <v>80</v>
      </c>
      <c r="B26" s="35">
        <f>B25+B24</f>
        <v>-3.4722839591412638</v>
      </c>
      <c r="C26" s="23"/>
      <c r="D26" s="4" t="s">
        <v>106</v>
      </c>
      <c r="E26" s="40">
        <f>E25+E24</f>
        <v>-3.4722831747535761</v>
      </c>
    </row>
    <row r="27" spans="1:18" x14ac:dyDescent="0.25">
      <c r="A27" t="s">
        <v>11</v>
      </c>
      <c r="B27" s="25">
        <f>transmitidas!B22</f>
        <v>-4.3809413909899997E-6</v>
      </c>
      <c r="C27" s="25"/>
      <c r="D27" t="s">
        <v>11</v>
      </c>
      <c r="E27" s="25">
        <f>transmitidas!B41</f>
        <v>-4.7609210014300004E-6</v>
      </c>
    </row>
    <row r="28" spans="1:18" x14ac:dyDescent="0.25">
      <c r="A28" t="s">
        <v>13</v>
      </c>
      <c r="B28" s="25">
        <f>transmitidas!D22</f>
        <v>7.0706009864799997E-6</v>
      </c>
      <c r="C28" s="25"/>
      <c r="D28" t="s">
        <v>13</v>
      </c>
      <c r="E28" s="25">
        <f>transmitidas!D41</f>
        <v>7.6163560152000004E-6</v>
      </c>
    </row>
    <row r="29" spans="1:18" ht="18" x14ac:dyDescent="0.35">
      <c r="A29" s="4" t="s">
        <v>81</v>
      </c>
      <c r="B29" s="23">
        <f>B25+B27*COS(2*B26)+B28*SIN(2*B26)</f>
        <v>-1.708724321655976</v>
      </c>
      <c r="C29" s="23"/>
      <c r="D29" s="4" t="s">
        <v>107</v>
      </c>
      <c r="E29" s="23">
        <f>E25+E27*COS(2*E26)+E28*SIN(2*E26)</f>
        <v>-1.7086859436170656</v>
      </c>
      <c r="J29" s="3">
        <f>COS(B39)</f>
        <v>0.99657145578415884</v>
      </c>
      <c r="K29" s="3">
        <f>SIN(B39)</f>
        <v>8.2736530723993562E-2</v>
      </c>
      <c r="L29" s="3">
        <v>0</v>
      </c>
      <c r="P29" s="3">
        <f>COS(E39)</f>
        <v>0.99657145578415884</v>
      </c>
      <c r="Q29" s="3">
        <f>SIN(E39)</f>
        <v>8.2736530723993562E-2</v>
      </c>
      <c r="R29" s="3">
        <v>0</v>
      </c>
    </row>
    <row r="30" spans="1:18" x14ac:dyDescent="0.25">
      <c r="A30" t="s">
        <v>20</v>
      </c>
      <c r="B30" s="18">
        <f>transmitidas!C24</f>
        <v>244.34375</v>
      </c>
      <c r="C30" s="18"/>
      <c r="D30" t="s">
        <v>20</v>
      </c>
      <c r="E30" s="18">
        <f>transmitidas!C43</f>
        <v>230.28125</v>
      </c>
      <c r="I30" t="s">
        <v>119</v>
      </c>
      <c r="J30" s="3">
        <f>-SIN(B39)</f>
        <v>-8.2736530723993562E-2</v>
      </c>
      <c r="K30" s="3">
        <f>COS(B39)</f>
        <v>0.99657145578415884</v>
      </c>
      <c r="L30" s="3">
        <v>0</v>
      </c>
      <c r="O30" t="s">
        <v>119</v>
      </c>
      <c r="P30" s="3">
        <f>-SIN(E39)</f>
        <v>-8.2736530723993562E-2</v>
      </c>
      <c r="Q30" s="3">
        <f>COS(E39)</f>
        <v>0.99657145578415884</v>
      </c>
      <c r="R30" s="3">
        <v>0</v>
      </c>
    </row>
    <row r="31" spans="1:18" x14ac:dyDescent="0.25">
      <c r="A31" t="s">
        <v>8</v>
      </c>
      <c r="B31" s="14">
        <f>transmitidas!C21</f>
        <v>-84.03125</v>
      </c>
      <c r="C31" s="14"/>
      <c r="D31" t="s">
        <v>8</v>
      </c>
      <c r="E31" s="14">
        <f>transmitidas!C40</f>
        <v>-91</v>
      </c>
      <c r="J31" s="3">
        <v>0</v>
      </c>
      <c r="K31" s="3">
        <v>0</v>
      </c>
      <c r="L31" s="3">
        <v>1</v>
      </c>
      <c r="P31" s="3">
        <v>0</v>
      </c>
      <c r="Q31" s="3">
        <v>0</v>
      </c>
      <c r="R31" s="3">
        <v>1</v>
      </c>
    </row>
    <row r="32" spans="1:18" ht="18" x14ac:dyDescent="0.35">
      <c r="A32" s="4" t="s">
        <v>82</v>
      </c>
      <c r="B32" s="46">
        <f>B23+B30*COS(2*B26)+B31*SIN(2*B26)</f>
        <v>26585702.052761093</v>
      </c>
      <c r="C32" s="26"/>
      <c r="D32" s="4" t="s">
        <v>108</v>
      </c>
      <c r="E32" s="26">
        <f>E23+E30*COS(2*E26)+E31*SIN(2*E26)</f>
        <v>26585702.374913916</v>
      </c>
    </row>
    <row r="33" spans="1:18" x14ac:dyDescent="0.25">
      <c r="A33" t="s">
        <v>19</v>
      </c>
      <c r="B33" s="23">
        <f>transmitidas!B24</f>
        <v>0.96342111504200001</v>
      </c>
      <c r="C33" s="23"/>
      <c r="D33" t="s">
        <v>19</v>
      </c>
      <c r="E33" s="23">
        <f>transmitidas!B43</f>
        <v>0.96341736265699995</v>
      </c>
    </row>
    <row r="34" spans="1:18" x14ac:dyDescent="0.25">
      <c r="A34" t="s">
        <v>16</v>
      </c>
      <c r="B34" s="25">
        <f>transmitidas!C23</f>
        <v>1.1175870895399999E-8</v>
      </c>
      <c r="C34" s="25"/>
      <c r="D34" t="s">
        <v>16</v>
      </c>
      <c r="E34" s="25">
        <f>transmitidas!C42</f>
        <v>-1.17346644402E-7</v>
      </c>
    </row>
    <row r="35" spans="1:18" x14ac:dyDescent="0.25">
      <c r="A35" t="s">
        <v>18</v>
      </c>
      <c r="B35" s="25">
        <f>transmitidas!E23</f>
        <v>-3.72529029846E-9</v>
      </c>
      <c r="C35" s="25"/>
      <c r="D35" t="s">
        <v>18</v>
      </c>
      <c r="E35" s="25">
        <f>transmitidas!E42</f>
        <v>2.2351741790799999E-8</v>
      </c>
    </row>
    <row r="36" spans="1:18" x14ac:dyDescent="0.25">
      <c r="A36" t="s">
        <v>23</v>
      </c>
      <c r="B36" s="25">
        <f>transmitidas!B25</f>
        <v>-1.22147945095E-10</v>
      </c>
      <c r="C36" s="25"/>
      <c r="D36" t="s">
        <v>23</v>
      </c>
      <c r="E36" s="25">
        <f>transmitidas!B44</f>
        <v>-1.8179328670599999E-10</v>
      </c>
      <c r="J36" s="3">
        <v>1</v>
      </c>
      <c r="K36" s="3">
        <v>0</v>
      </c>
      <c r="L36" s="3">
        <v>0</v>
      </c>
      <c r="P36" s="3">
        <v>1</v>
      </c>
      <c r="Q36" s="3">
        <v>0</v>
      </c>
      <c r="R36" s="3">
        <v>0</v>
      </c>
    </row>
    <row r="37" spans="1:18" ht="18" x14ac:dyDescent="0.35">
      <c r="A37" s="4" t="s">
        <v>83</v>
      </c>
      <c r="B37" s="38">
        <f>B33+B34*COS(2*B26)+B35*SIN(2*B26)+B36*($E$7-$E$9)</f>
        <v>0.96342013675111871</v>
      </c>
      <c r="C37" s="28"/>
      <c r="D37" s="4" t="s">
        <v>109</v>
      </c>
      <c r="E37" s="28">
        <f>E33+E34*COS(2*E26)+E35*SIN(2*E26)+E36*($E$7-$E$10)</f>
        <v>0.96341840162261672</v>
      </c>
      <c r="I37" t="s">
        <v>85</v>
      </c>
      <c r="J37" s="3">
        <v>0</v>
      </c>
      <c r="K37" s="3">
        <f>COS(-B37)</f>
        <v>0.57071489002111631</v>
      </c>
      <c r="L37" s="3">
        <f>SIN(-B37)</f>
        <v>-0.82114829008418755</v>
      </c>
      <c r="O37" t="s">
        <v>85</v>
      </c>
      <c r="P37" s="3">
        <v>0</v>
      </c>
      <c r="Q37" s="3">
        <f>COS(-E37)</f>
        <v>0.57071631481805973</v>
      </c>
      <c r="R37" s="3">
        <f>SIN(-E37)</f>
        <v>-0.82114729981927925</v>
      </c>
    </row>
    <row r="38" spans="1:18" x14ac:dyDescent="0.25">
      <c r="J38" s="3">
        <v>0</v>
      </c>
      <c r="K38" s="3">
        <f>-SIN(-B37)</f>
        <v>0.82114829008418755</v>
      </c>
      <c r="L38" s="3">
        <f>COS(-B37)</f>
        <v>0.57071489002111631</v>
      </c>
      <c r="P38" s="3">
        <v>0</v>
      </c>
      <c r="Q38" s="3">
        <f>-SIN(-E37)</f>
        <v>0.82114729981927925</v>
      </c>
      <c r="R38" s="3">
        <f>COS(-E37)</f>
        <v>0.57071631481805973</v>
      </c>
    </row>
    <row r="39" spans="1:18" x14ac:dyDescent="0.25">
      <c r="A39" s="4" t="s">
        <v>84</v>
      </c>
      <c r="B39" s="37">
        <f>$B$4*$I$7</f>
        <v>6.366016523053819</v>
      </c>
      <c r="C39" s="28"/>
      <c r="D39" s="4" t="s">
        <v>84</v>
      </c>
      <c r="E39" s="28">
        <f>$B$4*$I$7</f>
        <v>6.366016523053819</v>
      </c>
    </row>
    <row r="40" spans="1:18" ht="18" x14ac:dyDescent="0.35">
      <c r="A40" s="4" t="s">
        <v>104</v>
      </c>
      <c r="B40" s="34">
        <f>B29+B24</f>
        <v>-3.4722917591572395</v>
      </c>
      <c r="D40" s="4" t="s">
        <v>105</v>
      </c>
      <c r="E40" s="23">
        <f>E29+E24</f>
        <v>-3.4722916098306413</v>
      </c>
    </row>
    <row r="42" spans="1:18" ht="18" x14ac:dyDescent="0.35">
      <c r="A42" s="3" t="s">
        <v>89</v>
      </c>
      <c r="B42" s="36">
        <f>B32*COS(B40)</f>
        <v>-25145170.995999191</v>
      </c>
      <c r="C42" s="28"/>
      <c r="D42" s="28"/>
      <c r="E42" s="28">
        <f>E32*COS(E40)</f>
        <v>-25145172.589756846</v>
      </c>
    </row>
    <row r="43" spans="1:18" ht="18" x14ac:dyDescent="0.35">
      <c r="A43" s="3" t="s">
        <v>90</v>
      </c>
      <c r="B43" s="36">
        <f>B32*SIN(B40)</f>
        <v>8632492.6423453391</v>
      </c>
      <c r="C43" s="28"/>
      <c r="E43" s="28">
        <f>E32*SIN(E40)</f>
        <v>8632488.9921067692</v>
      </c>
      <c r="J43" s="3">
        <f>J29*J22+K29*J23+L29*J24</f>
        <v>0.16993889783590177</v>
      </c>
      <c r="K43" s="3">
        <f>J29*K22+K29*K23+L29*K24</f>
        <v>0.98545460118785733</v>
      </c>
      <c r="L43" s="3">
        <f>J29*L22+K29*L23+L29*L24</f>
        <v>0</v>
      </c>
      <c r="P43" s="3">
        <f>P29*P22+Q29*P23+R29*P24</f>
        <v>0.16993960171441053</v>
      </c>
      <c r="Q43" s="3">
        <f>P29*Q22+Q29*Q23+R29*Q24</f>
        <v>0.98545447980571255</v>
      </c>
      <c r="R43" s="3">
        <f>P29*R22+Q29*R23+R29*R24</f>
        <v>0</v>
      </c>
    </row>
    <row r="44" spans="1:18" ht="18" x14ac:dyDescent="0.35">
      <c r="A44" s="3" t="s">
        <v>91</v>
      </c>
      <c r="B44">
        <v>0</v>
      </c>
      <c r="E44">
        <v>0</v>
      </c>
      <c r="I44" s="4" t="s">
        <v>122</v>
      </c>
      <c r="J44" s="3">
        <f>J30*J22+K30*J23+L30*J24</f>
        <v>-0.98545460118785733</v>
      </c>
      <c r="K44" s="3">
        <f>J30*K22+K30*K23+L30*K24</f>
        <v>0.16993889783590177</v>
      </c>
      <c r="L44" s="3">
        <f>J30*L22+K30*L23+L30*L24</f>
        <v>0</v>
      </c>
      <c r="O44" s="4" t="s">
        <v>124</v>
      </c>
      <c r="P44" s="3">
        <f>P30*P22+Q30*P23+R30*P24</f>
        <v>-0.98545447980571255</v>
      </c>
      <c r="Q44" s="3">
        <f>P30*Q22+Q30*Q23+R30*Q24</f>
        <v>0.16993960171441053</v>
      </c>
      <c r="R44" s="3">
        <f>P30*R22+Q30*R23+R30*R24</f>
        <v>0</v>
      </c>
    </row>
    <row r="45" spans="1:18" x14ac:dyDescent="0.25">
      <c r="J45" s="3">
        <f>J31*J22+K31*J23+L31*J24</f>
        <v>0</v>
      </c>
      <c r="K45" s="3">
        <f>J31*K22+K31*K23+L31*K24</f>
        <v>0</v>
      </c>
      <c r="L45" s="3">
        <f>J31*L22+K31*L23+L31*L24</f>
        <v>1</v>
      </c>
      <c r="P45" s="3">
        <f>P31*P22+Q31*P23+R31*P24</f>
        <v>0</v>
      </c>
      <c r="Q45" s="3">
        <f>P31*Q22+Q31*Q23+R31*Q24</f>
        <v>0</v>
      </c>
      <c r="R45" s="3">
        <f>P31*R22+Q31*R23+R31*R24</f>
        <v>1</v>
      </c>
    </row>
    <row r="47" spans="1:18" x14ac:dyDescent="0.25">
      <c r="B47" s="3" t="s">
        <v>101</v>
      </c>
      <c r="D47" s="3"/>
      <c r="E47" s="3" t="s">
        <v>102</v>
      </c>
      <c r="G47" s="3" t="s">
        <v>103</v>
      </c>
    </row>
    <row r="48" spans="1:18" ht="18" x14ac:dyDescent="0.35">
      <c r="A48" s="4" t="s">
        <v>86</v>
      </c>
      <c r="B48" s="28">
        <f>J50*B42+K50*B43+L50*B44</f>
        <v>581888.74276992586</v>
      </c>
      <c r="D48" s="33">
        <f>E48-B48</f>
        <v>-8.5003034053370357</v>
      </c>
      <c r="E48" s="28">
        <f>P50*E42+Q50*E43+R50*E44</f>
        <v>581880.24246652052</v>
      </c>
      <c r="G48" s="26">
        <f>precisas!C7*1000</f>
        <v>581886.42300000007</v>
      </c>
    </row>
    <row r="49" spans="1:18" ht="18" x14ac:dyDescent="0.35">
      <c r="A49" s="4" t="s">
        <v>87</v>
      </c>
      <c r="B49" s="28">
        <f>J51*B42+K51*B43+L51*B44</f>
        <v>25616661.079241697</v>
      </c>
      <c r="D49" s="33">
        <f t="shared" ref="D49:D50" si="0">E49-B49</f>
        <v>3.7223471961915493</v>
      </c>
      <c r="E49" s="28">
        <f>P51*E42+Q51*E43+R51*E44</f>
        <v>25616664.801588893</v>
      </c>
      <c r="G49" s="26">
        <f>precisas!D7*1000</f>
        <v>25616666.528000001</v>
      </c>
    </row>
    <row r="50" spans="1:18" ht="18" x14ac:dyDescent="0.35">
      <c r="A50" s="4" t="s">
        <v>88</v>
      </c>
      <c r="B50" s="28">
        <f>J52*B42+K52*B43+L52*B44</f>
        <v>7088556.5724262055</v>
      </c>
      <c r="D50" s="33">
        <f t="shared" si="0"/>
        <v>-11.545838080346584</v>
      </c>
      <c r="E50" s="28">
        <f>P52*E42+Q52*E43+R52*E44</f>
        <v>7088545.0265881252</v>
      </c>
      <c r="G50" s="26">
        <f>precisas!E7*1000</f>
        <v>7088545.4709999999</v>
      </c>
      <c r="J50" s="3">
        <f>J43*J36+K43*J37+L43*J38</f>
        <v>0.16993889783590177</v>
      </c>
      <c r="K50" s="3">
        <f>J43*K36+K43*K37+L43*K38</f>
        <v>0.56241361433773107</v>
      </c>
      <c r="L50" s="3">
        <f>J43*L36+K43*L37+L43*L38</f>
        <v>-0.80920436072100399</v>
      </c>
      <c r="P50" s="3">
        <f>P43*P36+Q43*P37+R43*P38</f>
        <v>0.16993960171441053</v>
      </c>
      <c r="Q50" s="3">
        <f>P43*Q36+Q43*Q37+R43*Q38</f>
        <v>0.56241494913566437</v>
      </c>
      <c r="R50" s="3">
        <f>P43*R36+Q43*R37+R43*R38</f>
        <v>-0.80920328518727336</v>
      </c>
    </row>
    <row r="51" spans="1:18" ht="18" x14ac:dyDescent="0.35">
      <c r="I51" s="4" t="s">
        <v>123</v>
      </c>
      <c r="J51" s="3">
        <f>J44*J36+K44*J37+L44*J38</f>
        <v>-0.98545460118785733</v>
      </c>
      <c r="K51" s="3">
        <f>J44*K36+K44*K37+L44*K38</f>
        <v>9.6986659388726401E-2</v>
      </c>
      <c r="L51" s="3">
        <f>J44*L36+K44*L37+L44*L38</f>
        <v>-0.13954503537674218</v>
      </c>
      <c r="O51" s="4" t="s">
        <v>125</v>
      </c>
      <c r="P51" s="3">
        <f>P44*P36+Q44*P37+R44*P38</f>
        <v>-0.98545447980571255</v>
      </c>
      <c r="Q51" s="3">
        <f>P44*Q36+Q44*Q37+R44*Q38</f>
        <v>9.69873032320972E-2</v>
      </c>
      <c r="R51" s="3">
        <f>P44*R36+Q44*R37+R44*R38</f>
        <v>-0.13954544508015196</v>
      </c>
    </row>
    <row r="52" spans="1:18" x14ac:dyDescent="0.25">
      <c r="J52" s="3">
        <f>J45*J36+K45*J37+L45*J38</f>
        <v>0</v>
      </c>
      <c r="K52" s="3">
        <f>J45*K36+K45*K37+L45*K38</f>
        <v>0.82114829008418755</v>
      </c>
      <c r="L52" s="3">
        <f>J45*L36+K45*L37+L45*L38</f>
        <v>0.57071489002111631</v>
      </c>
      <c r="P52" s="3">
        <f>P45*P36+Q45*P37+R45*P38</f>
        <v>0</v>
      </c>
      <c r="Q52" s="3">
        <f>P45*Q36+Q45*Q37+R45*Q38</f>
        <v>0.82114729981927925</v>
      </c>
      <c r="R52" s="3">
        <f>P45*R36+Q45*R37+R45*R38</f>
        <v>0.57071631481805973</v>
      </c>
    </row>
    <row r="53" spans="1:18" x14ac:dyDescent="0.25">
      <c r="A53" s="4" t="s">
        <v>110</v>
      </c>
      <c r="B53">
        <f>SQRT(B48*B48+B49*B49+B50*B50)</f>
        <v>26585702.052761097</v>
      </c>
      <c r="E53">
        <f t="shared" ref="E53:G53" si="1">SQRT(E48*E48+E49*E49+E50*E50)</f>
        <v>26585702.374913916</v>
      </c>
      <c r="G53">
        <f t="shared" si="1"/>
        <v>26585704.292165406</v>
      </c>
    </row>
    <row r="54" spans="1:18" x14ac:dyDescent="0.25">
      <c r="A54" s="4" t="s">
        <v>111</v>
      </c>
      <c r="B54" s="18">
        <f>$G$53-B53</f>
        <v>2.239404309540987</v>
      </c>
      <c r="E54" s="29">
        <f>$G$53-E53</f>
        <v>1.9172514900565147</v>
      </c>
    </row>
    <row r="55" spans="1:18" x14ac:dyDescent="0.25">
      <c r="A55" s="4"/>
    </row>
    <row r="56" spans="1:18" x14ac:dyDescent="0.25">
      <c r="A56" s="4"/>
    </row>
    <row r="57" spans="1:18" x14ac:dyDescent="0.25">
      <c r="A57" s="4" t="s">
        <v>112</v>
      </c>
      <c r="B57" s="28">
        <f>G$48-B48</f>
        <v>-2.3197699257871136</v>
      </c>
      <c r="D57" s="28"/>
      <c r="E57" s="28">
        <f>G$48-E48</f>
        <v>6.180533479549922</v>
      </c>
      <c r="G57" s="28"/>
    </row>
    <row r="58" spans="1:18" x14ac:dyDescent="0.25">
      <c r="A58" s="4" t="s">
        <v>113</v>
      </c>
      <c r="B58" s="28">
        <f>G$49-B49</f>
        <v>5.4487583041191101</v>
      </c>
      <c r="E58" s="28">
        <f>G$49-E49</f>
        <v>1.7264111079275608</v>
      </c>
    </row>
    <row r="59" spans="1:18" x14ac:dyDescent="0.25">
      <c r="A59" s="4" t="s">
        <v>114</v>
      </c>
      <c r="B59" s="28">
        <f>G$50-B50</f>
        <v>-11.101426205597818</v>
      </c>
      <c r="E59" s="28">
        <f>G$50-E50</f>
        <v>0.44441187474876642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4D80-09E5-4947-9F01-8E98FAA4B924}">
  <dimension ref="A1:C29"/>
  <sheetViews>
    <sheetView topLeftCell="A4" workbookViewId="0">
      <selection activeCell="B14" sqref="B14"/>
    </sheetView>
  </sheetViews>
  <sheetFormatPr defaultRowHeight="15" x14ac:dyDescent="0.25"/>
  <cols>
    <col min="2" max="2" width="27.5703125" customWidth="1"/>
    <col min="3" max="3" width="13.140625" bestFit="1" customWidth="1"/>
  </cols>
  <sheetData>
    <row r="1" spans="1:3" x14ac:dyDescent="0.25">
      <c r="A1" t="s">
        <v>71</v>
      </c>
      <c r="B1">
        <f>Calculos!B18</f>
        <v>-1.7532943320404997</v>
      </c>
      <c r="C1">
        <f>Calculos!E18</f>
        <v>-1.7533350395906879</v>
      </c>
    </row>
    <row r="2" spans="1:3" x14ac:dyDescent="0.25">
      <c r="A2" t="s">
        <v>72</v>
      </c>
      <c r="B2" s="30">
        <f>Calculos!B14</f>
        <v>5.2295828936600001E-3</v>
      </c>
      <c r="C2" s="30">
        <f>Calculos!E14</f>
        <v>5.2283601835399996E-3</v>
      </c>
    </row>
    <row r="4" spans="1:3" ht="18" x14ac:dyDescent="0.35">
      <c r="A4" t="s">
        <v>69</v>
      </c>
      <c r="B4">
        <v>0</v>
      </c>
      <c r="C4">
        <v>0</v>
      </c>
    </row>
    <row r="5" spans="1:3" x14ac:dyDescent="0.25">
      <c r="A5" t="s">
        <v>59</v>
      </c>
      <c r="B5" s="30">
        <f>B$1+B$2*SIN(B4)-B4</f>
        <v>-1.7532943320404997</v>
      </c>
      <c r="C5" s="30">
        <f>C$1+C$2*SIN(C4)-C4</f>
        <v>-1.7533350395906879</v>
      </c>
    </row>
    <row r="6" spans="1:3" x14ac:dyDescent="0.25">
      <c r="A6" t="s">
        <v>70</v>
      </c>
      <c r="B6" s="30">
        <f>B$2*COS(B4)-1</f>
        <v>-0.99477041710633995</v>
      </c>
      <c r="C6">
        <f>C$2*COS(C4)-1</f>
        <v>-0.99477163981646</v>
      </c>
    </row>
    <row r="8" spans="1:3" x14ac:dyDescent="0.25">
      <c r="A8" t="s">
        <v>68</v>
      </c>
      <c r="B8">
        <f>B5/B6</f>
        <v>1.7625115321991669</v>
      </c>
      <c r="C8">
        <f>C5/C6</f>
        <v>1.7625502873344745</v>
      </c>
    </row>
    <row r="9" spans="1:3" ht="18" x14ac:dyDescent="0.35">
      <c r="A9" t="s">
        <v>73</v>
      </c>
      <c r="B9">
        <f>B4-B8</f>
        <v>-1.7625115321991669</v>
      </c>
      <c r="C9">
        <f>C4-C8</f>
        <v>-1.7625502873344745</v>
      </c>
    </row>
    <row r="10" spans="1:3" x14ac:dyDescent="0.25">
      <c r="A10" t="s">
        <v>59</v>
      </c>
      <c r="B10" s="30">
        <f>B$1+B$2*SIN(B9)-B9</f>
        <v>4.0834291906490794E-3</v>
      </c>
      <c r="C10" s="30">
        <f>C$1+C$2*SIN(C9)-C9</f>
        <v>4.0827156972182976E-3</v>
      </c>
    </row>
    <row r="11" spans="1:3" x14ac:dyDescent="0.25">
      <c r="A11" t="s">
        <v>70</v>
      </c>
      <c r="B11" s="30">
        <f>B$2*COS(B9)-1</f>
        <v>-1.0009964601796333</v>
      </c>
      <c r="C11" s="30">
        <f>C$2*COS(C9)-1</f>
        <v>-1.0009964261135555</v>
      </c>
    </row>
    <row r="13" spans="1:3" x14ac:dyDescent="0.25">
      <c r="A13" t="s">
        <v>68</v>
      </c>
      <c r="B13">
        <f>B10/B11</f>
        <v>-4.0793642665991944E-3</v>
      </c>
      <c r="C13">
        <f>C10/C11</f>
        <v>-4.0786516222338079E-3</v>
      </c>
    </row>
    <row r="14" spans="1:3" ht="18" x14ac:dyDescent="0.35">
      <c r="A14" t="s">
        <v>74</v>
      </c>
      <c r="B14" s="45">
        <f>B9-B13</f>
        <v>-1.7584321679325676</v>
      </c>
      <c r="C14">
        <f>C9-C13</f>
        <v>-1.7584716357122407</v>
      </c>
    </row>
    <row r="15" spans="1:3" x14ac:dyDescent="0.25">
      <c r="A15" t="s">
        <v>59</v>
      </c>
      <c r="B15" s="30">
        <f>B$1+B$2*SIN(B14)-B14</f>
        <v>4.272730236287714E-8</v>
      </c>
      <c r="C15" s="30">
        <f>C$1+C$2*SIN(C14)-C14</f>
        <v>4.2702068103750435E-8</v>
      </c>
    </row>
    <row r="16" spans="1:3" x14ac:dyDescent="0.25">
      <c r="A16" t="s">
        <v>70</v>
      </c>
      <c r="B16" s="30">
        <f>B$2*COS(B14)-1</f>
        <v>-1.0009755094247368</v>
      </c>
      <c r="C16">
        <f>C$2*COS(C14)-1</f>
        <v>-1.0009754840734766</v>
      </c>
    </row>
    <row r="18" spans="1:3" x14ac:dyDescent="0.25">
      <c r="A18" t="s">
        <v>68</v>
      </c>
      <c r="B18">
        <f>B15/B16</f>
        <v>-4.2685662097200188E-8</v>
      </c>
      <c r="C18">
        <f>C15/C16</f>
        <v>-4.2660453510783375E-8</v>
      </c>
    </row>
    <row r="19" spans="1:3" ht="18" x14ac:dyDescent="0.35">
      <c r="A19" t="s">
        <v>75</v>
      </c>
      <c r="B19" s="44">
        <f>B14-B18</f>
        <v>-1.7584321252469055</v>
      </c>
      <c r="C19" s="20">
        <f>C14-C18</f>
        <v>-1.7584715930517871</v>
      </c>
    </row>
    <row r="20" spans="1:3" x14ac:dyDescent="0.25">
      <c r="A20" t="s">
        <v>59</v>
      </c>
      <c r="B20" s="16">
        <f>B$1+B$2*SIN(B19)-B19</f>
        <v>0</v>
      </c>
      <c r="C20" s="16">
        <f>C$1+C$2*SIN(C19)-C19</f>
        <v>0</v>
      </c>
    </row>
    <row r="21" spans="1:3" x14ac:dyDescent="0.25">
      <c r="A21" t="s">
        <v>70</v>
      </c>
      <c r="B21">
        <f>B$2*COS(B19)-1</f>
        <v>-1.0009755092054267</v>
      </c>
      <c r="C21">
        <f>C$2*COS(C19)-1</f>
        <v>-1.0009754838543488</v>
      </c>
    </row>
    <row r="23" spans="1:3" x14ac:dyDescent="0.25">
      <c r="A23" t="s">
        <v>68</v>
      </c>
      <c r="B23">
        <f>B20/B21</f>
        <v>0</v>
      </c>
      <c r="C23">
        <f>C20/C21</f>
        <v>0</v>
      </c>
    </row>
    <row r="24" spans="1:3" ht="18" x14ac:dyDescent="0.35">
      <c r="A24" t="s">
        <v>76</v>
      </c>
      <c r="B24" s="44">
        <f>B19-B23</f>
        <v>-1.7584321252469055</v>
      </c>
      <c r="C24" s="20">
        <f>C19-C23</f>
        <v>-1.7584715930517871</v>
      </c>
    </row>
    <row r="25" spans="1:3" x14ac:dyDescent="0.25">
      <c r="A25" t="s">
        <v>59</v>
      </c>
      <c r="B25">
        <f>B$1+B$2*SIN(B24)-B24</f>
        <v>0</v>
      </c>
      <c r="C25">
        <f>C$1+C$2*SIN(C24)-C24</f>
        <v>0</v>
      </c>
    </row>
    <row r="26" spans="1:3" x14ac:dyDescent="0.25">
      <c r="A26" t="s">
        <v>70</v>
      </c>
      <c r="B26">
        <f>B$2*COS(B24)-1</f>
        <v>-1.0009755092054267</v>
      </c>
      <c r="C26">
        <f>C$2*COS(C24)-1</f>
        <v>-1.0009754838543488</v>
      </c>
    </row>
    <row r="29" spans="1:3" x14ac:dyDescent="0.25">
      <c r="B2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transmitidas</vt:lpstr>
      <vt:lpstr>precisas</vt:lpstr>
      <vt:lpstr>Calculos</vt:lpstr>
      <vt:lpstr>Iterate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Eylenstein</dc:creator>
  <cp:lastModifiedBy>Bernardo Eylenstein</cp:lastModifiedBy>
  <dcterms:created xsi:type="dcterms:W3CDTF">2024-06-13T12:57:04Z</dcterms:created>
  <dcterms:modified xsi:type="dcterms:W3CDTF">2024-07-01T22:49:40Z</dcterms:modified>
</cp:coreProperties>
</file>