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quel\Documents\Miquel\Miquel UPC\3r Quadrimestre\PE\"/>
    </mc:Choice>
  </mc:AlternateContent>
  <xr:revisionPtr revIDLastSave="0" documentId="13_ncr:1_{6C9E6880-63DD-4067-B059-414E35760C8C}" xr6:coauthVersionLast="47" xr6:coauthVersionMax="47" xr10:uidLastSave="{00000000-0000-0000-0000-000000000000}"/>
  <bookViews>
    <workbookView xWindow="-26130" yWindow="-6885" windowWidth="17280" windowHeight="8970" tabRatio="747" firstSheet="4" activeTab="6" xr2:uid="{8451E67E-C2EA-43C4-A212-90B385F34466}"/>
  </bookViews>
  <sheets>
    <sheet name="Neos Solver" sheetId="1" r:id="rId1"/>
    <sheet name="M'han regalat 1000000" sheetId="3" r:id="rId2"/>
    <sheet name="La Binomial" sheetId="4" r:id="rId3"/>
    <sheet name="Aeropuerto" sheetId="2" r:id="rId4"/>
    <sheet name="Made in Taiwan" sheetId="5" r:id="rId5"/>
    <sheet name="El reparador" sheetId="6" r:id="rId6"/>
    <sheet name="Manos en la masa" sheetId="7" r:id="rId7"/>
    <sheet name="Un de cada milió de sector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" i="7" l="1"/>
  <c r="M22" i="7" s="1"/>
  <c r="M7" i="7"/>
  <c r="M16" i="7" s="1"/>
  <c r="M17" i="7" s="1"/>
  <c r="D8" i="8"/>
  <c r="D10" i="8"/>
  <c r="F42" i="8" s="1"/>
  <c r="I48" i="8"/>
  <c r="E48" i="8"/>
  <c r="E42" i="8"/>
  <c r="E35" i="8"/>
  <c r="E28" i="8"/>
  <c r="J48" i="8"/>
  <c r="J49" i="8"/>
  <c r="J40" i="8"/>
  <c r="J41" i="8" s="1"/>
  <c r="J42" i="8" s="1"/>
  <c r="J43" i="8" s="1"/>
  <c r="J44" i="8" s="1"/>
  <c r="J45" i="8" s="1"/>
  <c r="J46" i="8" s="1"/>
  <c r="J47" i="8" s="1"/>
  <c r="E28" i="6"/>
  <c r="G7" i="7"/>
  <c r="G27" i="7" s="1"/>
  <c r="E20" i="6"/>
  <c r="G14" i="6"/>
  <c r="E14" i="6"/>
  <c r="L38" i="5"/>
  <c r="E2" i="6"/>
  <c r="E3" i="6"/>
  <c r="J9" i="5"/>
  <c r="J33" i="5"/>
  <c r="J29" i="5"/>
  <c r="N25" i="5"/>
  <c r="E2" i="2"/>
  <c r="F31" i="2"/>
  <c r="F39" i="2" s="1"/>
  <c r="F22" i="2"/>
  <c r="F33" i="2"/>
  <c r="F24" i="2"/>
  <c r="N38" i="5"/>
  <c r="I22" i="1"/>
  <c r="I18" i="1"/>
  <c r="I21" i="3"/>
  <c r="C10" i="2"/>
  <c r="C11" i="2"/>
  <c r="D11" i="2" s="1"/>
  <c r="E10" i="2"/>
  <c r="E9" i="2" s="1"/>
  <c r="M38" i="5"/>
  <c r="J19" i="5"/>
  <c r="J14" i="5"/>
  <c r="K2" i="5"/>
  <c r="E5" i="5"/>
  <c r="F5" i="5" s="1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5" i="5"/>
  <c r="B27" i="5"/>
  <c r="B28" i="5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" i="5"/>
  <c r="C25" i="4"/>
  <c r="C21" i="4"/>
  <c r="C17" i="4"/>
  <c r="H13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M34" i="4"/>
  <c r="M25" i="4"/>
  <c r="M26" i="4"/>
  <c r="M27" i="4"/>
  <c r="M28" i="4"/>
  <c r="M29" i="4"/>
  <c r="M30" i="4"/>
  <c r="M31" i="4"/>
  <c r="M32" i="4"/>
  <c r="M33" i="4"/>
  <c r="L25" i="4"/>
  <c r="L26" i="4"/>
  <c r="L27" i="4"/>
  <c r="L28" i="4"/>
  <c r="L29" i="4"/>
  <c r="L30" i="4"/>
  <c r="L31" i="4"/>
  <c r="L32" i="4"/>
  <c r="L33" i="4"/>
  <c r="L34" i="4"/>
  <c r="K33" i="4"/>
  <c r="K34" i="4" s="1"/>
  <c r="K29" i="4"/>
  <c r="K30" i="4"/>
  <c r="K31" i="4" s="1"/>
  <c r="K32" i="4" s="1"/>
  <c r="K25" i="4"/>
  <c r="K26" i="4" s="1"/>
  <c r="K27" i="4" s="1"/>
  <c r="K28" i="4" s="1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4" i="4"/>
  <c r="O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4" i="4"/>
  <c r="K6" i="4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5" i="4"/>
  <c r="G9" i="4"/>
  <c r="C9" i="4"/>
  <c r="M26" i="3"/>
  <c r="I26" i="3" s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6" i="3"/>
  <c r="M27" i="3"/>
  <c r="L22" i="3"/>
  <c r="I12" i="3"/>
  <c r="N10" i="3"/>
  <c r="I1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C26" i="3" s="1"/>
  <c r="G30" i="1"/>
  <c r="I10" i="1"/>
  <c r="I6" i="1"/>
  <c r="I14" i="1"/>
  <c r="E18" i="2"/>
  <c r="E17" i="2"/>
  <c r="C19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4" i="1"/>
  <c r="D19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5" i="1"/>
  <c r="D4" i="1"/>
  <c r="B18" i="1"/>
  <c r="B19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5" i="1"/>
  <c r="M8" i="7" l="1"/>
  <c r="F35" i="8"/>
  <c r="G35" i="8" s="1"/>
  <c r="F48" i="8"/>
  <c r="G48" i="8" s="1"/>
  <c r="F28" i="8"/>
  <c r="G28" i="8" s="1"/>
  <c r="K4" i="8"/>
  <c r="D11" i="8"/>
  <c r="K46" i="8" s="1"/>
  <c r="G42" i="8"/>
  <c r="D23" i="8"/>
  <c r="J5" i="8"/>
  <c r="H27" i="7"/>
  <c r="G8" i="7"/>
  <c r="D16" i="7" s="1"/>
  <c r="D17" i="7" s="1"/>
  <c r="E9" i="6"/>
  <c r="F14" i="6"/>
  <c r="E6" i="5"/>
  <c r="F37" i="2"/>
  <c r="D10" i="2"/>
  <c r="E13" i="2" s="1"/>
  <c r="C9" i="2"/>
  <c r="D9" i="2" s="1"/>
  <c r="B7" i="5"/>
  <c r="C20" i="3"/>
  <c r="C11" i="3"/>
  <c r="C10" i="3"/>
  <c r="C12" i="3"/>
  <c r="I8" i="3" s="1"/>
  <c r="C19" i="3"/>
  <c r="C18" i="3"/>
  <c r="C25" i="3"/>
  <c r="C17" i="3"/>
  <c r="C9" i="3"/>
  <c r="C24" i="3"/>
  <c r="C16" i="3"/>
  <c r="C8" i="3"/>
  <c r="C6" i="3"/>
  <c r="C28" i="3" s="1"/>
  <c r="C23" i="3"/>
  <c r="C15" i="3"/>
  <c r="C7" i="3"/>
  <c r="C22" i="3"/>
  <c r="C14" i="3"/>
  <c r="C21" i="3"/>
  <c r="C13" i="3"/>
  <c r="C21" i="1"/>
  <c r="K45" i="8" l="1"/>
  <c r="K5" i="8"/>
  <c r="K49" i="8"/>
  <c r="K48" i="8"/>
  <c r="K40" i="8"/>
  <c r="K44" i="8"/>
  <c r="K47" i="8"/>
  <c r="K41" i="8"/>
  <c r="K43" i="8"/>
  <c r="K42" i="8"/>
  <c r="J6" i="8"/>
  <c r="K6" i="8" s="1"/>
  <c r="D7" i="7"/>
  <c r="G28" i="7"/>
  <c r="D27" i="7" s="1"/>
  <c r="D21" i="7"/>
  <c r="E7" i="5"/>
  <c r="F6" i="5"/>
  <c r="B8" i="5"/>
  <c r="J7" i="8" l="1"/>
  <c r="K7" i="8" s="1"/>
  <c r="H28" i="7"/>
  <c r="E8" i="5"/>
  <c r="F7" i="5"/>
  <c r="B9" i="5"/>
  <c r="J8" i="8" l="1"/>
  <c r="K8" i="8" s="1"/>
  <c r="D35" i="7"/>
  <c r="D29" i="7"/>
  <c r="E9" i="5"/>
  <c r="F8" i="5"/>
  <c r="B10" i="5"/>
  <c r="J9" i="8" l="1"/>
  <c r="K9" i="8" s="1"/>
  <c r="E10" i="5"/>
  <c r="F9" i="5"/>
  <c r="B11" i="5"/>
  <c r="J10" i="8" l="1"/>
  <c r="K10" i="8" s="1"/>
  <c r="E11" i="5"/>
  <c r="F10" i="5"/>
  <c r="B12" i="5"/>
  <c r="J11" i="8" l="1"/>
  <c r="K11" i="8" s="1"/>
  <c r="E12" i="5"/>
  <c r="F11" i="5"/>
  <c r="B13" i="5"/>
  <c r="J12" i="8" l="1"/>
  <c r="K12" i="8" s="1"/>
  <c r="E13" i="5"/>
  <c r="F12" i="5"/>
  <c r="B14" i="5"/>
  <c r="J13" i="8" l="1"/>
  <c r="K13" i="8" s="1"/>
  <c r="E14" i="5"/>
  <c r="F13" i="5"/>
  <c r="B15" i="5"/>
  <c r="J14" i="8" l="1"/>
  <c r="K14" i="8" s="1"/>
  <c r="E15" i="5"/>
  <c r="F14" i="5"/>
  <c r="B16" i="5"/>
  <c r="J15" i="8" l="1"/>
  <c r="K15" i="8" s="1"/>
  <c r="E16" i="5"/>
  <c r="F15" i="5"/>
  <c r="B17" i="5"/>
  <c r="J16" i="8" l="1"/>
  <c r="K16" i="8" s="1"/>
  <c r="E17" i="5"/>
  <c r="F16" i="5"/>
  <c r="B18" i="5"/>
  <c r="J17" i="8" l="1"/>
  <c r="K17" i="8" s="1"/>
  <c r="E18" i="5"/>
  <c r="F17" i="5"/>
  <c r="B19" i="5"/>
  <c r="J18" i="8" l="1"/>
  <c r="K18" i="8" s="1"/>
  <c r="E19" i="5"/>
  <c r="F18" i="5"/>
  <c r="B20" i="5"/>
  <c r="J19" i="8" l="1"/>
  <c r="K19" i="8" s="1"/>
  <c r="E20" i="5"/>
  <c r="F19" i="5"/>
  <c r="B21" i="5"/>
  <c r="J20" i="8" l="1"/>
  <c r="K20" i="8" s="1"/>
  <c r="E21" i="5"/>
  <c r="F20" i="5"/>
  <c r="B22" i="5"/>
  <c r="J21" i="8" l="1"/>
  <c r="K21" i="8" s="1"/>
  <c r="E22" i="5"/>
  <c r="F21" i="5"/>
  <c r="B23" i="5"/>
  <c r="J22" i="8" l="1"/>
  <c r="K22" i="8" s="1"/>
  <c r="E23" i="5"/>
  <c r="F22" i="5"/>
  <c r="B24" i="5"/>
  <c r="J23" i="8" l="1"/>
  <c r="K23" i="8" s="1"/>
  <c r="E24" i="5"/>
  <c r="F23" i="5"/>
  <c r="B25" i="5"/>
  <c r="J24" i="8" l="1"/>
  <c r="K24" i="8" s="1"/>
  <c r="E25" i="5"/>
  <c r="F24" i="5"/>
  <c r="B26" i="5"/>
  <c r="J25" i="8" l="1"/>
  <c r="K25" i="8" s="1"/>
  <c r="E26" i="5"/>
  <c r="F25" i="5"/>
  <c r="J26" i="8" l="1"/>
  <c r="K26" i="8" s="1"/>
  <c r="E27" i="5"/>
  <c r="F26" i="5"/>
  <c r="J27" i="8" l="1"/>
  <c r="K27" i="8" s="1"/>
  <c r="E28" i="5"/>
  <c r="F27" i="5"/>
  <c r="J28" i="8" l="1"/>
  <c r="K28" i="8" s="1"/>
  <c r="E29" i="5"/>
  <c r="F28" i="5"/>
  <c r="J29" i="8" l="1"/>
  <c r="K29" i="8" s="1"/>
  <c r="E30" i="5"/>
  <c r="F29" i="5"/>
  <c r="J30" i="8" l="1"/>
  <c r="K30" i="8" s="1"/>
  <c r="E31" i="5"/>
  <c r="F30" i="5"/>
  <c r="J31" i="8" l="1"/>
  <c r="K31" i="8" s="1"/>
  <c r="E32" i="5"/>
  <c r="F31" i="5"/>
  <c r="J32" i="8" l="1"/>
  <c r="K32" i="8" s="1"/>
  <c r="E33" i="5"/>
  <c r="F32" i="5"/>
  <c r="J33" i="8" l="1"/>
  <c r="K33" i="8" s="1"/>
  <c r="E34" i="5"/>
  <c r="F33" i="5"/>
  <c r="J34" i="8" l="1"/>
  <c r="K34" i="8" s="1"/>
  <c r="E35" i="5"/>
  <c r="F34" i="5"/>
  <c r="J35" i="8" l="1"/>
  <c r="K35" i="8" s="1"/>
  <c r="E36" i="5"/>
  <c r="F35" i="5"/>
  <c r="J36" i="8" l="1"/>
  <c r="K36" i="8" s="1"/>
  <c r="E37" i="5"/>
  <c r="F36" i="5"/>
  <c r="J37" i="8" l="1"/>
  <c r="K37" i="8" s="1"/>
  <c r="E38" i="5"/>
  <c r="F37" i="5"/>
  <c r="J38" i="8" l="1"/>
  <c r="K38" i="8" s="1"/>
  <c r="E39" i="5"/>
  <c r="F38" i="5"/>
  <c r="J39" i="8" l="1"/>
  <c r="K39" i="8" s="1"/>
  <c r="E40" i="5"/>
  <c r="F39" i="5"/>
  <c r="E41" i="5" l="1"/>
  <c r="F40" i="5"/>
  <c r="E42" i="5" l="1"/>
  <c r="F41" i="5"/>
  <c r="E43" i="5" l="1"/>
  <c r="F42" i="5"/>
  <c r="E44" i="5" l="1"/>
  <c r="F43" i="5"/>
  <c r="E45" i="5" l="1"/>
  <c r="F44" i="5"/>
  <c r="E46" i="5" l="1"/>
  <c r="F45" i="5"/>
  <c r="E47" i="5" l="1"/>
  <c r="F46" i="5"/>
  <c r="E48" i="5" l="1"/>
  <c r="F47" i="5"/>
  <c r="E49" i="5" l="1"/>
  <c r="F48" i="5"/>
  <c r="E50" i="5" l="1"/>
  <c r="F49" i="5"/>
  <c r="E51" i="5" l="1"/>
  <c r="F50" i="5"/>
  <c r="E52" i="5" l="1"/>
  <c r="F51" i="5"/>
  <c r="E53" i="5" l="1"/>
  <c r="F52" i="5"/>
  <c r="E54" i="5" l="1"/>
  <c r="F53" i="5"/>
  <c r="E55" i="5" l="1"/>
  <c r="F54" i="5"/>
  <c r="E56" i="5" l="1"/>
  <c r="F55" i="5"/>
  <c r="E57" i="5" l="1"/>
  <c r="F56" i="5"/>
  <c r="E58" i="5" l="1"/>
  <c r="F57" i="5"/>
  <c r="E59" i="5" l="1"/>
  <c r="F58" i="5"/>
  <c r="E60" i="5" l="1"/>
  <c r="F59" i="5"/>
  <c r="E61" i="5" l="1"/>
  <c r="F60" i="5"/>
  <c r="E62" i="5" l="1"/>
  <c r="F61" i="5"/>
  <c r="E63" i="5" l="1"/>
  <c r="F62" i="5"/>
  <c r="E64" i="5" l="1"/>
  <c r="F64" i="5" s="1"/>
  <c r="F63" i="5"/>
</calcChain>
</file>

<file path=xl/sharedStrings.xml><?xml version="1.0" encoding="utf-8"?>
<sst xmlns="http://schemas.openxmlformats.org/spreadsheetml/2006/main" count="289" uniqueCount="215">
  <si>
    <t>1. Sabent que segons poison el promig és</t>
  </si>
  <si>
    <t>k</t>
  </si>
  <si>
    <t>X-P(L)</t>
  </si>
  <si>
    <t>Acumulada</t>
  </si>
  <si>
    <t>prob entre</t>
  </si>
  <si>
    <t>i</t>
  </si>
  <si>
    <t xml:space="preserve"> -----------&gt;</t>
  </si>
  <si>
    <t xml:space="preserve">2. Prob que sigui exactament </t>
  </si>
  <si>
    <t>3. Prob que arribin</t>
  </si>
  <si>
    <t xml:space="preserve">problemes en </t>
  </si>
  <si>
    <t>hores</t>
  </si>
  <si>
    <t xml:space="preserve"> ----------&gt;</t>
  </si>
  <si>
    <t>4. Valor esperat entre dos arribades succesives</t>
  </si>
  <si>
    <t>sense rebre res</t>
  </si>
  <si>
    <t>5. Prob estar menys de (minuts)</t>
  </si>
  <si>
    <t xml:space="preserve"> ---------&gt;</t>
  </si>
  <si>
    <t xml:space="preserve">6. Suposa que existeixen </t>
  </si>
  <si>
    <t>servidors</t>
  </si>
  <si>
    <t>que tenen</t>
  </si>
  <si>
    <t>una prob del</t>
  </si>
  <si>
    <t xml:space="preserve">   de rebre </t>
  </si>
  <si>
    <t>una hora.</t>
  </si>
  <si>
    <t xml:space="preserve">Prob de tenir en una hora més de </t>
  </si>
  <si>
    <t xml:space="preserve">rebent exactament </t>
  </si>
  <si>
    <t>problemes</t>
  </si>
  <si>
    <t xml:space="preserve"> --------------&gt;</t>
  </si>
  <si>
    <t>Prob cua a facturacio</t>
  </si>
  <si>
    <t>Prob que no hagi de facturar</t>
  </si>
  <si>
    <t>% que no factura pero troba cua per la tarjeta</t>
  </si>
  <si>
    <t xml:space="preserve">1. Prob conjunta X i Y </t>
  </si>
  <si>
    <t>Y = 0 (eq. ma)</t>
  </si>
  <si>
    <t>Y = 1 (eq. x fct)</t>
  </si>
  <si>
    <t>X = 0 (no cua fct)</t>
  </si>
  <si>
    <t>X = 1 (cua fact)</t>
  </si>
  <si>
    <t>2. Valor covariança</t>
  </si>
  <si>
    <t xml:space="preserve">3. Es dstribueixen els viatgers segons una taxa de </t>
  </si>
  <si>
    <t xml:space="preserve">               E(x)</t>
  </si>
  <si>
    <t xml:space="preserve">     Desviació</t>
  </si>
  <si>
    <t xml:space="preserve">4. Prob d'observar </t>
  </si>
  <si>
    <t>arribades en un minut és</t>
  </si>
  <si>
    <t>lambda</t>
  </si>
  <si>
    <t>P(x)</t>
  </si>
  <si>
    <t xml:space="preserve">1. Prob que siguin exactament </t>
  </si>
  <si>
    <t>no desitjats</t>
  </si>
  <si>
    <t xml:space="preserve"> -------------&gt;</t>
  </si>
  <si>
    <t>2. Prob sigui no superior a (inferior)</t>
  </si>
  <si>
    <t xml:space="preserve">suma de </t>
  </si>
  <si>
    <t xml:space="preserve">            a </t>
  </si>
  <si>
    <t>3. Prob que es rebin un mínim de (missatges)</t>
  </si>
  <si>
    <t xml:space="preserve">4. S'ha trobat </t>
  </si>
  <si>
    <t>missatges nous, prob que en rebí com a mínim</t>
  </si>
  <si>
    <t xml:space="preserve">Treballa des de </t>
  </si>
  <si>
    <t>a</t>
  </si>
  <si>
    <t xml:space="preserve"> ------------&gt;</t>
  </si>
  <si>
    <t>Hem de veure quina és la probabiliatat que rebi entre 0 i x missatges, sent x el mínim assolible</t>
  </si>
  <si>
    <t xml:space="preserve">per arribar a </t>
  </si>
  <si>
    <t xml:space="preserve">de </t>
  </si>
  <si>
    <t>. Modifiquem lambda d'acord amb el temps que treballa.</t>
  </si>
  <si>
    <t>5. prob que el nº de missatges rebuts es trobi a una distàcia</t>
  </si>
  <si>
    <t>del seu valor esperat menor a</t>
  </si>
  <si>
    <t>P(|Y-lambda|&gt;6)</t>
  </si>
  <si>
    <t>P(|Y+lambda|&lt;6)</t>
  </si>
  <si>
    <t>6. El nº de correus no sobrepassa una fita N amb prob</t>
  </si>
  <si>
    <t>N -----------&gt;</t>
  </si>
  <si>
    <t>Mirar la taula en gris (p.e. el resultat de lambda = 4,6 i prob = 0,636 està en gris fosc)</t>
  </si>
  <si>
    <t xml:space="preserve">)                  </t>
  </si>
  <si>
    <t>X2 ~ B    (</t>
  </si>
  <si>
    <t>X1 ~ B    (</t>
  </si>
  <si>
    <t>)</t>
  </si>
  <si>
    <t>1. P(X1 &lt;=</t>
  </si>
  <si>
    <t xml:space="preserve">   &lt;     X1   &lt;=</t>
  </si>
  <si>
    <t xml:space="preserve">             2. P (</t>
  </si>
  <si>
    <t xml:space="preserve">B X1 </t>
  </si>
  <si>
    <t>B X1 (acumulada)</t>
  </si>
  <si>
    <t>B X2</t>
  </si>
  <si>
    <t>B X2 (acumulada)</t>
  </si>
  <si>
    <t xml:space="preserve">superior a </t>
  </si>
  <si>
    <t xml:space="preserve"> -----------&gt; </t>
  </si>
  <si>
    <t>Buscar a la taula blau fosc i mirar per quina</t>
  </si>
  <si>
    <t>k es supera</t>
  </si>
  <si>
    <t>3. P(X1 &lt;= k)</t>
  </si>
  <si>
    <t xml:space="preserve">4. P(X2 = </t>
  </si>
  <si>
    <t>5. P(X2 &gt;</t>
  </si>
  <si>
    <t xml:space="preserve">6.             P ( </t>
  </si>
  <si>
    <t xml:space="preserve">  &lt;      X2     &lt;=</t>
  </si>
  <si>
    <t xml:space="preserve">7. </t>
  </si>
  <si>
    <t>o =</t>
  </si>
  <si>
    <t>Impossible resoldre xd</t>
  </si>
  <si>
    <t xml:space="preserve">                    (n)</t>
  </si>
  <si>
    <t>lambda exp</t>
  </si>
  <si>
    <t>mesos</t>
  </si>
  <si>
    <t>Exp(x)</t>
  </si>
  <si>
    <t>Esperança normal (GHz)</t>
  </si>
  <si>
    <t>Desviació tipus (GHz)</t>
  </si>
  <si>
    <t xml:space="preserve">           k from</t>
  </si>
  <si>
    <t xml:space="preserve">                  to</t>
  </si>
  <si>
    <t>Norm(x, signma)</t>
  </si>
  <si>
    <t>1. Porb que un component que ha durat</t>
  </si>
  <si>
    <t xml:space="preserve">duri més de </t>
  </si>
  <si>
    <t>2. Prob que un component duri entre</t>
  </si>
  <si>
    <t xml:space="preserve">i </t>
  </si>
  <si>
    <t xml:space="preserve">3. Quin és el percentil del </t>
  </si>
  <si>
    <t>per un component de la primera població</t>
  </si>
  <si>
    <t>4. El</t>
  </si>
  <si>
    <t xml:space="preserve">arriba a una </t>
  </si>
  <si>
    <t xml:space="preserve">duració superior a </t>
  </si>
  <si>
    <t>Duració mitjana d'aquests components</t>
  </si>
  <si>
    <t>Trobar l'esperança</t>
  </si>
  <si>
    <t>7. Freq que correspon al perc</t>
  </si>
  <si>
    <t>Com que no tenim funcio haurem d'utilizar la taula 1</t>
  </si>
  <si>
    <t xml:space="preserve">o bé R amb </t>
  </si>
  <si>
    <t xml:space="preserve">          qnorm(</t>
  </si>
  <si>
    <t>Esp --------&gt;</t>
  </si>
  <si>
    <t>mostradors</t>
  </si>
  <si>
    <t>Desv --------&gt;</t>
  </si>
  <si>
    <t>5. Si considerem</t>
  </si>
  <si>
    <t>amb una probabilitat de</t>
  </si>
  <si>
    <t xml:space="preserve">d'observar </t>
  </si>
  <si>
    <t>arribades en un minut</t>
  </si>
  <si>
    <t>Indica la E(x) i V(x) de la var. Nº de pts. de fact. amb ….</t>
  </si>
  <si>
    <t>Desv -------&gt;</t>
  </si>
  <si>
    <t>6. Repeteix la pregunta per al model de poison</t>
  </si>
  <si>
    <t>Binomial</t>
  </si>
  <si>
    <t>5. % que la freq. d'un cpu &lt;</t>
  </si>
  <si>
    <t>6. Prob que freq. sigui major q</t>
  </si>
  <si>
    <t xml:space="preserve">            E(x) = </t>
  </si>
  <si>
    <t>Desviació =</t>
  </si>
  <si>
    <t>minuts</t>
  </si>
  <si>
    <t>h</t>
  </si>
  <si>
    <t>min</t>
  </si>
  <si>
    <t xml:space="preserve">1. Probabilitat que una avaria necessiti menys de </t>
  </si>
  <si>
    <t xml:space="preserve">2. Quants mins podem assegurar amb un </t>
  </si>
  <si>
    <t>que una avaria no necesseitarà més temp de reparació?</t>
  </si>
  <si>
    <t>Necessitarem R o taules ---------&gt; qnorm(</t>
  </si>
  <si>
    <r>
      <t xml:space="preserve">3. Paràmetres de la distr. de la prob. del </t>
    </r>
    <r>
      <rPr>
        <u/>
        <sz val="11"/>
        <color theme="1"/>
        <rFont val="Calibri"/>
        <family val="2"/>
        <scheme val="minor"/>
      </rPr>
      <t>temps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 xml:space="preserve"> emprat</t>
    </r>
  </si>
  <si>
    <t>per reparar</t>
  </si>
  <si>
    <r>
      <t xml:space="preserve">avaries (en </t>
    </r>
    <r>
      <rPr>
        <sz val="11"/>
        <color rgb="FFFF0000"/>
        <rFont val="Calibri"/>
        <family val="2"/>
        <scheme val="minor"/>
      </rPr>
      <t>hores</t>
    </r>
    <r>
      <rPr>
        <sz val="11"/>
        <color theme="1"/>
        <rFont val="Calibri"/>
        <family val="2"/>
        <scheme val="minor"/>
      </rPr>
      <t>)</t>
    </r>
  </si>
  <si>
    <r>
      <rPr>
        <sz val="10"/>
        <color rgb="FF000000"/>
        <rFont val="Verdana"/>
        <family val="2"/>
      </rPr>
      <t>σ</t>
    </r>
    <r>
      <rPr>
        <sz val="7"/>
        <color rgb="FF000000"/>
        <rFont val="Verdana"/>
        <family val="2"/>
      </rPr>
      <t xml:space="preserve"> -------------&gt;</t>
    </r>
  </si>
  <si>
    <r>
      <rPr>
        <sz val="10"/>
        <color rgb="FF000000"/>
        <rFont val="Verdana"/>
        <family val="2"/>
      </rPr>
      <t>µ</t>
    </r>
    <r>
      <rPr>
        <sz val="7"/>
        <color rgb="FF000000"/>
        <rFont val="Verdana"/>
        <family val="2"/>
      </rPr>
      <t xml:space="preserve"> -------------&gt;</t>
    </r>
  </si>
  <si>
    <t xml:space="preserve">4. Considerem un grup de </t>
  </si>
  <si>
    <t>148,…</t>
  </si>
  <si>
    <t>avaries</t>
  </si>
  <si>
    <t>independents entre si, prob que el temps de mitjà</t>
  </si>
  <si>
    <t xml:space="preserve">de reparació sigui major a </t>
  </si>
  <si>
    <t>5. Fes una estimació visual de μ i σ</t>
  </si>
  <si>
    <t> μ serà on indiqui la línia</t>
  </si>
  <si>
    <t>σ és on es dona el punt d'inflexio (diferència amb μ)</t>
  </si>
  <si>
    <t>Duració mitja</t>
  </si>
  <si>
    <t>Coleccions de</t>
  </si>
  <si>
    <t>videos</t>
  </si>
  <si>
    <t>Valor variança</t>
  </si>
  <si>
    <t>a =</t>
  </si>
  <si>
    <t xml:space="preserve"> </t>
  </si>
  <si>
    <t>b =</t>
  </si>
  <si>
    <r>
      <t xml:space="preserve">1. Distr. </t>
    </r>
    <r>
      <rPr>
        <b/>
        <sz val="11"/>
        <color theme="1"/>
        <rFont val="Calibri"/>
        <family val="2"/>
        <scheme val="minor"/>
      </rPr>
      <t>Uniforme</t>
    </r>
    <r>
      <rPr>
        <sz val="11"/>
        <color theme="1"/>
        <rFont val="Calibri"/>
        <family val="2"/>
        <scheme val="minor"/>
      </rPr>
      <t xml:space="preserve"> extrem inferior =</t>
    </r>
  </si>
  <si>
    <t xml:space="preserve"> ---------------&gt;</t>
  </si>
  <si>
    <t>3. Prob que el temps d'una recepta superi</t>
  </si>
  <si>
    <t>4. Cada coleccio es grava en un DVD de cap.</t>
  </si>
  <si>
    <t>GB</t>
  </si>
  <si>
    <t>1 minut de gravació ocupa</t>
  </si>
  <si>
    <t>MB</t>
  </si>
  <si>
    <t>Prob que no pugui gravar la coleccio en un DVD</t>
  </si>
  <si>
    <t>a mod =</t>
  </si>
  <si>
    <t>b mod =</t>
  </si>
  <si>
    <t xml:space="preserve"> E(x) mod ----&gt;</t>
  </si>
  <si>
    <t>mb</t>
  </si>
  <si>
    <t xml:space="preserve">5. Tamany màxim amb prob </t>
  </si>
  <si>
    <t>que</t>
  </si>
  <si>
    <t>pot arribar a tenir una colecció</t>
  </si>
  <si>
    <t>Resolem la Fx</t>
  </si>
  <si>
    <t>per el nostre var.</t>
  </si>
  <si>
    <t>Hem d'aproximar a les unitats</t>
  </si>
  <si>
    <t>6. Nº de videos d'una colecció per estar un</t>
  </si>
  <si>
    <t>que hi cabrà en un DVD</t>
  </si>
  <si>
    <t>2. Prob que un video duri</t>
  </si>
  <si>
    <t>Menys de</t>
  </si>
  <si>
    <t xml:space="preserve">Més de </t>
  </si>
  <si>
    <t>Nou model de</t>
  </si>
  <si>
    <t>Model anterior</t>
  </si>
  <si>
    <t>prob 0 errors durant 1 any</t>
  </si>
  <si>
    <t>1. Toca resoldre Poisson per k = 0 amb la prob que ens han donat</t>
  </si>
  <si>
    <t xml:space="preserve">             E(x) =</t>
  </si>
  <si>
    <t xml:space="preserve"> Desviació =</t>
  </si>
  <si>
    <t>normal</t>
  </si>
  <si>
    <t xml:space="preserve">k </t>
  </si>
  <si>
    <t xml:space="preserve">2. Nº esperat de defectes en </t>
  </si>
  <si>
    <t xml:space="preserve">anys </t>
  </si>
  <si>
    <t>anys i</t>
  </si>
  <si>
    <t>3. Error del</t>
  </si>
  <si>
    <t xml:space="preserve">en </t>
  </si>
  <si>
    <t xml:space="preserve">anys i </t>
  </si>
  <si>
    <t>qnorm(</t>
  </si>
  <si>
    <t>Oju: arrodoniment per accés</t>
  </si>
  <si>
    <t>4. Calcula n perquè com a màxim s'hagi de substituir un</t>
  </si>
  <si>
    <t xml:space="preserve">dels discos en </t>
  </si>
  <si>
    <t>anys</t>
  </si>
  <si>
    <t>5. En comptes de … s'ofereix una garantia</t>
  </si>
  <si>
    <t>un disc està avariat si li fallen com a mínim</t>
  </si>
  <si>
    <t>sectors</t>
  </si>
  <si>
    <t>1 - pnorm(</t>
  </si>
  <si>
    <t>6. Cost de substitucions, si la garantia es</t>
  </si>
  <si>
    <t xml:space="preserve">anys, n = </t>
  </si>
  <si>
    <t>i el cost d'un dis és</t>
  </si>
  <si>
    <t>(1 - pnorm(</t>
  </si>
  <si>
    <t>)) *</t>
  </si>
  <si>
    <t>Notice the</t>
  </si>
  <si>
    <t>higher point</t>
  </si>
  <si>
    <t>and compare</t>
  </si>
  <si>
    <t>with e-status</t>
  </si>
  <si>
    <r>
      <t xml:space="preserve">Suposem que és </t>
    </r>
    <r>
      <rPr>
        <b/>
        <sz val="11"/>
        <color theme="1"/>
        <rFont val="Calibri"/>
        <family val="2"/>
        <scheme val="minor"/>
      </rPr>
      <t>exponencial</t>
    </r>
  </si>
  <si>
    <t>Esperança =</t>
  </si>
  <si>
    <t xml:space="preserve">Variança = </t>
  </si>
  <si>
    <t>Més de</t>
  </si>
  <si>
    <t>Hauras de fer un pnorm() amb R :)</t>
  </si>
  <si>
    <t>De nou més pnorm amb R 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</si>
</sst>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E+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7"/>
      <color rgb="FF000000"/>
      <name val="Verdana"/>
      <family val="2"/>
    </font>
    <font>
      <sz val="10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8" borderId="0" xfId="0" applyFont="1" applyFill="1"/>
    <xf numFmtId="0" fontId="3" fillId="7" borderId="0" xfId="0" applyFont="1" applyFill="1"/>
    <xf numFmtId="165" fontId="0" fillId="0" borderId="0" xfId="0" applyNumberFormat="1"/>
    <xf numFmtId="2" fontId="1" fillId="0" borderId="0" xfId="0" applyNumberFormat="1" applyFont="1"/>
    <xf numFmtId="0" fontId="4" fillId="0" borderId="0" xfId="0" applyFont="1"/>
    <xf numFmtId="0" fontId="1" fillId="0" borderId="0" xfId="0" quotePrefix="1" applyFont="1"/>
    <xf numFmtId="0" fontId="3" fillId="0" borderId="0" xfId="0" applyFont="1"/>
    <xf numFmtId="0" fontId="0" fillId="9" borderId="0" xfId="0" applyFill="1"/>
    <xf numFmtId="0" fontId="5" fillId="0" borderId="0" xfId="0" applyFont="1"/>
    <xf numFmtId="0" fontId="7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'Made in Taiwan'!$C$4</c:f>
              <c:strCache>
                <c:ptCount val="1"/>
                <c:pt idx="0">
                  <c:v>Exp(x)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'Made in Taiwan'!$B$5:$B$64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'Made in Taiwan'!$C$5:$C$64</c:f>
              <c:numCache>
                <c:formatCode>0.00000E+00</c:formatCode>
                <c:ptCount val="60"/>
                <c:pt idx="0">
                  <c:v>7.6670367885776941E-2</c:v>
                </c:pt>
                <c:pt idx="1">
                  <c:v>7.0540143740884506E-2</c:v>
                </c:pt>
                <c:pt idx="2">
                  <c:v>6.4900065255950407E-2</c:v>
                </c:pt>
                <c:pt idx="3">
                  <c:v>5.9710942547815768E-2</c:v>
                </c:pt>
                <c:pt idx="4">
                  <c:v>5.4936719183370314E-2</c:v>
                </c:pt>
                <c:pt idx="5">
                  <c:v>5.0544221642719447E-2</c:v>
                </c:pt>
                <c:pt idx="6">
                  <c:v>4.6502928814170591E-2</c:v>
                </c:pt>
                <c:pt idx="7">
                  <c:v>4.2784759919382666E-2</c:v>
                </c:pt>
                <c:pt idx="8">
                  <c:v>3.9363879395084553E-2</c:v>
                </c:pt>
                <c:pt idx="9">
                  <c:v>3.6216517375589855E-2</c:v>
                </c:pt>
                <c:pt idx="10">
                  <c:v>3.3320804528737279E-2</c:v>
                </c:pt>
                <c:pt idx="11">
                  <c:v>3.0656620097620192E-2</c:v>
                </c:pt>
                <c:pt idx="12">
                  <c:v>2.8205452092228515E-2</c:v>
                </c:pt>
                <c:pt idx="13">
                  <c:v>2.5950268659549809E-2</c:v>
                </c:pt>
                <c:pt idx="14">
                  <c:v>2.3875399738349172E-2</c:v>
                </c:pt>
                <c:pt idx="15">
                  <c:v>2.1966428176310563E-2</c:v>
                </c:pt>
                <c:pt idx="16">
                  <c:v>2.0210089552970725E-2</c:v>
                </c:pt>
                <c:pt idx="17">
                  <c:v>1.8594180012369149E-2</c:v>
                </c:pt>
                <c:pt idx="18">
                  <c:v>1.7107471464992439E-2</c:v>
                </c:pt>
                <c:pt idx="19">
                  <c:v>1.573963356979682E-2</c:v>
                </c:pt>
                <c:pt idx="20">
                  <c:v>1.448116195420376E-2</c:v>
                </c:pt>
                <c:pt idx="21">
                  <c:v>1.3323312173307825E-2</c:v>
                </c:pt>
                <c:pt idx="22">
                  <c:v>1.2258038949414737E-2</c:v>
                </c:pt>
                <c:pt idx="23">
                  <c:v>1.1277940269717724E-2</c:v>
                </c:pt>
                <c:pt idx="24">
                  <c:v>1.0376205953676918E-2</c:v>
                </c:pt>
                <c:pt idx="25">
                  <c:v>9.5465703327239776E-3</c:v>
                </c:pt>
                <c:pt idx="26">
                  <c:v>8.7832687134886938E-3</c:v>
                </c:pt>
                <c:pt idx="27">
                  <c:v>8.0809973220337568E-3</c:v>
                </c:pt>
                <c:pt idx="28">
                  <c:v>7.4348764507716752E-3</c:v>
                </c:pt>
                <c:pt idx="29">
                  <c:v>6.8404165519915664E-3</c:v>
                </c:pt>
                <c:pt idx="30">
                  <c:v>6.2934870423978157E-3</c:v>
                </c:pt>
                <c:pt idx="31">
                  <c:v>5.7902876019001286E-3</c:v>
                </c:pt>
                <c:pt idx="32">
                  <c:v>5.3273217672256306E-3</c:v>
                </c:pt>
                <c:pt idx="33">
                  <c:v>4.9013726368691592E-3</c:v>
                </c:pt>
                <c:pt idx="34">
                  <c:v>4.5094805185684674E-3</c:v>
                </c:pt>
                <c:pt idx="35">
                  <c:v>4.1489223639886615E-3</c:v>
                </c:pt>
                <c:pt idx="36">
                  <c:v>3.8171928477184576E-3</c:v>
                </c:pt>
                <c:pt idx="37">
                  <c:v>3.5119869591063672E-3</c:v>
                </c:pt>
                <c:pt idx="38">
                  <c:v>3.2311839859768339E-3</c:v>
                </c:pt>
                <c:pt idx="39">
                  <c:v>2.9728327789377007E-3</c:v>
                </c:pt>
                <c:pt idx="40">
                  <c:v>2.7351381938886003E-3</c:v>
                </c:pt>
                <c:pt idx="41">
                  <c:v>2.5164486185265417E-3</c:v>
                </c:pt>
                <c:pt idx="42">
                  <c:v>2.3152444961770215E-3</c:v>
                </c:pt>
                <c:pt idx="43">
                  <c:v>2.1301277672089499E-3</c:v>
                </c:pt>
                <c:pt idx="44">
                  <c:v>1.9598121546674256E-3</c:v>
                </c:pt>
                <c:pt idx="45">
                  <c:v>1.8031142266244249E-3</c:v>
                </c:pt>
                <c:pt idx="46">
                  <c:v>1.6589451731444738E-3</c:v>
                </c:pt>
                <c:pt idx="47">
                  <c:v>1.5263032407278482E-3</c:v>
                </c:pt>
                <c:pt idx="48">
                  <c:v>1.4042667716622926E-3</c:v>
                </c:pt>
                <c:pt idx="49">
                  <c:v>1.291987799917444E-3</c:v>
                </c:pt>
                <c:pt idx="50">
                  <c:v>1.1886861590832713E-3</c:v>
                </c:pt>
                <c:pt idx="51">
                  <c:v>1.0936440614117472E-3</c:v>
                </c:pt>
                <c:pt idx="52">
                  <c:v>1.0062011102944068E-3</c:v>
                </c:pt>
                <c:pt idx="53">
                  <c:v>9.2574971152019217E-4</c:v>
                </c:pt>
                <c:pt idx="54">
                  <c:v>8.5173085142886034E-4</c:v>
                </c:pt>
                <c:pt idx="55">
                  <c:v>7.8363021262460109E-4</c:v>
                </c:pt>
                <c:pt idx="56">
                  <c:v>7.209746002600528E-4</c:v>
                </c:pt>
                <c:pt idx="57">
                  <c:v>6.6332865405887079E-4</c:v>
                </c:pt>
                <c:pt idx="58">
                  <c:v>6.1029182323045082E-4</c:v>
                </c:pt>
                <c:pt idx="59">
                  <c:v>5.6149558325712225E-4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F-4706-9D05-919FB29B1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607840"/>
        <c:axId val="1958608672"/>
      </c:areaChart>
      <c:catAx>
        <c:axId val="195860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58608672"/>
        <c:crosses val="autoZero"/>
        <c:auto val="1"/>
        <c:lblAlgn val="ctr"/>
        <c:lblOffset val="100"/>
        <c:noMultiLvlLbl val="0"/>
      </c:catAx>
      <c:valAx>
        <c:axId val="19586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5860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'Made in Taiwan'!$F$4</c:f>
              <c:strCache>
                <c:ptCount val="1"/>
                <c:pt idx="0">
                  <c:v>Norm(x, signma)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'Made in Taiwan'!$E$5:$E$64</c:f>
              <c:numCache>
                <c:formatCode>0.0000</c:formatCode>
                <c:ptCount val="60"/>
                <c:pt idx="0">
                  <c:v>2.15</c:v>
                </c:pt>
                <c:pt idx="1">
                  <c:v>2.156779661016949</c:v>
                </c:pt>
                <c:pt idx="2">
                  <c:v>2.163559322033898</c:v>
                </c:pt>
                <c:pt idx="3">
                  <c:v>2.170338983050847</c:v>
                </c:pt>
                <c:pt idx="4">
                  <c:v>2.1771186440677961</c:v>
                </c:pt>
                <c:pt idx="5">
                  <c:v>2.1838983050847451</c:v>
                </c:pt>
                <c:pt idx="6">
                  <c:v>2.1906779661016942</c:v>
                </c:pt>
                <c:pt idx="7">
                  <c:v>2.1974576271186432</c:v>
                </c:pt>
                <c:pt idx="8">
                  <c:v>2.2042372881355923</c:v>
                </c:pt>
                <c:pt idx="9">
                  <c:v>2.2110169491525413</c:v>
                </c:pt>
                <c:pt idx="10">
                  <c:v>2.2177966101694904</c:v>
                </c:pt>
                <c:pt idx="11">
                  <c:v>2.2245762711864394</c:v>
                </c:pt>
                <c:pt idx="12">
                  <c:v>2.2313559322033885</c:v>
                </c:pt>
                <c:pt idx="13">
                  <c:v>2.2381355932203375</c:v>
                </c:pt>
                <c:pt idx="14">
                  <c:v>2.2449152542372866</c:v>
                </c:pt>
                <c:pt idx="15">
                  <c:v>2.2516949152542356</c:v>
                </c:pt>
                <c:pt idx="16">
                  <c:v>2.2584745762711846</c:v>
                </c:pt>
                <c:pt idx="17">
                  <c:v>2.2652542372881337</c:v>
                </c:pt>
                <c:pt idx="18">
                  <c:v>2.2720338983050827</c:v>
                </c:pt>
                <c:pt idx="19">
                  <c:v>2.2788135593220318</c:v>
                </c:pt>
                <c:pt idx="20">
                  <c:v>2.2855932203389808</c:v>
                </c:pt>
                <c:pt idx="21">
                  <c:v>2.2923728813559299</c:v>
                </c:pt>
                <c:pt idx="22">
                  <c:v>2.2991525423728789</c:v>
                </c:pt>
                <c:pt idx="23">
                  <c:v>2.305932203389828</c:v>
                </c:pt>
                <c:pt idx="24">
                  <c:v>2.312711864406777</c:v>
                </c:pt>
                <c:pt idx="25">
                  <c:v>2.3194915254237261</c:v>
                </c:pt>
                <c:pt idx="26">
                  <c:v>2.3262711864406751</c:v>
                </c:pt>
                <c:pt idx="27">
                  <c:v>2.3330508474576241</c:v>
                </c:pt>
                <c:pt idx="28">
                  <c:v>2.3398305084745732</c:v>
                </c:pt>
                <c:pt idx="29">
                  <c:v>2.3466101694915222</c:v>
                </c:pt>
                <c:pt idx="30">
                  <c:v>2.3533898305084713</c:v>
                </c:pt>
                <c:pt idx="31">
                  <c:v>2.3601694915254203</c:v>
                </c:pt>
                <c:pt idx="32">
                  <c:v>2.3669491525423694</c:v>
                </c:pt>
                <c:pt idx="33">
                  <c:v>2.3737288135593184</c:v>
                </c:pt>
                <c:pt idx="34">
                  <c:v>2.3805084745762675</c:v>
                </c:pt>
                <c:pt idx="35">
                  <c:v>2.3872881355932165</c:v>
                </c:pt>
                <c:pt idx="36">
                  <c:v>2.3940677966101656</c:v>
                </c:pt>
                <c:pt idx="37">
                  <c:v>2.4008474576271146</c:v>
                </c:pt>
                <c:pt idx="38">
                  <c:v>2.4076271186440636</c:v>
                </c:pt>
                <c:pt idx="39">
                  <c:v>2.4144067796610127</c:v>
                </c:pt>
                <c:pt idx="40">
                  <c:v>2.4211864406779617</c:v>
                </c:pt>
                <c:pt idx="41">
                  <c:v>2.4279661016949108</c:v>
                </c:pt>
                <c:pt idx="42">
                  <c:v>2.4347457627118598</c:v>
                </c:pt>
                <c:pt idx="43">
                  <c:v>2.4415254237288089</c:v>
                </c:pt>
                <c:pt idx="44">
                  <c:v>2.4483050847457579</c:v>
                </c:pt>
                <c:pt idx="45">
                  <c:v>2.455084745762707</c:v>
                </c:pt>
                <c:pt idx="46">
                  <c:v>2.461864406779656</c:v>
                </c:pt>
                <c:pt idx="47">
                  <c:v>2.4686440677966051</c:v>
                </c:pt>
                <c:pt idx="48">
                  <c:v>2.4754237288135541</c:v>
                </c:pt>
                <c:pt idx="49">
                  <c:v>2.4822033898305031</c:v>
                </c:pt>
                <c:pt idx="50">
                  <c:v>2.4889830508474522</c:v>
                </c:pt>
                <c:pt idx="51">
                  <c:v>2.4957627118644012</c:v>
                </c:pt>
                <c:pt idx="52">
                  <c:v>2.5025423728813503</c:v>
                </c:pt>
                <c:pt idx="53">
                  <c:v>2.5093220338982993</c:v>
                </c:pt>
                <c:pt idx="54">
                  <c:v>2.5161016949152484</c:v>
                </c:pt>
                <c:pt idx="55">
                  <c:v>2.5228813559321974</c:v>
                </c:pt>
                <c:pt idx="56">
                  <c:v>2.5296610169491465</c:v>
                </c:pt>
                <c:pt idx="57">
                  <c:v>2.5364406779660955</c:v>
                </c:pt>
                <c:pt idx="58">
                  <c:v>2.5432203389830446</c:v>
                </c:pt>
                <c:pt idx="59">
                  <c:v>2.5499999999999936</c:v>
                </c:pt>
              </c:numCache>
            </c:numRef>
          </c:cat>
          <c:val>
            <c:numRef>
              <c:f>'Made in Taiwan'!$F$5:$F$64</c:f>
              <c:numCache>
                <c:formatCode>General</c:formatCode>
                <c:ptCount val="60"/>
                <c:pt idx="0">
                  <c:v>6.1285854331612814E-2</c:v>
                </c:pt>
                <c:pt idx="1">
                  <c:v>8.322537906946624E-2</c:v>
                </c:pt>
                <c:pt idx="2">
                  <c:v>0.1118326753430719</c:v>
                </c:pt>
                <c:pt idx="3">
                  <c:v>0.14869591661906995</c:v>
                </c:pt>
                <c:pt idx="4">
                  <c:v>0.19563509498239126</c:v>
                </c:pt>
                <c:pt idx="5">
                  <c:v>0.25468999443900492</c:v>
                </c:pt>
                <c:pt idx="6">
                  <c:v>0.3280910607030611</c:v>
                </c:pt>
                <c:pt idx="7">
                  <c:v>0.41820989725790586</c:v>
                </c:pt>
                <c:pt idx="8">
                  <c:v>0.52748681764023986</c:v>
                </c:pt>
                <c:pt idx="9">
                  <c:v>0.65833403808258428</c:v>
                </c:pt>
                <c:pt idx="10">
                  <c:v>0.81301471271875647</c:v>
                </c:pt>
                <c:pt idx="11">
                  <c:v>0.9935000535523697</c:v>
                </c:pt>
                <c:pt idx="12">
                  <c:v>1.2013091365229913</c:v>
                </c:pt>
                <c:pt idx="13">
                  <c:v>1.437338506721112</c:v>
                </c:pt>
                <c:pt idx="14">
                  <c:v>1.7016911349531585</c:v>
                </c:pt>
                <c:pt idx="15">
                  <c:v>1.9935163752673875</c:v>
                </c:pt>
                <c:pt idx="16">
                  <c:v>2.3108740395346712</c:v>
                </c:pt>
                <c:pt idx="17">
                  <c:v>2.6506362635620828</c:v>
                </c:pt>
                <c:pt idx="18">
                  <c:v>3.0084402613513892</c:v>
                </c:pt>
                <c:pt idx="19">
                  <c:v>3.3787032084231421</c:v>
                </c:pt>
                <c:pt idx="20">
                  <c:v>3.7547073393149519</c:v>
                </c:pt>
                <c:pt idx="21">
                  <c:v>4.1287590076702081</c:v>
                </c:pt>
                <c:pt idx="22">
                  <c:v>4.4924202074130255</c:v>
                </c:pt>
                <c:pt idx="23">
                  <c:v>4.8368052946047095</c:v>
                </c:pt>
                <c:pt idx="24">
                  <c:v>5.1529298911185677</c:v>
                </c:pt>
                <c:pt idx="25">
                  <c:v>5.4320937587965217</c:v>
                </c:pt>
                <c:pt idx="26">
                  <c:v>5.6662753661462819</c:v>
                </c:pt>
                <c:pt idx="27">
                  <c:v>5.8485134159937138</c:v>
                </c:pt>
                <c:pt idx="28">
                  <c:v>5.9732501125460429</c:v>
                </c:pt>
                <c:pt idx="29">
                  <c:v>6.0366125835359892</c:v>
                </c:pt>
                <c:pt idx="30">
                  <c:v>6.0366125835360203</c:v>
                </c:pt>
                <c:pt idx="31">
                  <c:v>5.9732501125461361</c:v>
                </c:pt>
                <c:pt idx="32">
                  <c:v>5.8485134159938656</c:v>
                </c:pt>
                <c:pt idx="33">
                  <c:v>5.666275366146488</c:v>
                </c:pt>
                <c:pt idx="34">
                  <c:v>5.4320937587967748</c:v>
                </c:pt>
                <c:pt idx="35">
                  <c:v>5.1529298911188617</c:v>
                </c:pt>
                <c:pt idx="36">
                  <c:v>4.8368052946050355</c:v>
                </c:pt>
                <c:pt idx="37">
                  <c:v>4.4924202074133754</c:v>
                </c:pt>
                <c:pt idx="38">
                  <c:v>4.1287590076705722</c:v>
                </c:pt>
                <c:pt idx="39">
                  <c:v>3.754707339315321</c:v>
                </c:pt>
                <c:pt idx="40">
                  <c:v>3.3787032084235098</c:v>
                </c:pt>
                <c:pt idx="41">
                  <c:v>3.0084402613517471</c:v>
                </c:pt>
                <c:pt idx="42">
                  <c:v>2.6506362635624261</c:v>
                </c:pt>
                <c:pt idx="43">
                  <c:v>2.3108740395349949</c:v>
                </c:pt>
                <c:pt idx="44">
                  <c:v>1.9935163752676881</c:v>
                </c:pt>
                <c:pt idx="45">
                  <c:v>1.7016911349534318</c:v>
                </c:pt>
                <c:pt idx="46">
                  <c:v>1.4373385067213578</c:v>
                </c:pt>
                <c:pt idx="47">
                  <c:v>1.2013091365232091</c:v>
                </c:pt>
                <c:pt idx="48">
                  <c:v>0.99350005355255977</c:v>
                </c:pt>
                <c:pt idx="49">
                  <c:v>0.81301471271892034</c:v>
                </c:pt>
                <c:pt idx="50">
                  <c:v>0.65833403808272462</c:v>
                </c:pt>
                <c:pt idx="51">
                  <c:v>0.52748681764035721</c:v>
                </c:pt>
                <c:pt idx="52">
                  <c:v>0.41820989725800323</c:v>
                </c:pt>
                <c:pt idx="53">
                  <c:v>0.32809106070314098</c:v>
                </c:pt>
                <c:pt idx="54">
                  <c:v>0.25468999443906953</c:v>
                </c:pt>
                <c:pt idx="55">
                  <c:v>0.19563509498244316</c:v>
                </c:pt>
                <c:pt idx="56">
                  <c:v>0.14869591661911075</c:v>
                </c:pt>
                <c:pt idx="57">
                  <c:v>0.11183267534310387</c:v>
                </c:pt>
                <c:pt idx="58">
                  <c:v>8.3225379069490762E-2</c:v>
                </c:pt>
                <c:pt idx="59">
                  <c:v>6.1285854331631535E-2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1-4086-84AD-AE8A7F6CE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608256"/>
        <c:axId val="1958609504"/>
      </c:areaChart>
      <c:catAx>
        <c:axId val="1958608256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58609504"/>
        <c:crosses val="autoZero"/>
        <c:auto val="1"/>
        <c:lblAlgn val="ctr"/>
        <c:lblOffset val="100"/>
        <c:noMultiLvlLbl val="0"/>
      </c:catAx>
      <c:valAx>
        <c:axId val="195860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5860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'Un de cada milió de sectors'!$K$3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'Un de cada milió de sectors'!$J$4:$J$49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'Un de cada milió de sectors'!$K$4:$K$49</c:f>
              <c:numCache>
                <c:formatCode>General</c:formatCode>
                <c:ptCount val="46"/>
                <c:pt idx="0">
                  <c:v>1.6292167077646481E-7</c:v>
                </c:pt>
                <c:pt idx="1">
                  <c:v>4.3448216595716796E-7</c:v>
                </c:pt>
                <c:pt idx="2">
                  <c:v>1.1152244697252653E-6</c:v>
                </c:pt>
                <c:pt idx="3">
                  <c:v>2.7551792598937186E-6</c:v>
                </c:pt>
                <c:pt idx="4">
                  <c:v>6.5514083010815744E-6</c:v>
                </c:pt>
                <c:pt idx="5">
                  <c:v>1.4993972439752273E-5</c:v>
                </c:pt>
                <c:pt idx="6">
                  <c:v>3.3029042612066807E-5</c:v>
                </c:pt>
                <c:pt idx="7">
                  <c:v>7.0028124931065955E-5</c:v>
                </c:pt>
                <c:pt idx="8">
                  <c:v>1.4290461225495543E-4</c:v>
                </c:pt>
                <c:pt idx="9">
                  <c:v>2.8068372366277239E-4</c:v>
                </c:pt>
                <c:pt idx="10">
                  <c:v>5.3062223974239132E-4</c:v>
                </c:pt>
                <c:pt idx="11">
                  <c:v>9.6549694273860912E-4</c:v>
                </c:pt>
                <c:pt idx="12">
                  <c:v>1.6908831366405075E-3</c:v>
                </c:pt>
                <c:pt idx="13">
                  <c:v>2.8501880727941822E-3</c:v>
                </c:pt>
                <c:pt idx="14">
                  <c:v>4.6241368593143003E-3</c:v>
                </c:pt>
                <c:pt idx="15">
                  <c:v>7.2207960021731191E-3</c:v>
                </c:pt>
                <c:pt idx="16">
                  <c:v>1.0852672752232848E-2</c:v>
                </c:pt>
                <c:pt idx="17">
                  <c:v>1.5699491103072772E-2</c:v>
                </c:pt>
                <c:pt idx="18">
                  <c:v>2.1859069853568596E-2</c:v>
                </c:pt>
                <c:pt idx="19">
                  <c:v>2.9293753064001456E-2</c:v>
                </c:pt>
                <c:pt idx="20">
                  <c:v>3.778466622142896E-2</c:v>
                </c:pt>
                <c:pt idx="21">
                  <c:v>4.6908700231689408E-2</c:v>
                </c:pt>
                <c:pt idx="22">
                  <c:v>5.6051655523264389E-2</c:v>
                </c:pt>
                <c:pt idx="23">
                  <c:v>6.4464515744486792E-2</c:v>
                </c:pt>
                <c:pt idx="24">
                  <c:v>7.1359244006807307E-2</c:v>
                </c:pt>
                <c:pt idx="25">
                  <c:v>7.6028599695716695E-2</c:v>
                </c:pt>
                <c:pt idx="26">
                  <c:v>7.7965232516604061E-2</c:v>
                </c:pt>
                <c:pt idx="27">
                  <c:v>7.6952405576186475E-2</c:v>
                </c:pt>
                <c:pt idx="28">
                  <c:v>7.3103918813730961E-2</c:v>
                </c:pt>
                <c:pt idx="29">
                  <c:v>6.6843064375141356E-2</c:v>
                </c:pt>
                <c:pt idx="30">
                  <c:v>5.8825994812951914E-2</c:v>
                </c:pt>
                <c:pt idx="31">
                  <c:v>4.9828687109605814E-2</c:v>
                </c:pt>
                <c:pt idx="32">
                  <c:v>4.0624389188254686E-2</c:v>
                </c:pt>
                <c:pt idx="33">
                  <c:v>3.1878030316369661E-2</c:v>
                </c:pt>
                <c:pt idx="34">
                  <c:v>2.4076499786478925E-2</c:v>
                </c:pt>
                <c:pt idx="35">
                  <c:v>1.7502192495816898E-2</c:v>
                </c:pt>
                <c:pt idx="36">
                  <c:v>1.2245846115428352E-2</c:v>
                </c:pt>
                <c:pt idx="37">
                  <c:v>8.2467413719613265E-3</c:v>
                </c:pt>
                <c:pt idx="38">
                  <c:v>5.345313572471636E-3</c:v>
                </c:pt>
                <c:pt idx="39">
                  <c:v>3.3347342910500072E-3</c:v>
                </c:pt>
                <c:pt idx="40">
                  <c:v>2.0023800926728687E-3</c:v>
                </c:pt>
                <c:pt idx="41">
                  <c:v>1.1572549256773982E-3</c:v>
                </c:pt>
                <c:pt idx="42">
                  <c:v>6.4373747541489616E-4</c:v>
                </c:pt>
                <c:pt idx="43">
                  <c:v>3.4465595166442627E-4</c:v>
                </c:pt>
                <c:pt idx="44">
                  <c:v>1.7760697112315663E-4</c:v>
                </c:pt>
                <c:pt idx="45">
                  <c:v>8.809098556650874E-5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3-4DD1-AD79-3117DD230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106479"/>
        <c:axId val="1740107727"/>
      </c:areaChart>
      <c:catAx>
        <c:axId val="1740106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740107727"/>
        <c:crosses val="autoZero"/>
        <c:auto val="1"/>
        <c:lblAlgn val="ctr"/>
        <c:lblOffset val="100"/>
        <c:noMultiLvlLbl val="0"/>
      </c:catAx>
      <c:valAx>
        <c:axId val="17401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74010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236220</xdr:colOff>
      <xdr:row>0</xdr:row>
      <xdr:rowOff>163830</xdr:rowOff>
    </xdr:from>
    <xdr:to>
      <xdr:col>15</xdr:col>
      <xdr:colOff>426720</xdr:colOff>
      <xdr:row>15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120BD2-0AB8-4D7E-8816-C778FA9DF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17</xdr:row>
      <xdr:rowOff>34290</xdr:rowOff>
    </xdr:from>
    <xdr:to>
      <xdr:col>15</xdr:col>
      <xdr:colOff>502920</xdr:colOff>
      <xdr:row>31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EE04665-5F3D-46A4-BFB5-B92340787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612457</xdr:colOff>
      <xdr:row>6</xdr:row>
      <xdr:rowOff>149542</xdr:rowOff>
    </xdr:from>
    <xdr:to>
      <xdr:col>7</xdr:col>
      <xdr:colOff>678180</xdr:colOff>
      <xdr:row>17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2FA05D-E58B-4DEC-8983-6F6701B3B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90407-8108-45FD-9A07-D28343355440}">
  <dimension ref="B3:J30"/>
  <sheetViews>
    <sheetView workbookViewId="0">
      <selection activeCell="I23" sqref="I23"/>
    </sheetView>
  </sheetViews>
  <sheetFormatPr baseColWidth="10" defaultRowHeight="14.4" x14ac:dyDescent="0.3"/>
  <cols>
    <col min="6" max="6" width="15.88671875" customWidth="1"/>
    <col min="7" max="7" width="13.6640625" customWidth="1"/>
  </cols>
  <sheetData>
    <row r="3" spans="2:10" x14ac:dyDescent="0.3">
      <c r="B3" t="s">
        <v>1</v>
      </c>
      <c r="C3" t="s">
        <v>2</v>
      </c>
      <c r="D3" t="s">
        <v>3</v>
      </c>
      <c r="F3" t="s">
        <v>0</v>
      </c>
      <c r="I3" s="1">
        <v>6.6</v>
      </c>
    </row>
    <row r="4" spans="2:10" x14ac:dyDescent="0.3">
      <c r="B4">
        <v>0</v>
      </c>
      <c r="C4">
        <f>_xlfn.POISSON.DIST(B4,$I$3,FALSE)</f>
        <v>1.3603680375478939E-3</v>
      </c>
      <c r="D4">
        <f>_xlfn.POISSON.DIST(B4,$I$3,TRUE)</f>
        <v>1.3603680375478939E-3</v>
      </c>
      <c r="F4" t="s">
        <v>4</v>
      </c>
      <c r="G4" s="1">
        <v>0</v>
      </c>
      <c r="H4" t="s">
        <v>5</v>
      </c>
      <c r="I4" s="1">
        <v>7</v>
      </c>
    </row>
    <row r="5" spans="2:10" x14ac:dyDescent="0.3">
      <c r="B5">
        <f>B4+1</f>
        <v>1</v>
      </c>
      <c r="C5">
        <f t="shared" ref="C5:C19" si="0">_xlfn.POISSON.DIST(B5,$I$3,FALSE)</f>
        <v>8.9784290478160996E-3</v>
      </c>
      <c r="D5">
        <f>_xlfn.POISSON.DIST(B5,$I$3,TRUE)</f>
        <v>1.0338797085363992E-2</v>
      </c>
    </row>
    <row r="6" spans="2:10" x14ac:dyDescent="0.3">
      <c r="B6">
        <f t="shared" ref="B6:B19" si="1">B5+1</f>
        <v>2</v>
      </c>
      <c r="C6">
        <f t="shared" si="0"/>
        <v>2.9628815857793134E-2</v>
      </c>
      <c r="D6">
        <f t="shared" ref="D6:D18" si="2">_xlfn.POISSON.DIST(B6,$I$3,TRUE)</f>
        <v>3.9967612943157121E-2</v>
      </c>
      <c r="H6" t="s">
        <v>6</v>
      </c>
      <c r="I6">
        <f>SUM(INDEX(C4:C19,G4+1,1):INDEX(C4:C19,I4+1,1))</f>
        <v>0.65808200540121475</v>
      </c>
    </row>
    <row r="7" spans="2:10" x14ac:dyDescent="0.3">
      <c r="B7">
        <f t="shared" si="1"/>
        <v>3</v>
      </c>
      <c r="C7">
        <f t="shared" si="0"/>
        <v>6.5183394887144863E-2</v>
      </c>
      <c r="D7">
        <f t="shared" si="2"/>
        <v>0.105151007830302</v>
      </c>
    </row>
    <row r="8" spans="2:10" x14ac:dyDescent="0.3">
      <c r="B8">
        <f t="shared" si="1"/>
        <v>4</v>
      </c>
      <c r="C8">
        <f t="shared" si="0"/>
        <v>0.1075526015637891</v>
      </c>
      <c r="D8">
        <f t="shared" si="2"/>
        <v>0.212703609394091</v>
      </c>
      <c r="F8" t="s">
        <v>7</v>
      </c>
      <c r="H8" s="1">
        <v>4</v>
      </c>
    </row>
    <row r="9" spans="2:10" x14ac:dyDescent="0.3">
      <c r="B9">
        <f t="shared" si="1"/>
        <v>5</v>
      </c>
      <c r="C9">
        <f t="shared" si="0"/>
        <v>0.14196943406420154</v>
      </c>
      <c r="D9">
        <f t="shared" si="2"/>
        <v>0.35467304345829248</v>
      </c>
    </row>
    <row r="10" spans="2:10" x14ac:dyDescent="0.3">
      <c r="B10">
        <f t="shared" si="1"/>
        <v>6</v>
      </c>
      <c r="C10">
        <f t="shared" si="0"/>
        <v>0.15616637747062168</v>
      </c>
      <c r="D10">
        <f t="shared" si="2"/>
        <v>0.51083942092891421</v>
      </c>
      <c r="H10" t="s">
        <v>6</v>
      </c>
      <c r="I10">
        <f>_xlfn.POISSON.DIST(H8,I3,FALSE)</f>
        <v>0.1075526015637891</v>
      </c>
    </row>
    <row r="11" spans="2:10" x14ac:dyDescent="0.3">
      <c r="B11">
        <f t="shared" si="1"/>
        <v>7</v>
      </c>
      <c r="C11">
        <f t="shared" si="0"/>
        <v>0.14724258447230043</v>
      </c>
      <c r="D11">
        <f t="shared" si="2"/>
        <v>0.65808200540121442</v>
      </c>
    </row>
    <row r="12" spans="2:10" x14ac:dyDescent="0.3">
      <c r="B12">
        <f t="shared" si="1"/>
        <v>8</v>
      </c>
      <c r="C12">
        <f t="shared" si="0"/>
        <v>0.12147513218964787</v>
      </c>
      <c r="D12">
        <f t="shared" si="2"/>
        <v>0.77955713759086254</v>
      </c>
      <c r="F12" t="s">
        <v>8</v>
      </c>
      <c r="G12" s="1">
        <v>8</v>
      </c>
      <c r="H12" t="s">
        <v>9</v>
      </c>
      <c r="I12" s="1">
        <v>2</v>
      </c>
      <c r="J12" t="s">
        <v>10</v>
      </c>
    </row>
    <row r="13" spans="2:10" x14ac:dyDescent="0.3">
      <c r="B13">
        <f t="shared" si="1"/>
        <v>9</v>
      </c>
      <c r="C13">
        <f t="shared" si="0"/>
        <v>8.9081763605741715E-2</v>
      </c>
      <c r="D13">
        <f t="shared" si="2"/>
        <v>0.86863890119660414</v>
      </c>
    </row>
    <row r="14" spans="2:10" x14ac:dyDescent="0.3">
      <c r="B14">
        <f t="shared" si="1"/>
        <v>10</v>
      </c>
      <c r="C14">
        <f t="shared" si="0"/>
        <v>5.879396397978958E-2</v>
      </c>
      <c r="D14">
        <f t="shared" si="2"/>
        <v>0.92743286517639378</v>
      </c>
      <c r="H14" t="s">
        <v>11</v>
      </c>
      <c r="I14">
        <f>_xlfn.POISSON.DIST(G12,I12*I3,FALSE)</f>
        <v>4.2304227120051795E-2</v>
      </c>
    </row>
    <row r="15" spans="2:10" x14ac:dyDescent="0.3">
      <c r="B15">
        <f t="shared" si="1"/>
        <v>11</v>
      </c>
      <c r="C15">
        <f t="shared" si="0"/>
        <v>3.527637838787373E-2</v>
      </c>
      <c r="D15">
        <f t="shared" si="2"/>
        <v>0.96270924356426746</v>
      </c>
    </row>
    <row r="16" spans="2:10" x14ac:dyDescent="0.3">
      <c r="B16">
        <f t="shared" si="1"/>
        <v>12</v>
      </c>
      <c r="C16">
        <f t="shared" si="0"/>
        <v>1.9402008113330555E-2</v>
      </c>
      <c r="D16">
        <f t="shared" si="2"/>
        <v>0.98211125167759805</v>
      </c>
      <c r="F16" t="s">
        <v>12</v>
      </c>
    </row>
    <row r="17" spans="2:9" x14ac:dyDescent="0.3">
      <c r="B17">
        <f t="shared" si="1"/>
        <v>13</v>
      </c>
      <c r="C17">
        <f t="shared" si="0"/>
        <v>9.8502502729216589E-3</v>
      </c>
      <c r="D17">
        <f t="shared" si="2"/>
        <v>0.99196150195051969</v>
      </c>
    </row>
    <row r="18" spans="2:9" x14ac:dyDescent="0.3">
      <c r="B18">
        <f>B17+1</f>
        <v>14</v>
      </c>
      <c r="C18">
        <f t="shared" si="0"/>
        <v>4.6436894143773643E-3</v>
      </c>
      <c r="D18">
        <f t="shared" si="2"/>
        <v>0.996605191364897</v>
      </c>
      <c r="H18" t="s">
        <v>11</v>
      </c>
      <c r="I18">
        <f>1/I3*60</f>
        <v>9.0909090909090917</v>
      </c>
    </row>
    <row r="19" spans="2:9" x14ac:dyDescent="0.3">
      <c r="B19">
        <f t="shared" si="1"/>
        <v>15</v>
      </c>
      <c r="C19">
        <f t="shared" si="0"/>
        <v>2.0432233423260337E-3</v>
      </c>
      <c r="D19">
        <f>_xlfn.POISSON.DIST(B19,$I$3,TRUE)</f>
        <v>0.9986484147072231</v>
      </c>
    </row>
    <row r="20" spans="2:9" x14ac:dyDescent="0.3">
      <c r="F20" t="s">
        <v>14</v>
      </c>
      <c r="H20" s="1">
        <v>14</v>
      </c>
    </row>
    <row r="21" spans="2:9" x14ac:dyDescent="0.3">
      <c r="C21">
        <f>SUM(C4:C19)</f>
        <v>0.99864841470722321</v>
      </c>
      <c r="F21" t="s">
        <v>13</v>
      </c>
    </row>
    <row r="22" spans="2:9" x14ac:dyDescent="0.3">
      <c r="H22" t="s">
        <v>15</v>
      </c>
      <c r="I22">
        <f>_xlfn.POISSON.DIST(0,I3*(H20/60),FALSE)</f>
        <v>0.21438110142697794</v>
      </c>
    </row>
    <row r="24" spans="2:9" x14ac:dyDescent="0.3">
      <c r="C24" t="s">
        <v>16</v>
      </c>
      <c r="E24" s="1">
        <v>9</v>
      </c>
      <c r="F24" t="s">
        <v>17</v>
      </c>
      <c r="G24" t="s">
        <v>18</v>
      </c>
    </row>
    <row r="25" spans="2:9" x14ac:dyDescent="0.3">
      <c r="C25" t="s">
        <v>19</v>
      </c>
      <c r="D25" s="1">
        <v>0.11</v>
      </c>
      <c r="E25" t="s">
        <v>20</v>
      </c>
      <c r="F25" s="1">
        <v>10</v>
      </c>
      <c r="G25" t="s">
        <v>9</v>
      </c>
    </row>
    <row r="26" spans="2:9" x14ac:dyDescent="0.3">
      <c r="C26" t="s">
        <v>21</v>
      </c>
    </row>
    <row r="27" spans="2:9" x14ac:dyDescent="0.3">
      <c r="C27" t="s">
        <v>22</v>
      </c>
      <c r="F27" s="1">
        <v>6</v>
      </c>
      <c r="G27" t="s">
        <v>17</v>
      </c>
    </row>
    <row r="28" spans="2:9" x14ac:dyDescent="0.3">
      <c r="C28" t="s">
        <v>23</v>
      </c>
      <c r="E28" s="1">
        <v>0</v>
      </c>
      <c r="F28" t="s">
        <v>24</v>
      </c>
    </row>
    <row r="30" spans="2:9" x14ac:dyDescent="0.3">
      <c r="F30" t="s">
        <v>25</v>
      </c>
      <c r="G30" s="2">
        <f>_xlfn.BINOM.INV(E24,D25,D25)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9031-8512-4A1D-8073-CEEF67EB9F21}">
  <dimension ref="B3:N31"/>
  <sheetViews>
    <sheetView topLeftCell="A3" zoomScale="86" workbookViewId="0">
      <selection activeCell="I22" sqref="I22"/>
    </sheetView>
  </sheetViews>
  <sheetFormatPr baseColWidth="10" defaultRowHeight="14.4" x14ac:dyDescent="0.3"/>
  <cols>
    <col min="6" max="6" width="13.109375" customWidth="1"/>
    <col min="7" max="7" width="12.6640625" customWidth="1"/>
    <col min="9" max="9" width="12.77734375" customWidth="1"/>
  </cols>
  <sheetData>
    <row r="3" spans="2:14" x14ac:dyDescent="0.3">
      <c r="B3" t="s">
        <v>40</v>
      </c>
      <c r="C3" s="1">
        <v>4.5999999999999996</v>
      </c>
      <c r="D3" s="1"/>
    </row>
    <row r="5" spans="2:14" x14ac:dyDescent="0.3">
      <c r="B5" t="s">
        <v>1</v>
      </c>
      <c r="C5" t="s">
        <v>41</v>
      </c>
    </row>
    <row r="6" spans="2:14" x14ac:dyDescent="0.3">
      <c r="B6">
        <f>0</f>
        <v>0</v>
      </c>
      <c r="C6">
        <f>_xlfn.POISSON.DIST(B6,$C$3,0)</f>
        <v>1.0051835744633586E-2</v>
      </c>
      <c r="D6" s="4">
        <f>_xlfn.POISSON.DIST(B6,$C$3,1)</f>
        <v>1.0051835744633586E-2</v>
      </c>
      <c r="F6" t="s">
        <v>42</v>
      </c>
      <c r="H6" s="1">
        <v>6</v>
      </c>
      <c r="I6" t="s">
        <v>43</v>
      </c>
    </row>
    <row r="7" spans="2:14" x14ac:dyDescent="0.3">
      <c r="B7">
        <f>B6+1</f>
        <v>1</v>
      </c>
      <c r="C7">
        <f t="shared" ref="C7:C26" si="0">_xlfn.POISSON.DIST(B7,$C$3,0)</f>
        <v>4.6238444425314489E-2</v>
      </c>
      <c r="D7" s="4">
        <f t="shared" ref="D7:D26" si="1">_xlfn.POISSON.DIST(B7,$C$3,1)</f>
        <v>5.6290280169948075E-2</v>
      </c>
    </row>
    <row r="8" spans="2:14" x14ac:dyDescent="0.3">
      <c r="B8">
        <f t="shared" ref="B8:B26" si="2">B7+1</f>
        <v>2</v>
      </c>
      <c r="C8">
        <f t="shared" si="0"/>
        <v>0.10634842217822332</v>
      </c>
      <c r="D8" s="4">
        <f t="shared" si="1"/>
        <v>0.1626387023481714</v>
      </c>
      <c r="H8" t="s">
        <v>44</v>
      </c>
      <c r="I8">
        <f>INDEX(C6:C26,H6+1,1)</f>
        <v>0.13226955027011639</v>
      </c>
    </row>
    <row r="9" spans="2:14" x14ac:dyDescent="0.3">
      <c r="B9">
        <f t="shared" si="2"/>
        <v>3</v>
      </c>
      <c r="C9">
        <f t="shared" si="0"/>
        <v>0.16306758067327579</v>
      </c>
      <c r="D9" s="4">
        <f t="shared" si="1"/>
        <v>0.32570628302144716</v>
      </c>
    </row>
    <row r="10" spans="2:14" x14ac:dyDescent="0.3">
      <c r="B10">
        <f t="shared" si="2"/>
        <v>4</v>
      </c>
      <c r="C10">
        <f t="shared" si="0"/>
        <v>0.18752771777426711</v>
      </c>
      <c r="D10" s="4">
        <f t="shared" si="1"/>
        <v>0.51323400079571435</v>
      </c>
      <c r="F10" t="s">
        <v>45</v>
      </c>
      <c r="I10" s="1">
        <v>6</v>
      </c>
      <c r="K10" t="s">
        <v>46</v>
      </c>
      <c r="L10">
        <v>0</v>
      </c>
      <c r="M10" t="s">
        <v>47</v>
      </c>
      <c r="N10">
        <f>I10</f>
        <v>6</v>
      </c>
    </row>
    <row r="11" spans="2:14" x14ac:dyDescent="0.3">
      <c r="B11" s="6">
        <f t="shared" si="2"/>
        <v>5</v>
      </c>
      <c r="C11">
        <f t="shared" si="0"/>
        <v>0.17252550035232572</v>
      </c>
      <c r="D11" s="5">
        <f t="shared" si="1"/>
        <v>0.68575950114803974</v>
      </c>
    </row>
    <row r="12" spans="2:14" x14ac:dyDescent="0.3">
      <c r="B12">
        <f t="shared" si="2"/>
        <v>6</v>
      </c>
      <c r="C12">
        <f t="shared" si="0"/>
        <v>0.13226955027011639</v>
      </c>
      <c r="D12" s="4">
        <f t="shared" si="1"/>
        <v>0.81802905141815607</v>
      </c>
      <c r="H12" t="s">
        <v>44</v>
      </c>
      <c r="I12">
        <f>_xlfn.POISSON.DIST(I10,C3,1)</f>
        <v>0.81802905141815607</v>
      </c>
    </row>
    <row r="13" spans="2:14" x14ac:dyDescent="0.3">
      <c r="B13">
        <f t="shared" si="2"/>
        <v>7</v>
      </c>
      <c r="C13">
        <f t="shared" si="0"/>
        <v>8.6919990177505069E-2</v>
      </c>
      <c r="D13" s="4">
        <f t="shared" si="1"/>
        <v>0.90494904159566136</v>
      </c>
    </row>
    <row r="14" spans="2:14" x14ac:dyDescent="0.3">
      <c r="B14">
        <f t="shared" si="2"/>
        <v>8</v>
      </c>
      <c r="C14">
        <f t="shared" si="0"/>
        <v>4.997899435206539E-2</v>
      </c>
      <c r="D14" s="4">
        <f t="shared" si="1"/>
        <v>0.95492803594772668</v>
      </c>
      <c r="F14" t="s">
        <v>48</v>
      </c>
      <c r="I14" s="1">
        <v>8</v>
      </c>
    </row>
    <row r="15" spans="2:14" x14ac:dyDescent="0.3">
      <c r="B15">
        <f t="shared" si="2"/>
        <v>9</v>
      </c>
      <c r="C15">
        <f t="shared" si="0"/>
        <v>2.5544819335500086E-2</v>
      </c>
      <c r="D15" s="4">
        <f t="shared" si="1"/>
        <v>0.98047285528322681</v>
      </c>
    </row>
    <row r="16" spans="2:14" x14ac:dyDescent="0.3">
      <c r="B16">
        <f t="shared" si="2"/>
        <v>10</v>
      </c>
      <c r="C16">
        <f t="shared" si="0"/>
        <v>1.1750616894330023E-2</v>
      </c>
      <c r="D16" s="4">
        <f t="shared" si="1"/>
        <v>0.99222347217755691</v>
      </c>
      <c r="H16" t="s">
        <v>44</v>
      </c>
      <c r="I16">
        <f>1-_xlfn.POISSON.DIST(I14-1,C3,1)</f>
        <v>9.5050958404338637E-2</v>
      </c>
    </row>
    <row r="17" spans="2:13" x14ac:dyDescent="0.3">
      <c r="B17">
        <f t="shared" si="2"/>
        <v>11</v>
      </c>
      <c r="C17">
        <f t="shared" si="0"/>
        <v>4.9138943376289199E-3</v>
      </c>
      <c r="D17" s="4">
        <f t="shared" si="1"/>
        <v>0.9971373665151857</v>
      </c>
    </row>
    <row r="18" spans="2:13" x14ac:dyDescent="0.3">
      <c r="B18">
        <f t="shared" si="2"/>
        <v>12</v>
      </c>
      <c r="C18">
        <f t="shared" si="0"/>
        <v>1.8836594960910894E-3</v>
      </c>
      <c r="D18" s="4">
        <f t="shared" si="1"/>
        <v>0.99902102601127685</v>
      </c>
      <c r="F18" s="3" t="s">
        <v>49</v>
      </c>
      <c r="G18" s="1">
        <v>5</v>
      </c>
      <c r="H18" t="s">
        <v>50</v>
      </c>
      <c r="L18" s="1">
        <v>8</v>
      </c>
    </row>
    <row r="19" spans="2:13" x14ac:dyDescent="0.3">
      <c r="B19">
        <f t="shared" si="2"/>
        <v>13</v>
      </c>
      <c r="C19">
        <f t="shared" si="0"/>
        <v>6.6652566784761462E-4</v>
      </c>
      <c r="D19" s="4">
        <f t="shared" si="1"/>
        <v>0.99968755167912438</v>
      </c>
      <c r="F19" t="s">
        <v>51</v>
      </c>
      <c r="G19" s="1">
        <v>9</v>
      </c>
      <c r="H19" t="s">
        <v>52</v>
      </c>
      <c r="I19" s="1">
        <v>18</v>
      </c>
    </row>
    <row r="20" spans="2:13" x14ac:dyDescent="0.3">
      <c r="B20">
        <f t="shared" si="2"/>
        <v>14</v>
      </c>
      <c r="C20">
        <f t="shared" si="0"/>
        <v>2.1900129086421642E-4</v>
      </c>
      <c r="D20" s="4">
        <f t="shared" si="1"/>
        <v>0.99990655296998865</v>
      </c>
    </row>
    <row r="21" spans="2:13" x14ac:dyDescent="0.3">
      <c r="B21">
        <f t="shared" si="2"/>
        <v>15</v>
      </c>
      <c r="C21">
        <f t="shared" si="0"/>
        <v>6.716039586502628E-5</v>
      </c>
      <c r="D21" s="4">
        <f t="shared" si="1"/>
        <v>0.99997371336585372</v>
      </c>
      <c r="H21" t="s">
        <v>53</v>
      </c>
      <c r="I21" s="7">
        <f>1-_xlfn.POISSON.DIST(L18-G18-1,C3*((I19-G19)/24),1)</f>
        <v>0.24939034032798635</v>
      </c>
      <c r="K21" t="s">
        <v>54</v>
      </c>
    </row>
    <row r="22" spans="2:13" x14ac:dyDescent="0.3">
      <c r="B22">
        <f t="shared" si="2"/>
        <v>16</v>
      </c>
      <c r="C22">
        <f t="shared" si="0"/>
        <v>1.9308613811195114E-5</v>
      </c>
      <c r="D22" s="4">
        <f t="shared" si="1"/>
        <v>0.99999302197966489</v>
      </c>
      <c r="K22" t="s">
        <v>55</v>
      </c>
      <c r="L22">
        <f>L18</f>
        <v>8</v>
      </c>
      <c r="M22" t="s">
        <v>57</v>
      </c>
    </row>
    <row r="23" spans="2:13" x14ac:dyDescent="0.3">
      <c r="B23">
        <f t="shared" si="2"/>
        <v>17</v>
      </c>
      <c r="C23">
        <f t="shared" si="0"/>
        <v>5.2246837371469178E-6</v>
      </c>
      <c r="D23" s="4">
        <f t="shared" si="1"/>
        <v>0.99999824666340209</v>
      </c>
      <c r="F23" t="s">
        <v>58</v>
      </c>
    </row>
    <row r="24" spans="2:13" x14ac:dyDescent="0.3">
      <c r="B24">
        <f t="shared" si="2"/>
        <v>18</v>
      </c>
      <c r="C24">
        <f t="shared" si="0"/>
        <v>1.3351969550486506E-6</v>
      </c>
      <c r="D24" s="4">
        <f t="shared" si="1"/>
        <v>0.99999958186035709</v>
      </c>
      <c r="F24" t="s">
        <v>59</v>
      </c>
      <c r="H24" s="1">
        <v>6</v>
      </c>
    </row>
    <row r="25" spans="2:13" x14ac:dyDescent="0.3">
      <c r="B25">
        <f t="shared" si="2"/>
        <v>19</v>
      </c>
      <c r="C25">
        <f t="shared" si="0"/>
        <v>3.2325821016967379E-7</v>
      </c>
      <c r="D25" s="4">
        <f t="shared" si="1"/>
        <v>0.99999990511856729</v>
      </c>
    </row>
    <row r="26" spans="2:13" x14ac:dyDescent="0.3">
      <c r="B26">
        <f t="shared" si="2"/>
        <v>20</v>
      </c>
      <c r="C26">
        <f t="shared" si="0"/>
        <v>7.4349388339024716E-8</v>
      </c>
      <c r="D26" s="4">
        <f t="shared" si="1"/>
        <v>0.9999999794679556</v>
      </c>
      <c r="H26" t="s">
        <v>53</v>
      </c>
      <c r="I26" s="7">
        <f>M26-M27</f>
        <v>0.98217163643292338</v>
      </c>
      <c r="K26" t="s">
        <v>61</v>
      </c>
      <c r="M26">
        <f>_xlfn.POISSON.DIST(C3+H24,C3,1)</f>
        <v>0.99222347217755691</v>
      </c>
    </row>
    <row r="27" spans="2:13" x14ac:dyDescent="0.3">
      <c r="K27" t="s">
        <v>60</v>
      </c>
      <c r="M27">
        <f>_xlfn.POISSON.DIST(IF(C3-H24&lt;0,0,C3-H24),C3,1)</f>
        <v>1.0051835744633586E-2</v>
      </c>
    </row>
    <row r="28" spans="2:13" x14ac:dyDescent="0.3">
      <c r="C28">
        <f>SUM(C5:C26)</f>
        <v>0.99999997946795571</v>
      </c>
      <c r="F28" t="s">
        <v>62</v>
      </c>
    </row>
    <row r="29" spans="2:13" x14ac:dyDescent="0.3">
      <c r="F29" t="s">
        <v>56</v>
      </c>
      <c r="G29" s="1">
        <v>0.63600000000000001</v>
      </c>
    </row>
    <row r="31" spans="2:13" x14ac:dyDescent="0.3">
      <c r="H31" t="s">
        <v>63</v>
      </c>
      <c r="I31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9F393-F180-4543-BA28-6838051962A7}">
  <dimension ref="B2:P34"/>
  <sheetViews>
    <sheetView workbookViewId="0">
      <selection activeCell="G24" sqref="G24"/>
    </sheetView>
  </sheetViews>
  <sheetFormatPr baseColWidth="10" defaultRowHeight="14.4" x14ac:dyDescent="0.3"/>
  <cols>
    <col min="3" max="3" width="9.88671875" customWidth="1"/>
    <col min="7" max="7" width="13.44140625" customWidth="1"/>
    <col min="9" max="9" width="12" bestFit="1" customWidth="1"/>
    <col min="12" max="13" width="14.77734375" customWidth="1"/>
    <col min="14" max="14" width="6.6640625" customWidth="1"/>
    <col min="15" max="15" width="12" bestFit="1" customWidth="1"/>
    <col min="16" max="16" width="14.77734375" customWidth="1"/>
  </cols>
  <sheetData>
    <row r="2" spans="2:16" x14ac:dyDescent="0.3">
      <c r="B2" t="s">
        <v>67</v>
      </c>
      <c r="C2">
        <v>16</v>
      </c>
      <c r="D2">
        <v>0.55000000000000004</v>
      </c>
      <c r="E2" t="s">
        <v>65</v>
      </c>
    </row>
    <row r="3" spans="2:16" x14ac:dyDescent="0.3">
      <c r="K3" t="s">
        <v>1</v>
      </c>
      <c r="L3" s="9" t="s">
        <v>72</v>
      </c>
      <c r="M3" s="8" t="s">
        <v>73</v>
      </c>
      <c r="O3" s="11" t="s">
        <v>74</v>
      </c>
      <c r="P3" s="10" t="s">
        <v>75</v>
      </c>
    </row>
    <row r="4" spans="2:16" x14ac:dyDescent="0.3">
      <c r="B4" t="s">
        <v>66</v>
      </c>
      <c r="C4">
        <v>23</v>
      </c>
      <c r="D4">
        <v>0.77100000000000002</v>
      </c>
      <c r="E4" t="s">
        <v>68</v>
      </c>
      <c r="K4">
        <v>0</v>
      </c>
      <c r="L4">
        <f>IFERROR(_xlfn.BINOM.DIST(K4,$C$2,$D$2,0),0)</f>
        <v>2.8274844190244102E-6</v>
      </c>
      <c r="M4">
        <f>IFERROR(_xlfn.BINOM.DIST($K4,$C$2,$D$2,1),0)</f>
        <v>2.8274844190244102E-6</v>
      </c>
      <c r="O4">
        <f>IFERROR(_xlfn.BINOM.DIST($K4,$C$4,$D$4,0),0)</f>
        <v>1.8889309990175766E-15</v>
      </c>
      <c r="P4">
        <f>IFERROR(_xlfn.BINOM.DIST($K4,$C$4,$D$4,1),0)</f>
        <v>1.8889309990175766E-15</v>
      </c>
    </row>
    <row r="5" spans="2:16" x14ac:dyDescent="0.3">
      <c r="K5">
        <f>K4+1</f>
        <v>1</v>
      </c>
      <c r="L5">
        <f t="shared" ref="L5:L34" si="0">IFERROR(_xlfn.BINOM.DIST(K5,$C$2,$D$2,0),0)</f>
        <v>5.5293028638699628E-5</v>
      </c>
      <c r="M5">
        <f t="shared" ref="M5:M34" si="1">IFERROR(_xlfn.BINOM.DIST($K5,$C$2,$D$2,1),0)</f>
        <v>5.8120513057724051E-5</v>
      </c>
      <c r="O5">
        <f t="shared" ref="O5:O34" si="2">IFERROR(_xlfn.BINOM.DIST($K5,$C$4,$D$4,0),0)</f>
        <v>1.4627254762261474E-13</v>
      </c>
      <c r="P5">
        <f t="shared" ref="P5:P34" si="3">IFERROR(_xlfn.BINOM.DIST($K5,$C$4,$D$4,1),0)</f>
        <v>1.4816147862163228E-13</v>
      </c>
    </row>
    <row r="6" spans="2:16" x14ac:dyDescent="0.3">
      <c r="K6">
        <f t="shared" ref="K6:K34" si="4">K5+1</f>
        <v>2</v>
      </c>
      <c r="L6">
        <f t="shared" si="0"/>
        <v>5.0685276252141376E-4</v>
      </c>
      <c r="M6">
        <f t="shared" si="1"/>
        <v>5.6497327557913663E-4</v>
      </c>
      <c r="O6">
        <f t="shared" si="2"/>
        <v>5.4171942200322956E-12</v>
      </c>
      <c r="P6">
        <f t="shared" si="3"/>
        <v>5.5653556986539453E-12</v>
      </c>
    </row>
    <row r="7" spans="2:16" x14ac:dyDescent="0.3">
      <c r="B7" t="s">
        <v>69</v>
      </c>
      <c r="C7" s="1">
        <v>11</v>
      </c>
      <c r="D7" t="s">
        <v>68</v>
      </c>
      <c r="E7" t="s">
        <v>71</v>
      </c>
      <c r="F7" s="1">
        <v>2</v>
      </c>
      <c r="G7" t="s">
        <v>70</v>
      </c>
      <c r="H7" s="1">
        <v>11</v>
      </c>
      <c r="I7" t="s">
        <v>68</v>
      </c>
      <c r="K7">
        <f t="shared" si="4"/>
        <v>3</v>
      </c>
      <c r="L7">
        <f t="shared" si="0"/>
        <v>2.8909379788258395E-3</v>
      </c>
      <c r="M7">
        <f t="shared" si="1"/>
        <v>3.4559112544049753E-3</v>
      </c>
      <c r="O7">
        <f t="shared" si="2"/>
        <v>1.2767073015508507E-10</v>
      </c>
      <c r="P7">
        <f t="shared" si="3"/>
        <v>1.3323608585373852E-10</v>
      </c>
    </row>
    <row r="8" spans="2:16" x14ac:dyDescent="0.3">
      <c r="K8">
        <f t="shared" si="4"/>
        <v>4</v>
      </c>
      <c r="L8">
        <f t="shared" si="0"/>
        <v>1.1483448082558198E-2</v>
      </c>
      <c r="M8">
        <f t="shared" si="1"/>
        <v>1.4939359336963172E-2</v>
      </c>
      <c r="O8">
        <f t="shared" si="2"/>
        <v>2.1492168766281698E-9</v>
      </c>
      <c r="P8">
        <f t="shared" si="3"/>
        <v>2.282452962481905E-9</v>
      </c>
    </row>
    <row r="9" spans="2:16" x14ac:dyDescent="0.3">
      <c r="B9" t="s">
        <v>44</v>
      </c>
      <c r="C9">
        <f>_xlfn.BINOM.DIST(C7,C2,D2,1)</f>
        <v>0.91469081135662855</v>
      </c>
      <c r="F9" t="s">
        <v>11</v>
      </c>
      <c r="G9">
        <f>_xlfn.BINOM.DIST(H7,C2,D2,1)-_xlfn.BINOM.DIST(F7-1,C2,D2,1)</f>
        <v>0.91463269084357079</v>
      </c>
      <c r="K9">
        <f t="shared" si="4"/>
        <v>5</v>
      </c>
      <c r="L9">
        <f t="shared" si="0"/>
        <v>3.3684781042170722E-2</v>
      </c>
      <c r="M9">
        <f t="shared" si="1"/>
        <v>4.8624140379133859E-2</v>
      </c>
      <c r="O9">
        <f t="shared" si="2"/>
        <v>2.7496836703690953E-8</v>
      </c>
      <c r="P9">
        <f t="shared" si="3"/>
        <v>2.9779289666172819E-8</v>
      </c>
    </row>
    <row r="10" spans="2:16" x14ac:dyDescent="0.3">
      <c r="K10">
        <f t="shared" si="4"/>
        <v>6</v>
      </c>
      <c r="L10">
        <f t="shared" si="0"/>
        <v>7.5478861224123256E-2</v>
      </c>
      <c r="M10">
        <f t="shared" si="1"/>
        <v>0.12410300160325707</v>
      </c>
      <c r="O10">
        <f t="shared" si="2"/>
        <v>2.7773005805954947E-7</v>
      </c>
      <c r="P10">
        <f t="shared" si="3"/>
        <v>3.0750934772572295E-7</v>
      </c>
    </row>
    <row r="11" spans="2:16" x14ac:dyDescent="0.3">
      <c r="K11">
        <f t="shared" si="4"/>
        <v>7</v>
      </c>
      <c r="L11">
        <f t="shared" si="0"/>
        <v>0.13178848785164379</v>
      </c>
      <c r="M11">
        <f t="shared" si="1"/>
        <v>0.25589148945490092</v>
      </c>
      <c r="O11">
        <f t="shared" si="2"/>
        <v>2.2708720343022638E-6</v>
      </c>
      <c r="P11">
        <f t="shared" si="3"/>
        <v>2.5783813820279794E-6</v>
      </c>
    </row>
    <row r="12" spans="2:16" x14ac:dyDescent="0.3">
      <c r="B12" t="s">
        <v>80</v>
      </c>
      <c r="C12" t="s">
        <v>76</v>
      </c>
      <c r="D12" s="1">
        <v>0.54649000000000003</v>
      </c>
      <c r="F12" t="s">
        <v>77</v>
      </c>
      <c r="G12" t="s">
        <v>78</v>
      </c>
      <c r="K12">
        <f t="shared" si="4"/>
        <v>8</v>
      </c>
      <c r="L12">
        <f t="shared" si="0"/>
        <v>0.18120917079601029</v>
      </c>
      <c r="M12">
        <f t="shared" si="1"/>
        <v>0.43710066025091115</v>
      </c>
      <c r="O12">
        <f t="shared" si="2"/>
        <v>1.5291199462419603E-5</v>
      </c>
      <c r="P12">
        <f t="shared" si="3"/>
        <v>1.7869580844447584E-5</v>
      </c>
    </row>
    <row r="13" spans="2:16" x14ac:dyDescent="0.3">
      <c r="G13" t="s">
        <v>79</v>
      </c>
      <c r="H13">
        <f>D12</f>
        <v>0.54649000000000003</v>
      </c>
      <c r="K13">
        <f t="shared" si="4"/>
        <v>9</v>
      </c>
      <c r="L13">
        <f t="shared" si="0"/>
        <v>0.19686922259319636</v>
      </c>
      <c r="M13">
        <f t="shared" si="1"/>
        <v>0.63396988284410782</v>
      </c>
      <c r="O13">
        <f t="shared" si="2"/>
        <v>8.5804328861175603E-5</v>
      </c>
      <c r="P13">
        <f t="shared" si="3"/>
        <v>1.0367390970562289E-4</v>
      </c>
    </row>
    <row r="14" spans="2:16" x14ac:dyDescent="0.3">
      <c r="K14">
        <f t="shared" si="4"/>
        <v>10</v>
      </c>
      <c r="L14">
        <f t="shared" si="0"/>
        <v>0.16843255710751248</v>
      </c>
      <c r="M14">
        <f t="shared" si="1"/>
        <v>0.80240243995162031</v>
      </c>
      <c r="O14">
        <f t="shared" si="2"/>
        <v>4.0444188896398626E-4</v>
      </c>
      <c r="P14">
        <f t="shared" si="3"/>
        <v>5.0811579866960946E-4</v>
      </c>
    </row>
    <row r="15" spans="2:16" x14ac:dyDescent="0.3">
      <c r="B15" t="s">
        <v>81</v>
      </c>
      <c r="C15" s="1">
        <v>14</v>
      </c>
      <c r="D15" t="s">
        <v>68</v>
      </c>
      <c r="K15">
        <f t="shared" si="4"/>
        <v>11</v>
      </c>
      <c r="L15">
        <f t="shared" si="0"/>
        <v>0.11228837140500836</v>
      </c>
      <c r="M15">
        <f t="shared" si="1"/>
        <v>0.91469081135662855</v>
      </c>
      <c r="O15">
        <f t="shared" si="2"/>
        <v>1.6092580599785739E-3</v>
      </c>
      <c r="P15">
        <f t="shared" si="3"/>
        <v>2.1173738586481839E-3</v>
      </c>
    </row>
    <row r="16" spans="2:16" x14ac:dyDescent="0.3">
      <c r="K16">
        <f t="shared" si="4"/>
        <v>12</v>
      </c>
      <c r="L16">
        <f t="shared" si="0"/>
        <v>5.7183892845143136E-2</v>
      </c>
      <c r="M16">
        <f t="shared" si="1"/>
        <v>0.97187470420177169</v>
      </c>
      <c r="O16">
        <f t="shared" si="2"/>
        <v>5.4180697128536409E-3</v>
      </c>
      <c r="P16">
        <f t="shared" si="3"/>
        <v>7.5354435715018148E-3</v>
      </c>
    </row>
    <row r="17" spans="2:16" x14ac:dyDescent="0.3">
      <c r="B17" t="s">
        <v>44</v>
      </c>
      <c r="C17">
        <f>_xlfn.BINOM.DIST(C15,C4,D4,0)</f>
        <v>3.7119633304243643E-2</v>
      </c>
      <c r="K17">
        <f t="shared" si="4"/>
        <v>13</v>
      </c>
      <c r="L17">
        <f t="shared" si="0"/>
        <v>2.1505053719541034E-2</v>
      </c>
      <c r="M17">
        <f t="shared" si="1"/>
        <v>0.99337975792131261</v>
      </c>
      <c r="O17">
        <f t="shared" si="2"/>
        <v>1.5435219763087558E-2</v>
      </c>
      <c r="P17">
        <f t="shared" si="3"/>
        <v>2.2970663334589383E-2</v>
      </c>
    </row>
    <row r="18" spans="2:16" x14ac:dyDescent="0.3">
      <c r="K18">
        <f t="shared" si="4"/>
        <v>14</v>
      </c>
      <c r="L18">
        <f t="shared" si="0"/>
        <v>5.6322759741655069E-3</v>
      </c>
      <c r="M18">
        <f t="shared" si="1"/>
        <v>0.99901203389547821</v>
      </c>
      <c r="O18">
        <f t="shared" si="2"/>
        <v>3.7119633304243643E-2</v>
      </c>
      <c r="P18">
        <f t="shared" si="3"/>
        <v>6.0090296638833036E-2</v>
      </c>
    </row>
    <row r="19" spans="2:16" x14ac:dyDescent="0.3">
      <c r="B19" t="s">
        <v>82</v>
      </c>
      <c r="C19" s="1">
        <v>13</v>
      </c>
      <c r="D19" t="s">
        <v>68</v>
      </c>
      <c r="K19">
        <f t="shared" si="4"/>
        <v>15</v>
      </c>
      <c r="L19">
        <f t="shared" si="0"/>
        <v>9.1785238097511965E-4</v>
      </c>
      <c r="M19">
        <f t="shared" si="1"/>
        <v>0.99992988627645329</v>
      </c>
      <c r="O19">
        <f t="shared" si="2"/>
        <v>7.498490116394381E-2</v>
      </c>
      <c r="P19">
        <f t="shared" si="3"/>
        <v>0.1350751978027768</v>
      </c>
    </row>
    <row r="20" spans="2:16" x14ac:dyDescent="0.3">
      <c r="K20">
        <f t="shared" si="4"/>
        <v>16</v>
      </c>
      <c r="L20">
        <f t="shared" si="0"/>
        <v>7.0113723546710499E-5</v>
      </c>
      <c r="M20">
        <f t="shared" si="1"/>
        <v>1</v>
      </c>
      <c r="O20">
        <f t="shared" si="2"/>
        <v>0.12623004104235949</v>
      </c>
      <c r="P20">
        <f t="shared" si="3"/>
        <v>0.2613052388451364</v>
      </c>
    </row>
    <row r="21" spans="2:16" x14ac:dyDescent="0.3">
      <c r="B21" t="s">
        <v>44</v>
      </c>
      <c r="C21">
        <f>SUM(INDEX(O4:O34,C19+1+1,1):O34)</f>
        <v>0.97702933666541081</v>
      </c>
      <c r="K21">
        <f t="shared" si="4"/>
        <v>17</v>
      </c>
      <c r="L21">
        <f t="shared" si="0"/>
        <v>0</v>
      </c>
      <c r="M21">
        <f t="shared" si="1"/>
        <v>0</v>
      </c>
      <c r="O21">
        <f t="shared" si="2"/>
        <v>0.17499705407285229</v>
      </c>
      <c r="P21">
        <f t="shared" si="3"/>
        <v>0.43630229291798833</v>
      </c>
    </row>
    <row r="22" spans="2:16" x14ac:dyDescent="0.3">
      <c r="K22">
        <f t="shared" si="4"/>
        <v>18</v>
      </c>
      <c r="L22">
        <f t="shared" si="0"/>
        <v>0</v>
      </c>
      <c r="M22">
        <f t="shared" si="1"/>
        <v>0</v>
      </c>
      <c r="O22">
        <f t="shared" si="2"/>
        <v>0.19639407378481685</v>
      </c>
      <c r="P22">
        <f t="shared" si="3"/>
        <v>0.63269636670280582</v>
      </c>
    </row>
    <row r="23" spans="2:16" x14ac:dyDescent="0.3">
      <c r="B23" t="s">
        <v>83</v>
      </c>
      <c r="C23" s="1">
        <v>13</v>
      </c>
      <c r="D23" t="s">
        <v>84</v>
      </c>
      <c r="E23" s="1">
        <v>14</v>
      </c>
      <c r="F23" t="s">
        <v>68</v>
      </c>
      <c r="K23">
        <f t="shared" si="4"/>
        <v>19</v>
      </c>
      <c r="L23">
        <f t="shared" si="0"/>
        <v>0</v>
      </c>
      <c r="M23">
        <f t="shared" si="1"/>
        <v>0</v>
      </c>
      <c r="O23">
        <f t="shared" si="2"/>
        <v>0.17400578130095823</v>
      </c>
      <c r="P23">
        <f t="shared" si="3"/>
        <v>0.80670214800376372</v>
      </c>
    </row>
    <row r="24" spans="2:16" x14ac:dyDescent="0.3">
      <c r="K24">
        <f t="shared" si="4"/>
        <v>20</v>
      </c>
      <c r="L24">
        <f t="shared" si="0"/>
        <v>0</v>
      </c>
      <c r="M24">
        <f t="shared" si="1"/>
        <v>0</v>
      </c>
      <c r="O24">
        <f t="shared" si="2"/>
        <v>0.11716895841313434</v>
      </c>
      <c r="P24">
        <f t="shared" si="3"/>
        <v>0.92387110641689796</v>
      </c>
    </row>
    <row r="25" spans="2:16" x14ac:dyDescent="0.3">
      <c r="B25" t="s">
        <v>25</v>
      </c>
      <c r="C25">
        <f>SUM(INDEX(O4:O34,C23+2,1):INDEX(O4:O34,E23+1,1))</f>
        <v>3.7119633304243643E-2</v>
      </c>
      <c r="K25">
        <f t="shared" si="4"/>
        <v>21</v>
      </c>
      <c r="L25">
        <f t="shared" si="0"/>
        <v>0</v>
      </c>
      <c r="M25">
        <f t="shared" si="1"/>
        <v>0</v>
      </c>
      <c r="O25">
        <f t="shared" si="2"/>
        <v>5.6355125974127625E-2</v>
      </c>
      <c r="P25">
        <f t="shared" si="3"/>
        <v>0.98022623239102558</v>
      </c>
    </row>
    <row r="26" spans="2:16" x14ac:dyDescent="0.3">
      <c r="K26">
        <f t="shared" si="4"/>
        <v>22</v>
      </c>
      <c r="L26">
        <f t="shared" si="0"/>
        <v>0</v>
      </c>
      <c r="M26">
        <f t="shared" si="1"/>
        <v>0</v>
      </c>
      <c r="O26">
        <f t="shared" si="2"/>
        <v>1.7248829744363779E-2</v>
      </c>
      <c r="P26">
        <f t="shared" si="3"/>
        <v>0.99747506213538939</v>
      </c>
    </row>
    <row r="27" spans="2:16" x14ac:dyDescent="0.3">
      <c r="K27">
        <f t="shared" si="4"/>
        <v>23</v>
      </c>
      <c r="L27">
        <f t="shared" si="0"/>
        <v>0</v>
      </c>
      <c r="M27">
        <f t="shared" si="1"/>
        <v>0</v>
      </c>
      <c r="O27">
        <f t="shared" si="2"/>
        <v>2.5249378646106839E-3</v>
      </c>
      <c r="P27">
        <f t="shared" si="3"/>
        <v>1</v>
      </c>
    </row>
    <row r="28" spans="2:16" x14ac:dyDescent="0.3">
      <c r="B28" t="s">
        <v>85</v>
      </c>
      <c r="C28" t="s">
        <v>86</v>
      </c>
      <c r="D28">
        <v>1.8444100000000001</v>
      </c>
      <c r="F28" s="7" t="s">
        <v>87</v>
      </c>
      <c r="K28">
        <f t="shared" si="4"/>
        <v>24</v>
      </c>
      <c r="L28">
        <f t="shared" si="0"/>
        <v>0</v>
      </c>
      <c r="M28">
        <f t="shared" si="1"/>
        <v>0</v>
      </c>
      <c r="O28">
        <f t="shared" si="2"/>
        <v>0</v>
      </c>
      <c r="P28">
        <f t="shared" si="3"/>
        <v>0</v>
      </c>
    </row>
    <row r="29" spans="2:16" x14ac:dyDescent="0.3">
      <c r="K29">
        <f t="shared" si="4"/>
        <v>25</v>
      </c>
      <c r="L29">
        <f t="shared" si="0"/>
        <v>0</v>
      </c>
      <c r="M29">
        <f t="shared" si="1"/>
        <v>0</v>
      </c>
      <c r="O29">
        <f t="shared" si="2"/>
        <v>0</v>
      </c>
      <c r="P29">
        <f t="shared" si="3"/>
        <v>0</v>
      </c>
    </row>
    <row r="30" spans="2:16" x14ac:dyDescent="0.3">
      <c r="K30">
        <f t="shared" si="4"/>
        <v>26</v>
      </c>
      <c r="L30">
        <f t="shared" si="0"/>
        <v>0</v>
      </c>
      <c r="M30">
        <f t="shared" si="1"/>
        <v>0</v>
      </c>
      <c r="O30">
        <f t="shared" si="2"/>
        <v>0</v>
      </c>
      <c r="P30">
        <f t="shared" si="3"/>
        <v>0</v>
      </c>
    </row>
    <row r="31" spans="2:16" x14ac:dyDescent="0.3">
      <c r="K31">
        <f t="shared" si="4"/>
        <v>27</v>
      </c>
      <c r="L31">
        <f t="shared" si="0"/>
        <v>0</v>
      </c>
      <c r="M31">
        <f t="shared" si="1"/>
        <v>0</v>
      </c>
      <c r="O31">
        <f t="shared" si="2"/>
        <v>0</v>
      </c>
      <c r="P31">
        <f t="shared" si="3"/>
        <v>0</v>
      </c>
    </row>
    <row r="32" spans="2:16" x14ac:dyDescent="0.3">
      <c r="K32">
        <f t="shared" si="4"/>
        <v>28</v>
      </c>
      <c r="L32">
        <f t="shared" si="0"/>
        <v>0</v>
      </c>
      <c r="M32">
        <f t="shared" si="1"/>
        <v>0</v>
      </c>
      <c r="O32">
        <f t="shared" si="2"/>
        <v>0</v>
      </c>
      <c r="P32">
        <f t="shared" si="3"/>
        <v>0</v>
      </c>
    </row>
    <row r="33" spans="11:16" x14ac:dyDescent="0.3">
      <c r="K33">
        <f t="shared" si="4"/>
        <v>29</v>
      </c>
      <c r="L33">
        <f t="shared" si="0"/>
        <v>0</v>
      </c>
      <c r="M33">
        <f t="shared" si="1"/>
        <v>0</v>
      </c>
      <c r="O33">
        <f t="shared" si="2"/>
        <v>0</v>
      </c>
      <c r="P33">
        <f t="shared" si="3"/>
        <v>0</v>
      </c>
    </row>
    <row r="34" spans="11:16" x14ac:dyDescent="0.3">
      <c r="K34">
        <f t="shared" si="4"/>
        <v>30</v>
      </c>
      <c r="L34">
        <f t="shared" si="0"/>
        <v>0</v>
      </c>
      <c r="M34">
        <f t="shared" si="1"/>
        <v>0</v>
      </c>
      <c r="O34">
        <f t="shared" si="2"/>
        <v>0</v>
      </c>
      <c r="P34">
        <f t="shared" si="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7A199-9AF4-448F-8504-E02733B6AF55}">
  <dimension ref="B2:F40"/>
  <sheetViews>
    <sheetView workbookViewId="0">
      <selection activeCell="F39" sqref="F39"/>
    </sheetView>
  </sheetViews>
  <sheetFormatPr baseColWidth="10" defaultRowHeight="14.4" x14ac:dyDescent="0.3"/>
  <cols>
    <col min="2" max="2" width="15.88671875" customWidth="1"/>
    <col min="3" max="3" width="11.88671875" customWidth="1"/>
    <col min="4" max="4" width="12.44140625" customWidth="1"/>
  </cols>
  <sheetData>
    <row r="2" spans="2:5" x14ac:dyDescent="0.3">
      <c r="B2" t="s">
        <v>26</v>
      </c>
      <c r="E2" s="1">
        <f>0.607</f>
        <v>0.60699999999999998</v>
      </c>
    </row>
    <row r="3" spans="2:5" x14ac:dyDescent="0.3">
      <c r="B3" t="s">
        <v>27</v>
      </c>
      <c r="E3" s="1">
        <v>0.65700000000000003</v>
      </c>
    </row>
    <row r="4" spans="2:5" x14ac:dyDescent="0.3">
      <c r="B4" t="s">
        <v>28</v>
      </c>
      <c r="E4" s="1">
        <v>0.70799999999999996</v>
      </c>
    </row>
    <row r="6" spans="2:5" x14ac:dyDescent="0.3">
      <c r="B6" t="s">
        <v>29</v>
      </c>
    </row>
    <row r="8" spans="2:5" x14ac:dyDescent="0.3">
      <c r="C8" t="s">
        <v>30</v>
      </c>
      <c r="D8" t="s">
        <v>31</v>
      </c>
    </row>
    <row r="9" spans="2:5" x14ac:dyDescent="0.3">
      <c r="B9" t="s">
        <v>32</v>
      </c>
      <c r="C9">
        <f>C11-C10</f>
        <v>0.19184400000000001</v>
      </c>
      <c r="D9">
        <f>E9-C9</f>
        <v>0.201156</v>
      </c>
      <c r="E9">
        <f>E11-E10</f>
        <v>0.39300000000000002</v>
      </c>
    </row>
    <row r="10" spans="2:5" x14ac:dyDescent="0.3">
      <c r="B10" t="s">
        <v>33</v>
      </c>
      <c r="C10">
        <f>E4*E3</f>
        <v>0.46515600000000001</v>
      </c>
      <c r="D10">
        <f>E10-C10</f>
        <v>0.14184399999999997</v>
      </c>
      <c r="E10">
        <f>E2</f>
        <v>0.60699999999999998</v>
      </c>
    </row>
    <row r="11" spans="2:5" x14ac:dyDescent="0.3">
      <c r="C11">
        <f>E3</f>
        <v>0.65700000000000003</v>
      </c>
      <c r="D11">
        <f>E11-C11</f>
        <v>0.34299999999999997</v>
      </c>
      <c r="E11">
        <v>1</v>
      </c>
    </row>
    <row r="13" spans="2:5" x14ac:dyDescent="0.3">
      <c r="B13" t="s">
        <v>34</v>
      </c>
      <c r="E13">
        <f>D10-D11*E10</f>
        <v>-6.6356999999999999E-2</v>
      </c>
    </row>
    <row r="15" spans="2:5" x14ac:dyDescent="0.3">
      <c r="B15" t="s">
        <v>35</v>
      </c>
      <c r="E15" s="1">
        <v>7.6</v>
      </c>
    </row>
    <row r="17" spans="2:6" x14ac:dyDescent="0.3">
      <c r="D17" t="s">
        <v>36</v>
      </c>
      <c r="E17">
        <f>E15</f>
        <v>7.6</v>
      </c>
    </row>
    <row r="18" spans="2:6" x14ac:dyDescent="0.3">
      <c r="D18" t="s">
        <v>37</v>
      </c>
      <c r="E18">
        <f>SQRT(E15)</f>
        <v>2.7568097504180442</v>
      </c>
    </row>
    <row r="20" spans="2:6" x14ac:dyDescent="0.3">
      <c r="B20" t="s">
        <v>38</v>
      </c>
      <c r="C20" s="1">
        <v>0</v>
      </c>
      <c r="D20" t="s">
        <v>39</v>
      </c>
      <c r="F20" s="15">
        <v>0.28000000000000003</v>
      </c>
    </row>
    <row r="21" spans="2:6" x14ac:dyDescent="0.3">
      <c r="C21" t="s">
        <v>88</v>
      </c>
    </row>
    <row r="22" spans="2:6" x14ac:dyDescent="0.3">
      <c r="B22" s="1">
        <v>12</v>
      </c>
      <c r="C22" t="s">
        <v>113</v>
      </c>
      <c r="E22" t="s">
        <v>112</v>
      </c>
      <c r="F22">
        <f>F20*B22</f>
        <v>3.3600000000000003</v>
      </c>
    </row>
    <row r="24" spans="2:6" x14ac:dyDescent="0.3">
      <c r="E24" t="s">
        <v>114</v>
      </c>
      <c r="F24">
        <f>F20*B22*(1-F20)</f>
        <v>2.4192</v>
      </c>
    </row>
    <row r="27" spans="2:6" x14ac:dyDescent="0.3">
      <c r="B27" t="s">
        <v>115</v>
      </c>
      <c r="C27" s="1">
        <v>205</v>
      </c>
      <c r="D27" t="s">
        <v>113</v>
      </c>
      <c r="E27" t="s">
        <v>116</v>
      </c>
    </row>
    <row r="28" spans="2:6" x14ac:dyDescent="0.3">
      <c r="B28" s="1">
        <v>3.85E-2</v>
      </c>
      <c r="C28" t="s">
        <v>117</v>
      </c>
      <c r="D28" s="1">
        <v>3</v>
      </c>
      <c r="E28" t="s">
        <v>118</v>
      </c>
    </row>
    <row r="29" spans="2:6" x14ac:dyDescent="0.3">
      <c r="B29" t="s">
        <v>119</v>
      </c>
    </row>
    <row r="30" spans="2:6" x14ac:dyDescent="0.3">
      <c r="B30" t="s">
        <v>122</v>
      </c>
    </row>
    <row r="31" spans="2:6" x14ac:dyDescent="0.3">
      <c r="E31" t="s">
        <v>112</v>
      </c>
      <c r="F31">
        <f>B28*C27</f>
        <v>7.8925000000000001</v>
      </c>
    </row>
    <row r="33" spans="2:6" x14ac:dyDescent="0.3">
      <c r="E33" t="s">
        <v>120</v>
      </c>
      <c r="F33">
        <f>SQRT(C27*B28*(1-B28))</f>
        <v>2.7547484004895981</v>
      </c>
    </row>
    <row r="35" spans="2:6" x14ac:dyDescent="0.3">
      <c r="B35" t="s">
        <v>121</v>
      </c>
    </row>
    <row r="37" spans="2:6" x14ac:dyDescent="0.3">
      <c r="E37" t="s">
        <v>112</v>
      </c>
      <c r="F37">
        <f>F31</f>
        <v>7.8925000000000001</v>
      </c>
    </row>
    <row r="39" spans="2:6" x14ac:dyDescent="0.3">
      <c r="E39" t="s">
        <v>120</v>
      </c>
      <c r="F39">
        <f>SQRT(F31)</f>
        <v>2.8093593575760294</v>
      </c>
    </row>
    <row r="40" spans="2:6" x14ac:dyDescent="0.3">
      <c r="F40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A6128-B736-4C98-973E-964F57E20875}">
  <dimension ref="B1:O64"/>
  <sheetViews>
    <sheetView topLeftCell="B13" workbookViewId="0">
      <selection activeCell="L35" sqref="L35"/>
    </sheetView>
  </sheetViews>
  <sheetFormatPr baseColWidth="10" defaultRowHeight="14.4" x14ac:dyDescent="0.3"/>
  <cols>
    <col min="3" max="3" width="19.109375" customWidth="1"/>
    <col min="4" max="4" width="11.5546875" customWidth="1"/>
    <col min="8" max="8" width="13.6640625" customWidth="1"/>
    <col min="9" max="9" width="12.44140625" customWidth="1"/>
  </cols>
  <sheetData>
    <row r="1" spans="2:11" x14ac:dyDescent="0.3">
      <c r="F1" t="s">
        <v>92</v>
      </c>
      <c r="H1" s="1">
        <v>2.35</v>
      </c>
      <c r="I1" t="s">
        <v>94</v>
      </c>
      <c r="J1" s="1">
        <v>2.15</v>
      </c>
    </row>
    <row r="2" spans="2:11" x14ac:dyDescent="0.3">
      <c r="B2" t="s">
        <v>89</v>
      </c>
      <c r="C2" s="13">
        <v>12</v>
      </c>
      <c r="D2" t="s">
        <v>90</v>
      </c>
      <c r="F2" t="s">
        <v>93</v>
      </c>
      <c r="H2" s="1">
        <v>6.6000000000000003E-2</v>
      </c>
      <c r="I2" t="s">
        <v>95</v>
      </c>
      <c r="J2" s="1">
        <v>2.5499999999999998</v>
      </c>
      <c r="K2" s="14">
        <f>(J2-J1)/59</f>
        <v>6.7796610169491506E-3</v>
      </c>
    </row>
    <row r="4" spans="2:11" x14ac:dyDescent="0.3">
      <c r="B4" t="s">
        <v>1</v>
      </c>
      <c r="C4" t="s">
        <v>91</v>
      </c>
      <c r="E4" t="s">
        <v>1</v>
      </c>
      <c r="F4" t="s">
        <v>96</v>
      </c>
    </row>
    <row r="5" spans="2:11" x14ac:dyDescent="0.3">
      <c r="B5">
        <v>1</v>
      </c>
      <c r="C5" s="12">
        <f>_xlfn.EXPON.DIST(B5,1/$C$2,0)</f>
        <v>7.6670367885776941E-2</v>
      </c>
      <c r="E5" s="2">
        <f>J1</f>
        <v>2.15</v>
      </c>
      <c r="F5">
        <f>_xlfn.NORM.DIST(E5,$H$1,$H$2,0)</f>
        <v>6.1285854331612814E-2</v>
      </c>
    </row>
    <row r="6" spans="2:11" x14ac:dyDescent="0.3">
      <c r="B6">
        <f t="shared" ref="B6:B64" si="0">B5+1</f>
        <v>2</v>
      </c>
      <c r="C6" s="12">
        <f t="shared" ref="C6:C64" si="1">_xlfn.EXPON.DIST(B6,1/$C$2,0)</f>
        <v>7.0540143740884506E-2</v>
      </c>
      <c r="E6" s="2">
        <f>E5+$K$2</f>
        <v>2.156779661016949</v>
      </c>
      <c r="F6">
        <f t="shared" ref="F6:F64" si="2">_xlfn.NORM.DIST(E6,$H$1,$H$2,0)</f>
        <v>8.322537906946624E-2</v>
      </c>
      <c r="H6" t="s">
        <v>97</v>
      </c>
      <c r="K6" s="1">
        <v>4</v>
      </c>
    </row>
    <row r="7" spans="2:11" x14ac:dyDescent="0.3">
      <c r="B7">
        <f t="shared" si="0"/>
        <v>3</v>
      </c>
      <c r="C7" s="12">
        <f t="shared" si="1"/>
        <v>6.4900065255950407E-2</v>
      </c>
      <c r="E7" s="2">
        <f t="shared" ref="E7:E64" si="3">E6+$K$2</f>
        <v>2.163559322033898</v>
      </c>
      <c r="F7">
        <f>_xlfn.NORM.DIST(E7,$H$1,$H$2,0)</f>
        <v>0.1118326753430719</v>
      </c>
      <c r="H7" t="s">
        <v>98</v>
      </c>
      <c r="I7" s="1">
        <v>12</v>
      </c>
      <c r="J7" t="s">
        <v>90</v>
      </c>
    </row>
    <row r="8" spans="2:11" x14ac:dyDescent="0.3">
      <c r="B8">
        <f t="shared" si="0"/>
        <v>4</v>
      </c>
      <c r="C8" s="12">
        <f t="shared" si="1"/>
        <v>5.9710942547815768E-2</v>
      </c>
      <c r="E8" s="2">
        <f t="shared" si="3"/>
        <v>2.170338983050847</v>
      </c>
      <c r="F8">
        <f t="shared" si="2"/>
        <v>0.14869591661906995</v>
      </c>
    </row>
    <row r="9" spans="2:11" x14ac:dyDescent="0.3">
      <c r="B9">
        <f t="shared" si="0"/>
        <v>5</v>
      </c>
      <c r="C9" s="12">
        <f t="shared" si="1"/>
        <v>5.4936719183370314E-2</v>
      </c>
      <c r="E9" s="2">
        <f t="shared" si="3"/>
        <v>2.1771186440677961</v>
      </c>
      <c r="F9">
        <f t="shared" si="2"/>
        <v>0.19563509498239126</v>
      </c>
      <c r="I9" t="s">
        <v>53</v>
      </c>
      <c r="J9">
        <f>1-_xlfn.EXPON.DIST(I7-K6,1/C2,1)</f>
        <v>0.51341711903259202</v>
      </c>
    </row>
    <row r="10" spans="2:11" x14ac:dyDescent="0.3">
      <c r="B10">
        <f t="shared" si="0"/>
        <v>6</v>
      </c>
      <c r="C10" s="12">
        <f t="shared" si="1"/>
        <v>5.0544221642719447E-2</v>
      </c>
      <c r="E10" s="2">
        <f t="shared" si="3"/>
        <v>2.1838983050847451</v>
      </c>
      <c r="F10">
        <f t="shared" si="2"/>
        <v>0.25468999443900492</v>
      </c>
    </row>
    <row r="11" spans="2:11" x14ac:dyDescent="0.3">
      <c r="B11">
        <f t="shared" si="0"/>
        <v>7</v>
      </c>
      <c r="C11" s="12">
        <f t="shared" si="1"/>
        <v>4.6502928814170591E-2</v>
      </c>
      <c r="E11" s="2">
        <f t="shared" si="3"/>
        <v>2.1906779661016942</v>
      </c>
      <c r="F11">
        <f t="shared" si="2"/>
        <v>0.3280910607030611</v>
      </c>
      <c r="H11" t="s">
        <v>99</v>
      </c>
      <c r="K11" s="1">
        <v>19</v>
      </c>
    </row>
    <row r="12" spans="2:11" x14ac:dyDescent="0.3">
      <c r="B12">
        <f t="shared" si="0"/>
        <v>8</v>
      </c>
      <c r="C12" s="12">
        <f t="shared" si="1"/>
        <v>4.2784759919382666E-2</v>
      </c>
      <c r="E12" s="2">
        <f t="shared" si="3"/>
        <v>2.1974576271186432</v>
      </c>
      <c r="F12">
        <f t="shared" si="2"/>
        <v>0.41820989725790586</v>
      </c>
      <c r="H12" t="s">
        <v>100</v>
      </c>
      <c r="I12" s="1">
        <v>20</v>
      </c>
      <c r="J12" t="s">
        <v>90</v>
      </c>
    </row>
    <row r="13" spans="2:11" x14ac:dyDescent="0.3">
      <c r="B13">
        <f t="shared" si="0"/>
        <v>9</v>
      </c>
      <c r="C13" s="12">
        <f t="shared" si="1"/>
        <v>3.9363879395084553E-2</v>
      </c>
      <c r="E13" s="2">
        <f t="shared" si="3"/>
        <v>2.2042372881355923</v>
      </c>
      <c r="F13">
        <f t="shared" si="2"/>
        <v>0.52748681764023986</v>
      </c>
    </row>
    <row r="14" spans="2:11" x14ac:dyDescent="0.3">
      <c r="B14">
        <f t="shared" si="0"/>
        <v>10</v>
      </c>
      <c r="C14" s="12">
        <f t="shared" si="1"/>
        <v>3.6216517375589855E-2</v>
      </c>
      <c r="E14" s="2">
        <f t="shared" si="3"/>
        <v>2.2110169491525413</v>
      </c>
      <c r="F14">
        <f t="shared" si="2"/>
        <v>0.65833403808258428</v>
      </c>
      <c r="I14" t="s">
        <v>44</v>
      </c>
      <c r="J14">
        <f>_xlfn.EXPON.DIST(I12,1/C2,1)-_xlfn.EXPON.DIST(K11,1/C2,1)</f>
        <v>1.6414054742347362E-2</v>
      </c>
    </row>
    <row r="15" spans="2:11" x14ac:dyDescent="0.3">
      <c r="B15">
        <f t="shared" si="0"/>
        <v>11</v>
      </c>
      <c r="C15" s="12">
        <f t="shared" si="1"/>
        <v>3.3320804528737279E-2</v>
      </c>
      <c r="E15" s="2">
        <f t="shared" si="3"/>
        <v>2.2177966101694904</v>
      </c>
      <c r="F15">
        <f t="shared" si="2"/>
        <v>0.81301471271875647</v>
      </c>
    </row>
    <row r="16" spans="2:11" x14ac:dyDescent="0.3">
      <c r="B16">
        <f t="shared" si="0"/>
        <v>12</v>
      </c>
      <c r="C16" s="12">
        <f t="shared" si="1"/>
        <v>3.0656620097620192E-2</v>
      </c>
      <c r="E16" s="2">
        <f t="shared" si="3"/>
        <v>2.2245762711864394</v>
      </c>
      <c r="F16">
        <f t="shared" si="2"/>
        <v>0.9935000535523697</v>
      </c>
      <c r="H16" t="s">
        <v>101</v>
      </c>
      <c r="J16" s="1">
        <v>0.82</v>
      </c>
    </row>
    <row r="17" spans="2:14" x14ac:dyDescent="0.3">
      <c r="B17">
        <f t="shared" si="0"/>
        <v>13</v>
      </c>
      <c r="C17" s="12">
        <f t="shared" si="1"/>
        <v>2.8205452092228515E-2</v>
      </c>
      <c r="E17" s="2">
        <f t="shared" si="3"/>
        <v>2.2313559322033885</v>
      </c>
      <c r="F17">
        <f t="shared" si="2"/>
        <v>1.2013091365229913</v>
      </c>
      <c r="H17" t="s">
        <v>102</v>
      </c>
    </row>
    <row r="18" spans="2:14" x14ac:dyDescent="0.3">
      <c r="B18">
        <f t="shared" si="0"/>
        <v>14</v>
      </c>
      <c r="C18" s="12">
        <f t="shared" si="1"/>
        <v>2.5950268659549809E-2</v>
      </c>
      <c r="E18" s="2">
        <f t="shared" si="3"/>
        <v>2.2381355932203375</v>
      </c>
      <c r="F18">
        <f t="shared" si="2"/>
        <v>1.437338506721112</v>
      </c>
    </row>
    <row r="19" spans="2:14" x14ac:dyDescent="0.3">
      <c r="B19">
        <f t="shared" si="0"/>
        <v>15</v>
      </c>
      <c r="C19" s="12">
        <f t="shared" si="1"/>
        <v>2.3875399738349172E-2</v>
      </c>
      <c r="E19" s="2">
        <f t="shared" si="3"/>
        <v>2.2449152542372866</v>
      </c>
      <c r="F19">
        <f t="shared" si="2"/>
        <v>1.7016911349531585</v>
      </c>
      <c r="I19" t="s">
        <v>44</v>
      </c>
      <c r="J19">
        <f>ABS(LN(1-J16))/(1/C2)</f>
        <v>20.577581137103117</v>
      </c>
    </row>
    <row r="20" spans="2:14" x14ac:dyDescent="0.3">
      <c r="B20">
        <f t="shared" si="0"/>
        <v>16</v>
      </c>
      <c r="C20" s="12">
        <f t="shared" si="1"/>
        <v>2.1966428176310563E-2</v>
      </c>
      <c r="E20" s="2">
        <f t="shared" si="3"/>
        <v>2.2516949152542356</v>
      </c>
      <c r="F20">
        <f t="shared" si="2"/>
        <v>1.9935163752673875</v>
      </c>
    </row>
    <row r="21" spans="2:14" x14ac:dyDescent="0.3">
      <c r="B21">
        <f t="shared" si="0"/>
        <v>17</v>
      </c>
      <c r="C21" s="12">
        <f t="shared" si="1"/>
        <v>2.0210089552970725E-2</v>
      </c>
      <c r="E21" s="2">
        <f t="shared" si="3"/>
        <v>2.2584745762711846</v>
      </c>
      <c r="F21">
        <f t="shared" si="2"/>
        <v>2.3108740395346712</v>
      </c>
      <c r="H21" t="s">
        <v>103</v>
      </c>
      <c r="I21" s="1">
        <v>0.52</v>
      </c>
      <c r="J21" t="s">
        <v>104</v>
      </c>
    </row>
    <row r="22" spans="2:14" x14ac:dyDescent="0.3">
      <c r="B22">
        <f t="shared" si="0"/>
        <v>18</v>
      </c>
      <c r="C22" s="12">
        <f t="shared" si="1"/>
        <v>1.8594180012369149E-2</v>
      </c>
      <c r="E22" s="2">
        <f t="shared" si="3"/>
        <v>2.2652542372881337</v>
      </c>
      <c r="F22">
        <f t="shared" si="2"/>
        <v>2.6506362635620828</v>
      </c>
      <c r="H22" t="s">
        <v>105</v>
      </c>
      <c r="I22" s="1">
        <v>10</v>
      </c>
      <c r="J22" t="s">
        <v>90</v>
      </c>
    </row>
    <row r="23" spans="2:14" x14ac:dyDescent="0.3">
      <c r="B23">
        <f t="shared" si="0"/>
        <v>19</v>
      </c>
      <c r="C23" s="12">
        <f t="shared" si="1"/>
        <v>1.7107471464992439E-2</v>
      </c>
      <c r="E23" s="2">
        <f t="shared" si="3"/>
        <v>2.2720338983050827</v>
      </c>
      <c r="F23">
        <f t="shared" si="2"/>
        <v>3.0084402613513892</v>
      </c>
      <c r="H23" t="s">
        <v>106</v>
      </c>
    </row>
    <row r="24" spans="2:14" x14ac:dyDescent="0.3">
      <c r="B24">
        <f t="shared" si="0"/>
        <v>20</v>
      </c>
      <c r="C24" s="12">
        <f t="shared" si="1"/>
        <v>1.573963356979682E-2</v>
      </c>
      <c r="E24" s="2">
        <f t="shared" si="3"/>
        <v>2.2788135593220318</v>
      </c>
      <c r="F24">
        <f t="shared" si="2"/>
        <v>3.3787032084231421</v>
      </c>
    </row>
    <row r="25" spans="2:14" x14ac:dyDescent="0.3">
      <c r="B25">
        <f t="shared" si="0"/>
        <v>21</v>
      </c>
      <c r="C25" s="12">
        <f t="shared" si="1"/>
        <v>1.448116195420376E-2</v>
      </c>
      <c r="E25" s="2">
        <f t="shared" si="3"/>
        <v>2.2855932203389808</v>
      </c>
      <c r="F25">
        <f t="shared" si="2"/>
        <v>3.7547073393149519</v>
      </c>
      <c r="H25" t="s">
        <v>107</v>
      </c>
      <c r="I25" t="s">
        <v>44</v>
      </c>
      <c r="J25" s="17"/>
      <c r="N25" s="16">
        <f>1/(-LN(I21)/I22)</f>
        <v>15.292239263013649</v>
      </c>
    </row>
    <row r="26" spans="2:14" x14ac:dyDescent="0.3">
      <c r="B26">
        <f t="shared" si="0"/>
        <v>22</v>
      </c>
      <c r="C26" s="12">
        <f t="shared" si="1"/>
        <v>1.3323312173307825E-2</v>
      </c>
      <c r="E26" s="2">
        <f t="shared" si="3"/>
        <v>2.2923728813559299</v>
      </c>
      <c r="F26">
        <f t="shared" si="2"/>
        <v>4.1287590076702081</v>
      </c>
    </row>
    <row r="27" spans="2:14" x14ac:dyDescent="0.3">
      <c r="B27">
        <f t="shared" si="0"/>
        <v>23</v>
      </c>
      <c r="C27" s="12">
        <f t="shared" si="1"/>
        <v>1.2258038949414737E-2</v>
      </c>
      <c r="E27" s="2">
        <f t="shared" si="3"/>
        <v>2.2991525423728789</v>
      </c>
      <c r="F27">
        <f t="shared" si="2"/>
        <v>4.4924202074130255</v>
      </c>
      <c r="H27" t="s">
        <v>123</v>
      </c>
      <c r="J27" s="1">
        <v>2.4249999999999998</v>
      </c>
    </row>
    <row r="28" spans="2:14" x14ac:dyDescent="0.3">
      <c r="B28">
        <f t="shared" si="0"/>
        <v>24</v>
      </c>
      <c r="C28" s="12">
        <f t="shared" si="1"/>
        <v>1.1277940269717724E-2</v>
      </c>
      <c r="E28" s="2">
        <f t="shared" si="3"/>
        <v>2.305932203389828</v>
      </c>
      <c r="F28">
        <f t="shared" si="2"/>
        <v>4.8368052946047095</v>
      </c>
    </row>
    <row r="29" spans="2:14" x14ac:dyDescent="0.3">
      <c r="B29">
        <f t="shared" si="0"/>
        <v>25</v>
      </c>
      <c r="C29" s="12">
        <f t="shared" si="1"/>
        <v>1.0376205953676918E-2</v>
      </c>
      <c r="E29" s="2">
        <f t="shared" si="3"/>
        <v>2.312711864406777</v>
      </c>
      <c r="F29">
        <f t="shared" si="2"/>
        <v>5.1529298911185677</v>
      </c>
      <c r="I29" t="s">
        <v>44</v>
      </c>
      <c r="J29">
        <f>_xlfn.NORM.DIST(J27,H1,H2,1)</f>
        <v>0.87209779601169091</v>
      </c>
    </row>
    <row r="30" spans="2:14" x14ac:dyDescent="0.3">
      <c r="B30">
        <f t="shared" si="0"/>
        <v>26</v>
      </c>
      <c r="C30" s="12">
        <f t="shared" si="1"/>
        <v>9.5465703327239776E-3</v>
      </c>
      <c r="E30" s="2">
        <f t="shared" si="3"/>
        <v>2.3194915254237261</v>
      </c>
      <c r="F30">
        <f t="shared" si="2"/>
        <v>5.4320937587965217</v>
      </c>
    </row>
    <row r="31" spans="2:14" x14ac:dyDescent="0.3">
      <c r="B31">
        <f t="shared" si="0"/>
        <v>27</v>
      </c>
      <c r="C31" s="12">
        <f t="shared" si="1"/>
        <v>8.7832687134886938E-3</v>
      </c>
      <c r="E31" s="2">
        <f t="shared" si="3"/>
        <v>2.3262711864406751</v>
      </c>
      <c r="F31">
        <f t="shared" si="2"/>
        <v>5.6662753661462819</v>
      </c>
      <c r="H31" t="s">
        <v>124</v>
      </c>
      <c r="J31" s="1">
        <v>2.2749999999999999</v>
      </c>
    </row>
    <row r="32" spans="2:14" x14ac:dyDescent="0.3">
      <c r="B32">
        <f t="shared" si="0"/>
        <v>28</v>
      </c>
      <c r="C32" s="12">
        <f t="shared" si="1"/>
        <v>8.0809973220337568E-3</v>
      </c>
      <c r="E32" s="2">
        <f t="shared" si="3"/>
        <v>2.3330508474576241</v>
      </c>
      <c r="F32">
        <f t="shared" si="2"/>
        <v>5.8485134159937138</v>
      </c>
    </row>
    <row r="33" spans="2:15" x14ac:dyDescent="0.3">
      <c r="B33">
        <f t="shared" si="0"/>
        <v>29</v>
      </c>
      <c r="C33" s="12">
        <f t="shared" si="1"/>
        <v>7.4348764507716752E-3</v>
      </c>
      <c r="E33" s="2">
        <f t="shared" si="3"/>
        <v>2.3398305084745732</v>
      </c>
      <c r="F33">
        <f t="shared" si="2"/>
        <v>5.9732501125460429</v>
      </c>
      <c r="I33" t="s">
        <v>44</v>
      </c>
      <c r="J33">
        <f>1-_xlfn.NORM.DIST(J31,H1,H2,1)</f>
        <v>0.87209779601169235</v>
      </c>
    </row>
    <row r="34" spans="2:15" x14ac:dyDescent="0.3">
      <c r="B34">
        <f t="shared" si="0"/>
        <v>30</v>
      </c>
      <c r="C34" s="12">
        <f t="shared" si="1"/>
        <v>6.8404165519915664E-3</v>
      </c>
      <c r="E34" s="2">
        <f t="shared" si="3"/>
        <v>2.3466101694915222</v>
      </c>
      <c r="F34">
        <f t="shared" si="2"/>
        <v>6.0366125835359892</v>
      </c>
    </row>
    <row r="35" spans="2:15" x14ac:dyDescent="0.3">
      <c r="B35">
        <f t="shared" si="0"/>
        <v>31</v>
      </c>
      <c r="C35" s="12">
        <f t="shared" si="1"/>
        <v>6.2934870423978157E-3</v>
      </c>
      <c r="E35" s="2">
        <f t="shared" si="3"/>
        <v>2.3533898305084713</v>
      </c>
      <c r="F35">
        <f t="shared" si="2"/>
        <v>6.0366125835360203</v>
      </c>
      <c r="H35" t="s">
        <v>108</v>
      </c>
      <c r="J35" s="1">
        <v>0.46100000000000002</v>
      </c>
    </row>
    <row r="36" spans="2:15" x14ac:dyDescent="0.3">
      <c r="B36">
        <f t="shared" si="0"/>
        <v>32</v>
      </c>
      <c r="C36" s="12">
        <f t="shared" si="1"/>
        <v>5.7902876019001286E-3</v>
      </c>
      <c r="E36" s="2">
        <f t="shared" si="3"/>
        <v>2.3601694915254203</v>
      </c>
      <c r="F36">
        <f t="shared" si="2"/>
        <v>5.9732501125461361</v>
      </c>
    </row>
    <row r="37" spans="2:15" x14ac:dyDescent="0.3">
      <c r="B37">
        <f t="shared" si="0"/>
        <v>33</v>
      </c>
      <c r="C37" s="12">
        <f t="shared" si="1"/>
        <v>5.3273217672256306E-3</v>
      </c>
      <c r="E37" s="2">
        <f t="shared" si="3"/>
        <v>2.3669491525423694</v>
      </c>
      <c r="F37">
        <f t="shared" si="2"/>
        <v>5.8485134159938656</v>
      </c>
      <c r="I37" t="s">
        <v>44</v>
      </c>
      <c r="J37" t="s">
        <v>109</v>
      </c>
    </row>
    <row r="38" spans="2:15" x14ac:dyDescent="0.3">
      <c r="B38">
        <f t="shared" si="0"/>
        <v>34</v>
      </c>
      <c r="C38" s="12">
        <f t="shared" si="1"/>
        <v>4.9013726368691592E-3</v>
      </c>
      <c r="E38" s="2">
        <f t="shared" si="3"/>
        <v>2.3737288135593184</v>
      </c>
      <c r="F38">
        <f t="shared" si="2"/>
        <v>5.666275366146488</v>
      </c>
      <c r="J38" t="s">
        <v>110</v>
      </c>
      <c r="K38" t="s">
        <v>111</v>
      </c>
      <c r="L38">
        <f>J35</f>
        <v>0.46100000000000002</v>
      </c>
      <c r="M38">
        <f>H1</f>
        <v>2.35</v>
      </c>
      <c r="N38">
        <f>H2</f>
        <v>6.6000000000000003E-2</v>
      </c>
      <c r="O38" t="s">
        <v>68</v>
      </c>
    </row>
    <row r="39" spans="2:15" x14ac:dyDescent="0.3">
      <c r="B39">
        <f t="shared" si="0"/>
        <v>35</v>
      </c>
      <c r="C39" s="12">
        <f t="shared" si="1"/>
        <v>4.5094805185684674E-3</v>
      </c>
      <c r="E39" s="2">
        <f t="shared" si="3"/>
        <v>2.3805084745762675</v>
      </c>
      <c r="F39">
        <f t="shared" si="2"/>
        <v>5.4320937587967748</v>
      </c>
    </row>
    <row r="40" spans="2:15" x14ac:dyDescent="0.3">
      <c r="B40">
        <f t="shared" si="0"/>
        <v>36</v>
      </c>
      <c r="C40" s="12">
        <f t="shared" si="1"/>
        <v>4.1489223639886615E-3</v>
      </c>
      <c r="E40" s="2">
        <f t="shared" si="3"/>
        <v>2.3872881355932165</v>
      </c>
      <c r="F40">
        <f t="shared" si="2"/>
        <v>5.1529298911188617</v>
      </c>
    </row>
    <row r="41" spans="2:15" x14ac:dyDescent="0.3">
      <c r="B41">
        <f t="shared" si="0"/>
        <v>37</v>
      </c>
      <c r="C41" s="12">
        <f t="shared" si="1"/>
        <v>3.8171928477184576E-3</v>
      </c>
      <c r="E41" s="2">
        <f t="shared" si="3"/>
        <v>2.3940677966101656</v>
      </c>
      <c r="F41">
        <f t="shared" si="2"/>
        <v>4.8368052946050355</v>
      </c>
    </row>
    <row r="42" spans="2:15" x14ac:dyDescent="0.3">
      <c r="B42">
        <f t="shared" si="0"/>
        <v>38</v>
      </c>
      <c r="C42" s="12">
        <f t="shared" si="1"/>
        <v>3.5119869591063672E-3</v>
      </c>
      <c r="E42" s="2">
        <f t="shared" si="3"/>
        <v>2.4008474576271146</v>
      </c>
      <c r="F42">
        <f t="shared" si="2"/>
        <v>4.4924202074133754</v>
      </c>
    </row>
    <row r="43" spans="2:15" x14ac:dyDescent="0.3">
      <c r="B43">
        <f t="shared" si="0"/>
        <v>39</v>
      </c>
      <c r="C43" s="12">
        <f t="shared" si="1"/>
        <v>3.2311839859768339E-3</v>
      </c>
      <c r="E43" s="2">
        <f t="shared" si="3"/>
        <v>2.4076271186440636</v>
      </c>
      <c r="F43">
        <f t="shared" si="2"/>
        <v>4.1287590076705722</v>
      </c>
    </row>
    <row r="44" spans="2:15" x14ac:dyDescent="0.3">
      <c r="B44">
        <f t="shared" si="0"/>
        <v>40</v>
      </c>
      <c r="C44" s="12">
        <f t="shared" si="1"/>
        <v>2.9728327789377007E-3</v>
      </c>
      <c r="E44" s="2">
        <f t="shared" si="3"/>
        <v>2.4144067796610127</v>
      </c>
      <c r="F44">
        <f t="shared" si="2"/>
        <v>3.754707339315321</v>
      </c>
    </row>
    <row r="45" spans="2:15" x14ac:dyDescent="0.3">
      <c r="B45">
        <f t="shared" si="0"/>
        <v>41</v>
      </c>
      <c r="C45" s="12">
        <f t="shared" si="1"/>
        <v>2.7351381938886003E-3</v>
      </c>
      <c r="E45" s="2">
        <f t="shared" si="3"/>
        <v>2.4211864406779617</v>
      </c>
      <c r="F45">
        <f t="shared" si="2"/>
        <v>3.3787032084235098</v>
      </c>
    </row>
    <row r="46" spans="2:15" x14ac:dyDescent="0.3">
      <c r="B46">
        <f t="shared" si="0"/>
        <v>42</v>
      </c>
      <c r="C46" s="12">
        <f t="shared" si="1"/>
        <v>2.5164486185265417E-3</v>
      </c>
      <c r="E46" s="2">
        <f t="shared" si="3"/>
        <v>2.4279661016949108</v>
      </c>
      <c r="F46">
        <f t="shared" si="2"/>
        <v>3.0084402613517471</v>
      </c>
    </row>
    <row r="47" spans="2:15" x14ac:dyDescent="0.3">
      <c r="B47">
        <f t="shared" si="0"/>
        <v>43</v>
      </c>
      <c r="C47" s="12">
        <f t="shared" si="1"/>
        <v>2.3152444961770215E-3</v>
      </c>
      <c r="E47" s="2">
        <f t="shared" si="3"/>
        <v>2.4347457627118598</v>
      </c>
      <c r="F47">
        <f t="shared" si="2"/>
        <v>2.6506362635624261</v>
      </c>
    </row>
    <row r="48" spans="2:15" x14ac:dyDescent="0.3">
      <c r="B48">
        <f t="shared" si="0"/>
        <v>44</v>
      </c>
      <c r="C48" s="12">
        <f t="shared" si="1"/>
        <v>2.1301277672089499E-3</v>
      </c>
      <c r="E48" s="2">
        <f t="shared" si="3"/>
        <v>2.4415254237288089</v>
      </c>
      <c r="F48">
        <f t="shared" si="2"/>
        <v>2.3108740395349949</v>
      </c>
    </row>
    <row r="49" spans="2:6" x14ac:dyDescent="0.3">
      <c r="B49">
        <f t="shared" si="0"/>
        <v>45</v>
      </c>
      <c r="C49" s="12">
        <f t="shared" si="1"/>
        <v>1.9598121546674256E-3</v>
      </c>
      <c r="E49" s="2">
        <f t="shared" si="3"/>
        <v>2.4483050847457579</v>
      </c>
      <c r="F49">
        <f t="shared" si="2"/>
        <v>1.9935163752676881</v>
      </c>
    </row>
    <row r="50" spans="2:6" x14ac:dyDescent="0.3">
      <c r="B50">
        <f t="shared" si="0"/>
        <v>46</v>
      </c>
      <c r="C50" s="12">
        <f t="shared" si="1"/>
        <v>1.8031142266244249E-3</v>
      </c>
      <c r="E50" s="2">
        <f t="shared" si="3"/>
        <v>2.455084745762707</v>
      </c>
      <c r="F50">
        <f t="shared" si="2"/>
        <v>1.7016911349534318</v>
      </c>
    </row>
    <row r="51" spans="2:6" x14ac:dyDescent="0.3">
      <c r="B51">
        <f t="shared" si="0"/>
        <v>47</v>
      </c>
      <c r="C51" s="12">
        <f t="shared" si="1"/>
        <v>1.6589451731444738E-3</v>
      </c>
      <c r="E51" s="2">
        <f t="shared" si="3"/>
        <v>2.461864406779656</v>
      </c>
      <c r="F51">
        <f t="shared" si="2"/>
        <v>1.4373385067213578</v>
      </c>
    </row>
    <row r="52" spans="2:6" x14ac:dyDescent="0.3">
      <c r="B52">
        <f t="shared" si="0"/>
        <v>48</v>
      </c>
      <c r="C52" s="12">
        <f t="shared" si="1"/>
        <v>1.5263032407278482E-3</v>
      </c>
      <c r="E52" s="2">
        <f t="shared" si="3"/>
        <v>2.4686440677966051</v>
      </c>
      <c r="F52">
        <f t="shared" si="2"/>
        <v>1.2013091365232091</v>
      </c>
    </row>
    <row r="53" spans="2:6" x14ac:dyDescent="0.3">
      <c r="B53">
        <f t="shared" si="0"/>
        <v>49</v>
      </c>
      <c r="C53" s="12">
        <f t="shared" si="1"/>
        <v>1.4042667716622926E-3</v>
      </c>
      <c r="E53" s="2">
        <f t="shared" si="3"/>
        <v>2.4754237288135541</v>
      </c>
      <c r="F53">
        <f t="shared" si="2"/>
        <v>0.99350005355255977</v>
      </c>
    </row>
    <row r="54" spans="2:6" x14ac:dyDescent="0.3">
      <c r="B54">
        <f t="shared" si="0"/>
        <v>50</v>
      </c>
      <c r="C54" s="12">
        <f t="shared" si="1"/>
        <v>1.291987799917444E-3</v>
      </c>
      <c r="E54" s="2">
        <f t="shared" si="3"/>
        <v>2.4822033898305031</v>
      </c>
      <c r="F54">
        <f t="shared" si="2"/>
        <v>0.81301471271892034</v>
      </c>
    </row>
    <row r="55" spans="2:6" x14ac:dyDescent="0.3">
      <c r="B55">
        <f t="shared" si="0"/>
        <v>51</v>
      </c>
      <c r="C55" s="12">
        <f t="shared" si="1"/>
        <v>1.1886861590832713E-3</v>
      </c>
      <c r="E55" s="2">
        <f t="shared" si="3"/>
        <v>2.4889830508474522</v>
      </c>
      <c r="F55">
        <f t="shared" si="2"/>
        <v>0.65833403808272462</v>
      </c>
    </row>
    <row r="56" spans="2:6" x14ac:dyDescent="0.3">
      <c r="B56">
        <f t="shared" si="0"/>
        <v>52</v>
      </c>
      <c r="C56" s="12">
        <f t="shared" si="1"/>
        <v>1.0936440614117472E-3</v>
      </c>
      <c r="E56" s="2">
        <f t="shared" si="3"/>
        <v>2.4957627118644012</v>
      </c>
      <c r="F56">
        <f t="shared" si="2"/>
        <v>0.52748681764035721</v>
      </c>
    </row>
    <row r="57" spans="2:6" x14ac:dyDescent="0.3">
      <c r="B57">
        <f t="shared" si="0"/>
        <v>53</v>
      </c>
      <c r="C57" s="12">
        <f t="shared" si="1"/>
        <v>1.0062011102944068E-3</v>
      </c>
      <c r="E57" s="2">
        <f t="shared" si="3"/>
        <v>2.5025423728813503</v>
      </c>
      <c r="F57">
        <f t="shared" si="2"/>
        <v>0.41820989725800323</v>
      </c>
    </row>
    <row r="58" spans="2:6" x14ac:dyDescent="0.3">
      <c r="B58">
        <f t="shared" si="0"/>
        <v>54</v>
      </c>
      <c r="C58" s="12">
        <f t="shared" si="1"/>
        <v>9.2574971152019217E-4</v>
      </c>
      <c r="E58" s="2">
        <f t="shared" si="3"/>
        <v>2.5093220338982993</v>
      </c>
      <c r="F58">
        <f t="shared" si="2"/>
        <v>0.32809106070314098</v>
      </c>
    </row>
    <row r="59" spans="2:6" x14ac:dyDescent="0.3">
      <c r="B59">
        <f t="shared" si="0"/>
        <v>55</v>
      </c>
      <c r="C59" s="12">
        <f t="shared" si="1"/>
        <v>8.5173085142886034E-4</v>
      </c>
      <c r="E59" s="2">
        <f t="shared" si="3"/>
        <v>2.5161016949152484</v>
      </c>
      <c r="F59">
        <f t="shared" si="2"/>
        <v>0.25468999443906953</v>
      </c>
    </row>
    <row r="60" spans="2:6" x14ac:dyDescent="0.3">
      <c r="B60">
        <f t="shared" si="0"/>
        <v>56</v>
      </c>
      <c r="C60" s="12">
        <f t="shared" si="1"/>
        <v>7.8363021262460109E-4</v>
      </c>
      <c r="E60" s="2">
        <f t="shared" si="3"/>
        <v>2.5228813559321974</v>
      </c>
      <c r="F60">
        <f t="shared" si="2"/>
        <v>0.19563509498244316</v>
      </c>
    </row>
    <row r="61" spans="2:6" x14ac:dyDescent="0.3">
      <c r="B61">
        <f t="shared" si="0"/>
        <v>57</v>
      </c>
      <c r="C61" s="12">
        <f t="shared" si="1"/>
        <v>7.209746002600528E-4</v>
      </c>
      <c r="E61" s="2">
        <f t="shared" si="3"/>
        <v>2.5296610169491465</v>
      </c>
      <c r="F61">
        <f t="shared" si="2"/>
        <v>0.14869591661911075</v>
      </c>
    </row>
    <row r="62" spans="2:6" x14ac:dyDescent="0.3">
      <c r="B62">
        <f t="shared" si="0"/>
        <v>58</v>
      </c>
      <c r="C62" s="12">
        <f t="shared" si="1"/>
        <v>6.6332865405887079E-4</v>
      </c>
      <c r="E62" s="2">
        <f t="shared" si="3"/>
        <v>2.5364406779660955</v>
      </c>
      <c r="F62">
        <f t="shared" si="2"/>
        <v>0.11183267534310387</v>
      </c>
    </row>
    <row r="63" spans="2:6" x14ac:dyDescent="0.3">
      <c r="B63">
        <f t="shared" si="0"/>
        <v>59</v>
      </c>
      <c r="C63" s="12">
        <f t="shared" si="1"/>
        <v>6.1029182323045082E-4</v>
      </c>
      <c r="E63" s="2">
        <f t="shared" si="3"/>
        <v>2.5432203389830446</v>
      </c>
      <c r="F63">
        <f t="shared" si="2"/>
        <v>8.3225379069490762E-2</v>
      </c>
    </row>
    <row r="64" spans="2:6" x14ac:dyDescent="0.3">
      <c r="B64">
        <f t="shared" si="0"/>
        <v>60</v>
      </c>
      <c r="C64" s="12">
        <f t="shared" si="1"/>
        <v>5.6149558325712225E-4</v>
      </c>
      <c r="E64" s="2">
        <f t="shared" si="3"/>
        <v>2.5499999999999936</v>
      </c>
      <c r="F64">
        <f t="shared" si="2"/>
        <v>6.1285854331631535E-2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2F9ED-9F23-4E48-8B13-76FC95111DDD}">
  <dimension ref="B2:I35"/>
  <sheetViews>
    <sheetView topLeftCell="A9" workbookViewId="0">
      <selection activeCell="E19" sqref="E19"/>
    </sheetView>
  </sheetViews>
  <sheetFormatPr baseColWidth="10" defaultRowHeight="14.4" x14ac:dyDescent="0.3"/>
  <sheetData>
    <row r="2" spans="2:9" x14ac:dyDescent="0.3">
      <c r="B2" t="s">
        <v>125</v>
      </c>
      <c r="C2" s="1">
        <v>2.5</v>
      </c>
      <c r="D2" t="s">
        <v>10</v>
      </c>
      <c r="E2" s="18">
        <f>C2*60</f>
        <v>150</v>
      </c>
      <c r="F2" s="14" t="s">
        <v>129</v>
      </c>
    </row>
    <row r="3" spans="2:9" x14ac:dyDescent="0.3">
      <c r="B3" t="s">
        <v>126</v>
      </c>
      <c r="C3" s="1">
        <v>38</v>
      </c>
      <c r="D3" t="s">
        <v>127</v>
      </c>
      <c r="E3" s="18">
        <f>C3/60</f>
        <v>0.6333333333333333</v>
      </c>
      <c r="F3" s="14" t="s">
        <v>128</v>
      </c>
    </row>
    <row r="6" spans="2:9" x14ac:dyDescent="0.3">
      <c r="B6" t="s">
        <v>130</v>
      </c>
    </row>
    <row r="7" spans="2:9" x14ac:dyDescent="0.3">
      <c r="B7" s="1">
        <v>203</v>
      </c>
      <c r="C7" t="s">
        <v>127</v>
      </c>
    </row>
    <row r="9" spans="2:9" x14ac:dyDescent="0.3">
      <c r="D9" t="s">
        <v>44</v>
      </c>
      <c r="E9">
        <f>_xlfn.NORM.DIST(B7,E2,C3,1)</f>
        <v>0.91845239468505147</v>
      </c>
    </row>
    <row r="11" spans="2:9" x14ac:dyDescent="0.3">
      <c r="B11" t="s">
        <v>131</v>
      </c>
      <c r="E11" s="1">
        <v>0.85</v>
      </c>
    </row>
    <row r="12" spans="2:9" x14ac:dyDescent="0.3">
      <c r="B12" t="s">
        <v>132</v>
      </c>
    </row>
    <row r="14" spans="2:9" x14ac:dyDescent="0.3">
      <c r="B14" t="s">
        <v>133</v>
      </c>
      <c r="E14">
        <f>E11</f>
        <v>0.85</v>
      </c>
      <c r="F14">
        <f>E2</f>
        <v>150</v>
      </c>
      <c r="G14">
        <f>C3</f>
        <v>38</v>
      </c>
      <c r="H14" t="s">
        <v>68</v>
      </c>
    </row>
    <row r="15" spans="2:9" x14ac:dyDescent="0.3">
      <c r="I15" t="s">
        <v>140</v>
      </c>
    </row>
    <row r="17" spans="2:5" x14ac:dyDescent="0.3">
      <c r="B17" t="s">
        <v>134</v>
      </c>
    </row>
    <row r="18" spans="2:5" x14ac:dyDescent="0.3">
      <c r="B18" t="s">
        <v>135</v>
      </c>
      <c r="C18" s="1">
        <v>33</v>
      </c>
      <c r="D18" t="s">
        <v>136</v>
      </c>
    </row>
    <row r="20" spans="2:5" x14ac:dyDescent="0.3">
      <c r="D20" s="19" t="s">
        <v>138</v>
      </c>
      <c r="E20">
        <f>C18*C2</f>
        <v>82.5</v>
      </c>
    </row>
    <row r="22" spans="2:5" x14ac:dyDescent="0.3">
      <c r="D22" s="19" t="s">
        <v>137</v>
      </c>
    </row>
    <row r="24" spans="2:5" x14ac:dyDescent="0.3">
      <c r="B24" t="s">
        <v>139</v>
      </c>
      <c r="D24" s="1">
        <v>12</v>
      </c>
      <c r="E24" t="s">
        <v>141</v>
      </c>
    </row>
    <row r="25" spans="2:5" x14ac:dyDescent="0.3">
      <c r="B25" t="s">
        <v>142</v>
      </c>
    </row>
    <row r="26" spans="2:5" x14ac:dyDescent="0.3">
      <c r="B26" t="s">
        <v>143</v>
      </c>
      <c r="D26" s="1">
        <v>157</v>
      </c>
      <c r="E26" t="s">
        <v>127</v>
      </c>
    </row>
    <row r="28" spans="2:5" x14ac:dyDescent="0.3">
      <c r="D28" t="s">
        <v>44</v>
      </c>
      <c r="E28">
        <f>1-_xlfn.NORM.DIST(D26,E2,C3/SQRT(D24),1)</f>
        <v>0.26169648831813852</v>
      </c>
    </row>
    <row r="31" spans="2:5" x14ac:dyDescent="0.3">
      <c r="B31" t="s">
        <v>144</v>
      </c>
    </row>
    <row r="33" spans="4:4" x14ac:dyDescent="0.3">
      <c r="D33" t="s">
        <v>145</v>
      </c>
    </row>
    <row r="35" spans="4:4" x14ac:dyDescent="0.3">
      <c r="D35" t="s">
        <v>146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BF23B-669C-46BC-8D21-4AC9DF7DA7A5}">
  <dimension ref="B2:M41"/>
  <sheetViews>
    <sheetView tabSelected="1" zoomScale="85" zoomScaleNormal="85" workbookViewId="0">
      <selection activeCell="M24" sqref="M24"/>
    </sheetView>
  </sheetViews>
  <sheetFormatPr baseColWidth="10" defaultRowHeight="14.4" x14ac:dyDescent="0.3"/>
  <cols>
    <col min="2" max="2" width="12.109375" customWidth="1"/>
    <col min="3" max="3" width="12.77734375" customWidth="1"/>
    <col min="13" max="13" width="15.33203125" customWidth="1"/>
  </cols>
  <sheetData>
    <row r="2" spans="2:13" x14ac:dyDescent="0.3">
      <c r="B2" t="s">
        <v>147</v>
      </c>
      <c r="C2" s="1">
        <v>8.3000000000000007</v>
      </c>
      <c r="D2" t="s">
        <v>127</v>
      </c>
    </row>
    <row r="3" spans="2:13" x14ac:dyDescent="0.3">
      <c r="B3" t="s">
        <v>148</v>
      </c>
      <c r="C3" s="1">
        <v>45</v>
      </c>
      <c r="D3" t="s">
        <v>149</v>
      </c>
    </row>
    <row r="5" spans="2:13" x14ac:dyDescent="0.3">
      <c r="B5" t="s">
        <v>154</v>
      </c>
      <c r="E5" s="1">
        <v>3.4</v>
      </c>
      <c r="F5" t="s">
        <v>129</v>
      </c>
      <c r="J5">
        <v>1</v>
      </c>
      <c r="K5" t="s">
        <v>209</v>
      </c>
    </row>
    <row r="7" spans="2:13" x14ac:dyDescent="0.3">
      <c r="C7" t="s">
        <v>150</v>
      </c>
      <c r="D7">
        <f>(POWER(G8-G7,2))/12</f>
        <v>8.0033333333333356</v>
      </c>
      <c r="F7" t="s">
        <v>151</v>
      </c>
      <c r="G7">
        <f>E5</f>
        <v>3.4</v>
      </c>
      <c r="L7" t="s">
        <v>210</v>
      </c>
      <c r="M7">
        <f>1/C2</f>
        <v>0.12048192771084336</v>
      </c>
    </row>
    <row r="8" spans="2:13" x14ac:dyDescent="0.3">
      <c r="E8" t="s">
        <v>152</v>
      </c>
      <c r="F8" t="s">
        <v>153</v>
      </c>
      <c r="G8">
        <f>C2*2-G7</f>
        <v>13.200000000000001</v>
      </c>
      <c r="L8" t="s">
        <v>211</v>
      </c>
      <c r="M8">
        <f>1/POWER(M7,2)</f>
        <v>68.890000000000015</v>
      </c>
    </row>
    <row r="14" spans="2:13" x14ac:dyDescent="0.3">
      <c r="B14" t="s">
        <v>174</v>
      </c>
      <c r="E14" s="1">
        <v>7.58</v>
      </c>
      <c r="F14" t="s">
        <v>129</v>
      </c>
      <c r="J14">
        <v>2</v>
      </c>
    </row>
    <row r="16" spans="2:13" x14ac:dyDescent="0.3">
      <c r="B16" t="s">
        <v>175</v>
      </c>
      <c r="C16" t="s">
        <v>155</v>
      </c>
      <c r="D16">
        <f>1-(E14-G7)/(G8-G7)</f>
        <v>0.57346938775510203</v>
      </c>
      <c r="K16" t="s">
        <v>175</v>
      </c>
      <c r="L16" t="s">
        <v>44</v>
      </c>
      <c r="M16" s="20">
        <f>1-EXP(-M7*E14)</f>
        <v>0.59878306465109388</v>
      </c>
    </row>
    <row r="17" spans="2:13" x14ac:dyDescent="0.3">
      <c r="B17" t="s">
        <v>176</v>
      </c>
      <c r="C17" t="s">
        <v>155</v>
      </c>
      <c r="D17">
        <f>1-D16</f>
        <v>0.42653061224489797</v>
      </c>
      <c r="K17" t="s">
        <v>212</v>
      </c>
      <c r="L17" t="s">
        <v>44</v>
      </c>
      <c r="M17">
        <f>1-M16</f>
        <v>0.40121693534890612</v>
      </c>
    </row>
    <row r="19" spans="2:13" x14ac:dyDescent="0.3">
      <c r="B19" t="s">
        <v>156</v>
      </c>
      <c r="E19" s="1">
        <v>11.33</v>
      </c>
      <c r="F19" t="s">
        <v>129</v>
      </c>
      <c r="J19">
        <v>3</v>
      </c>
    </row>
    <row r="21" spans="2:13" x14ac:dyDescent="0.3">
      <c r="C21" t="s">
        <v>155</v>
      </c>
      <c r="D21">
        <f>1-(E19-G7)/(G8-G7)</f>
        <v>0.19081632653061231</v>
      </c>
      <c r="K21" t="s">
        <v>175</v>
      </c>
      <c r="L21" t="s">
        <v>53</v>
      </c>
      <c r="M21" s="20">
        <f>1-EXP(-M7*E19)</f>
        <v>0.74463470792661823</v>
      </c>
    </row>
    <row r="22" spans="2:13" x14ac:dyDescent="0.3">
      <c r="K22" t="s">
        <v>212</v>
      </c>
      <c r="L22" t="s">
        <v>53</v>
      </c>
      <c r="M22">
        <f>1-M21</f>
        <v>0.25536529207338177</v>
      </c>
    </row>
    <row r="23" spans="2:13" x14ac:dyDescent="0.3">
      <c r="B23" t="s">
        <v>157</v>
      </c>
      <c r="E23" s="1">
        <v>4.3</v>
      </c>
      <c r="F23" t="s">
        <v>158</v>
      </c>
    </row>
    <row r="24" spans="2:13" x14ac:dyDescent="0.3">
      <c r="B24" t="s">
        <v>159</v>
      </c>
      <c r="D24" s="1">
        <v>10.9</v>
      </c>
      <c r="E24" t="s">
        <v>160</v>
      </c>
      <c r="J24">
        <v>4</v>
      </c>
    </row>
    <row r="25" spans="2:13" x14ac:dyDescent="0.3">
      <c r="B25" t="s">
        <v>161</v>
      </c>
    </row>
    <row r="26" spans="2:13" x14ac:dyDescent="0.3">
      <c r="G26" t="s">
        <v>129</v>
      </c>
      <c r="H26" t="s">
        <v>165</v>
      </c>
      <c r="K26" t="s">
        <v>213</v>
      </c>
    </row>
    <row r="27" spans="2:13" x14ac:dyDescent="0.3">
      <c r="C27" t="s">
        <v>164</v>
      </c>
      <c r="D27">
        <f>(G27+G28)/2</f>
        <v>373.5</v>
      </c>
      <c r="F27" t="s">
        <v>162</v>
      </c>
      <c r="G27">
        <f>G7*C3</f>
        <v>153</v>
      </c>
      <c r="H27">
        <f>G27*$D$24</f>
        <v>1667.7</v>
      </c>
    </row>
    <row r="28" spans="2:13" x14ac:dyDescent="0.3">
      <c r="F28" t="s">
        <v>163</v>
      </c>
      <c r="G28">
        <f>G8*C3</f>
        <v>594</v>
      </c>
      <c r="H28">
        <f>G28*$D$24</f>
        <v>6474.6</v>
      </c>
    </row>
    <row r="29" spans="2:13" x14ac:dyDescent="0.3">
      <c r="C29" t="s">
        <v>155</v>
      </c>
      <c r="D29">
        <f>1-((E23*1000-H27)/(H28-H27))</f>
        <v>0.45239135409515485</v>
      </c>
    </row>
    <row r="31" spans="2:13" x14ac:dyDescent="0.3">
      <c r="J31">
        <v>5</v>
      </c>
    </row>
    <row r="32" spans="2:13" x14ac:dyDescent="0.3">
      <c r="B32" t="s">
        <v>166</v>
      </c>
      <c r="D32" s="1">
        <v>0.99</v>
      </c>
      <c r="E32" t="s">
        <v>167</v>
      </c>
    </row>
    <row r="33" spans="2:11" x14ac:dyDescent="0.3">
      <c r="B33" t="s">
        <v>168</v>
      </c>
      <c r="K33" t="s">
        <v>214</v>
      </c>
    </row>
    <row r="35" spans="2:11" x14ac:dyDescent="0.3">
      <c r="B35" t="s">
        <v>169</v>
      </c>
      <c r="C35" t="s">
        <v>155</v>
      </c>
      <c r="D35">
        <f>D32*(H28-H27)+H27</f>
        <v>6426.5309999999999</v>
      </c>
      <c r="E35" s="7" t="s">
        <v>171</v>
      </c>
    </row>
    <row r="36" spans="2:11" x14ac:dyDescent="0.3">
      <c r="B36" t="s">
        <v>170</v>
      </c>
    </row>
    <row r="38" spans="2:11" x14ac:dyDescent="0.3">
      <c r="B38" t="s">
        <v>172</v>
      </c>
      <c r="E38" s="1">
        <v>0.95</v>
      </c>
    </row>
    <row r="39" spans="2:11" x14ac:dyDescent="0.3">
      <c r="B39" t="s">
        <v>173</v>
      </c>
    </row>
    <row r="41" spans="2:11" x14ac:dyDescent="0.3">
      <c r="C41" t="s">
        <v>155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DD29-1579-4506-8301-3AD768A2A20F}">
  <dimension ref="B2:K49"/>
  <sheetViews>
    <sheetView workbookViewId="0">
      <selection activeCell="I2" sqref="I2"/>
    </sheetView>
  </sheetViews>
  <sheetFormatPr baseColWidth="10" defaultRowHeight="14.4" x14ac:dyDescent="0.3"/>
  <cols>
    <col min="2" max="2" width="13.109375" customWidth="1"/>
    <col min="5" max="5" width="13.33203125" customWidth="1"/>
    <col min="9" max="9" width="12.21875" bestFit="1" customWidth="1"/>
    <col min="11" max="11" width="12.44140625" customWidth="1"/>
  </cols>
  <sheetData>
    <row r="2" spans="2:11" x14ac:dyDescent="0.3">
      <c r="B2" t="s">
        <v>177</v>
      </c>
      <c r="C2" s="1">
        <v>550</v>
      </c>
      <c r="D2" t="s">
        <v>158</v>
      </c>
      <c r="E2" t="s">
        <v>178</v>
      </c>
      <c r="F2" s="1">
        <v>100</v>
      </c>
      <c r="G2" t="s">
        <v>158</v>
      </c>
    </row>
    <row r="3" spans="2:11" x14ac:dyDescent="0.3">
      <c r="E3" t="s">
        <v>179</v>
      </c>
      <c r="G3" s="1">
        <v>8.6E-3</v>
      </c>
      <c r="J3" t="s">
        <v>184</v>
      </c>
      <c r="K3" t="s">
        <v>183</v>
      </c>
    </row>
    <row r="4" spans="2:11" x14ac:dyDescent="0.3">
      <c r="J4" s="1">
        <v>0</v>
      </c>
      <c r="K4">
        <f>_xlfn.NORM.DIST(J4,$D$10,$D$11,0)</f>
        <v>1.6292167077646481E-7</v>
      </c>
    </row>
    <row r="5" spans="2:11" x14ac:dyDescent="0.3">
      <c r="J5">
        <f>J4+1</f>
        <v>1</v>
      </c>
      <c r="K5">
        <f t="shared" ref="K5:K49" si="0">_xlfn.NORM.DIST(J5,$D$10,$D$11,0)</f>
        <v>4.3448216595716796E-7</v>
      </c>
    </row>
    <row r="6" spans="2:11" x14ac:dyDescent="0.3">
      <c r="B6" t="s">
        <v>180</v>
      </c>
      <c r="J6">
        <f t="shared" ref="J6:J38" si="1">J5+1</f>
        <v>2</v>
      </c>
      <c r="K6">
        <f t="shared" si="0"/>
        <v>1.1152244697252653E-6</v>
      </c>
    </row>
    <row r="7" spans="2:11" x14ac:dyDescent="0.3">
      <c r="J7">
        <f t="shared" si="1"/>
        <v>3</v>
      </c>
      <c r="K7">
        <f t="shared" si="0"/>
        <v>2.7551792598937186E-6</v>
      </c>
    </row>
    <row r="8" spans="2:11" x14ac:dyDescent="0.3">
      <c r="C8" t="s">
        <v>53</v>
      </c>
      <c r="D8">
        <f>-LN(G3)</f>
        <v>4.7559930757226754</v>
      </c>
      <c r="J8">
        <f t="shared" si="1"/>
        <v>4</v>
      </c>
      <c r="K8">
        <f t="shared" si="0"/>
        <v>6.5514083010815744E-6</v>
      </c>
    </row>
    <row r="9" spans="2:11" x14ac:dyDescent="0.3">
      <c r="I9" s="7" t="s">
        <v>205</v>
      </c>
      <c r="J9">
        <f t="shared" si="1"/>
        <v>5</v>
      </c>
      <c r="K9">
        <f t="shared" si="0"/>
        <v>1.4993972439752273E-5</v>
      </c>
    </row>
    <row r="10" spans="2:11" x14ac:dyDescent="0.3">
      <c r="C10" t="s">
        <v>181</v>
      </c>
      <c r="D10">
        <f>D8*(C2/F2)</f>
        <v>26.157961916474715</v>
      </c>
      <c r="I10" s="7" t="s">
        <v>206</v>
      </c>
      <c r="J10">
        <f t="shared" si="1"/>
        <v>6</v>
      </c>
      <c r="K10">
        <f t="shared" si="0"/>
        <v>3.3029042612066807E-5</v>
      </c>
    </row>
    <row r="11" spans="2:11" x14ac:dyDescent="0.3">
      <c r="C11" t="s">
        <v>182</v>
      </c>
      <c r="D11">
        <f>SQRT(D10)</f>
        <v>5.1144854987060739</v>
      </c>
      <c r="I11" s="7" t="s">
        <v>207</v>
      </c>
      <c r="J11">
        <f t="shared" si="1"/>
        <v>7</v>
      </c>
      <c r="K11">
        <f t="shared" si="0"/>
        <v>7.0028124931065955E-5</v>
      </c>
    </row>
    <row r="12" spans="2:11" x14ac:dyDescent="0.3">
      <c r="I12" s="7" t="s">
        <v>208</v>
      </c>
      <c r="J12">
        <f t="shared" si="1"/>
        <v>8</v>
      </c>
      <c r="K12">
        <f t="shared" si="0"/>
        <v>1.4290461225495543E-4</v>
      </c>
    </row>
    <row r="13" spans="2:11" x14ac:dyDescent="0.3">
      <c r="C13" s="1"/>
      <c r="J13">
        <f t="shared" si="1"/>
        <v>9</v>
      </c>
      <c r="K13">
        <f t="shared" si="0"/>
        <v>2.8068372366277239E-4</v>
      </c>
    </row>
    <row r="14" spans="2:11" x14ac:dyDescent="0.3">
      <c r="C14" s="1"/>
      <c r="J14">
        <f t="shared" si="1"/>
        <v>10</v>
      </c>
      <c r="K14">
        <f t="shared" si="0"/>
        <v>5.3062223974239132E-4</v>
      </c>
    </row>
    <row r="15" spans="2:11" x14ac:dyDescent="0.3">
      <c r="J15">
        <f t="shared" si="1"/>
        <v>11</v>
      </c>
      <c r="K15">
        <f t="shared" si="0"/>
        <v>9.6549694273860912E-4</v>
      </c>
    </row>
    <row r="16" spans="2:11" x14ac:dyDescent="0.3">
      <c r="J16">
        <f t="shared" si="1"/>
        <v>12</v>
      </c>
      <c r="K16">
        <f t="shared" si="0"/>
        <v>1.6908831366405075E-3</v>
      </c>
    </row>
    <row r="17" spans="2:11" x14ac:dyDescent="0.3">
      <c r="J17">
        <f t="shared" si="1"/>
        <v>13</v>
      </c>
      <c r="K17">
        <f t="shared" si="0"/>
        <v>2.8501880727941822E-3</v>
      </c>
    </row>
    <row r="18" spans="2:11" x14ac:dyDescent="0.3">
      <c r="J18">
        <f t="shared" si="1"/>
        <v>14</v>
      </c>
      <c r="K18">
        <f t="shared" si="0"/>
        <v>4.6241368593143003E-3</v>
      </c>
    </row>
    <row r="19" spans="2:11" x14ac:dyDescent="0.3">
      <c r="J19">
        <f t="shared" si="1"/>
        <v>15</v>
      </c>
      <c r="K19">
        <f t="shared" si="0"/>
        <v>7.2207960021731191E-3</v>
      </c>
    </row>
    <row r="20" spans="2:11" x14ac:dyDescent="0.3">
      <c r="J20">
        <f t="shared" si="1"/>
        <v>16</v>
      </c>
      <c r="K20">
        <f t="shared" si="0"/>
        <v>1.0852672752232848E-2</v>
      </c>
    </row>
    <row r="21" spans="2:11" x14ac:dyDescent="0.3">
      <c r="B21" t="s">
        <v>185</v>
      </c>
      <c r="D21" s="1">
        <v>4</v>
      </c>
      <c r="E21" t="s">
        <v>187</v>
      </c>
      <c r="F21" s="1">
        <v>6</v>
      </c>
      <c r="G21" t="s">
        <v>90</v>
      </c>
      <c r="J21">
        <f t="shared" si="1"/>
        <v>17</v>
      </c>
      <c r="K21">
        <f>_xlfn.NORM.DIST(J21,$D$10,$D$11,0)</f>
        <v>1.5699491103072772E-2</v>
      </c>
    </row>
    <row r="22" spans="2:11" x14ac:dyDescent="0.3">
      <c r="J22">
        <f t="shared" si="1"/>
        <v>18</v>
      </c>
      <c r="K22">
        <f t="shared" si="0"/>
        <v>2.1859069853568596E-2</v>
      </c>
    </row>
    <row r="23" spans="2:11" x14ac:dyDescent="0.3">
      <c r="C23" t="s">
        <v>44</v>
      </c>
      <c r="D23">
        <f>D10*(D21+F21/12)</f>
        <v>117.71082862413621</v>
      </c>
      <c r="J23">
        <f t="shared" si="1"/>
        <v>19</v>
      </c>
      <c r="K23">
        <f t="shared" si="0"/>
        <v>2.9293753064001456E-2</v>
      </c>
    </row>
    <row r="24" spans="2:11" x14ac:dyDescent="0.3">
      <c r="J24">
        <f t="shared" si="1"/>
        <v>20</v>
      </c>
      <c r="K24">
        <f t="shared" si="0"/>
        <v>3.778466622142896E-2</v>
      </c>
    </row>
    <row r="25" spans="2:11" x14ac:dyDescent="0.3">
      <c r="J25">
        <f t="shared" si="1"/>
        <v>21</v>
      </c>
      <c r="K25">
        <f t="shared" si="0"/>
        <v>4.6908700231689408E-2</v>
      </c>
    </row>
    <row r="26" spans="2:11" x14ac:dyDescent="0.3">
      <c r="B26" t="s">
        <v>188</v>
      </c>
      <c r="C26" s="1">
        <v>5.0000000000000001E-3</v>
      </c>
      <c r="D26" t="s">
        <v>189</v>
      </c>
      <c r="E26" s="1">
        <v>4</v>
      </c>
      <c r="F26" t="s">
        <v>190</v>
      </c>
      <c r="G26" s="1">
        <v>6</v>
      </c>
      <c r="H26" t="s">
        <v>90</v>
      </c>
      <c r="J26">
        <f t="shared" si="1"/>
        <v>22</v>
      </c>
      <c r="K26">
        <f t="shared" si="0"/>
        <v>5.6051655523264389E-2</v>
      </c>
    </row>
    <row r="27" spans="2:11" x14ac:dyDescent="0.3">
      <c r="J27">
        <f t="shared" si="1"/>
        <v>23</v>
      </c>
      <c r="K27">
        <f t="shared" si="0"/>
        <v>6.4464515744486792E-2</v>
      </c>
    </row>
    <row r="28" spans="2:11" x14ac:dyDescent="0.3">
      <c r="C28" t="s">
        <v>44</v>
      </c>
      <c r="D28" t="s">
        <v>191</v>
      </c>
      <c r="E28">
        <f>1-C26</f>
        <v>0.995</v>
      </c>
      <c r="F28">
        <f>D10*(E26+G26/12)</f>
        <v>117.71082862413621</v>
      </c>
      <c r="G28">
        <f>SQRT(F28)</f>
        <v>10.849462135245977</v>
      </c>
      <c r="H28" t="s">
        <v>68</v>
      </c>
      <c r="J28">
        <f t="shared" si="1"/>
        <v>24</v>
      </c>
      <c r="K28">
        <f t="shared" si="0"/>
        <v>7.1359244006807307E-2</v>
      </c>
    </row>
    <row r="29" spans="2:11" x14ac:dyDescent="0.3">
      <c r="J29">
        <f t="shared" si="1"/>
        <v>25</v>
      </c>
      <c r="K29">
        <f t="shared" si="0"/>
        <v>7.6028599695716695E-2</v>
      </c>
    </row>
    <row r="30" spans="2:11" x14ac:dyDescent="0.3">
      <c r="G30" s="7" t="s">
        <v>192</v>
      </c>
      <c r="J30">
        <f t="shared" si="1"/>
        <v>26</v>
      </c>
      <c r="K30">
        <f t="shared" si="0"/>
        <v>7.7965232516604061E-2</v>
      </c>
    </row>
    <row r="31" spans="2:11" x14ac:dyDescent="0.3">
      <c r="J31">
        <f t="shared" si="1"/>
        <v>27</v>
      </c>
      <c r="K31">
        <f t="shared" si="0"/>
        <v>7.6952405576186475E-2</v>
      </c>
    </row>
    <row r="32" spans="2:11" x14ac:dyDescent="0.3">
      <c r="B32" t="s">
        <v>193</v>
      </c>
      <c r="F32" s="1">
        <v>0.01</v>
      </c>
      <c r="J32">
        <f t="shared" si="1"/>
        <v>28</v>
      </c>
      <c r="K32">
        <f t="shared" si="0"/>
        <v>7.3103918813730961E-2</v>
      </c>
    </row>
    <row r="33" spans="2:11" x14ac:dyDescent="0.3">
      <c r="B33" t="s">
        <v>194</v>
      </c>
      <c r="C33" s="1">
        <v>3</v>
      </c>
      <c r="D33" s="3" t="s">
        <v>195</v>
      </c>
      <c r="J33">
        <f t="shared" si="1"/>
        <v>29</v>
      </c>
      <c r="K33">
        <f t="shared" si="0"/>
        <v>6.6843064375141356E-2</v>
      </c>
    </row>
    <row r="34" spans="2:11" x14ac:dyDescent="0.3">
      <c r="J34">
        <f t="shared" si="1"/>
        <v>30</v>
      </c>
      <c r="K34">
        <f t="shared" si="0"/>
        <v>5.8825994812951914E-2</v>
      </c>
    </row>
    <row r="35" spans="2:11" x14ac:dyDescent="0.3">
      <c r="C35" t="s">
        <v>44</v>
      </c>
      <c r="D35" t="s">
        <v>191</v>
      </c>
      <c r="E35">
        <f>1-F32</f>
        <v>0.99</v>
      </c>
      <c r="F35">
        <f>D10*C33</f>
        <v>78.473885749424142</v>
      </c>
      <c r="G35">
        <f>SQRT(F35)</f>
        <v>8.858548738333166</v>
      </c>
      <c r="H35" t="s">
        <v>68</v>
      </c>
      <c r="J35">
        <f t="shared" si="1"/>
        <v>31</v>
      </c>
      <c r="K35">
        <f t="shared" si="0"/>
        <v>4.9828687109605814E-2</v>
      </c>
    </row>
    <row r="36" spans="2:11" x14ac:dyDescent="0.3">
      <c r="J36">
        <f t="shared" si="1"/>
        <v>32</v>
      </c>
      <c r="K36">
        <f t="shared" si="0"/>
        <v>4.0624389188254686E-2</v>
      </c>
    </row>
    <row r="37" spans="2:11" x14ac:dyDescent="0.3">
      <c r="G37" s="7" t="s">
        <v>192</v>
      </c>
      <c r="J37">
        <f t="shared" si="1"/>
        <v>33</v>
      </c>
      <c r="K37">
        <f>_xlfn.NORM.DIST(J37,$D$10,$D$11,0)</f>
        <v>3.1878030316369661E-2</v>
      </c>
    </row>
    <row r="38" spans="2:11" x14ac:dyDescent="0.3">
      <c r="J38">
        <f t="shared" si="1"/>
        <v>34</v>
      </c>
      <c r="K38">
        <f t="shared" si="0"/>
        <v>2.4076499786478925E-2</v>
      </c>
    </row>
    <row r="39" spans="2:11" x14ac:dyDescent="0.3">
      <c r="B39" t="s">
        <v>196</v>
      </c>
      <c r="E39" s="1">
        <v>2.5</v>
      </c>
      <c r="F39" t="s">
        <v>186</v>
      </c>
      <c r="J39">
        <f>J38+1</f>
        <v>35</v>
      </c>
      <c r="K39">
        <f t="shared" si="0"/>
        <v>1.7502192495816898E-2</v>
      </c>
    </row>
    <row r="40" spans="2:11" x14ac:dyDescent="0.3">
      <c r="B40" t="s">
        <v>197</v>
      </c>
      <c r="E40" s="1">
        <v>81</v>
      </c>
      <c r="F40" t="s">
        <v>198</v>
      </c>
      <c r="J40">
        <f t="shared" ref="J40:J49" si="2">J39+1</f>
        <v>36</v>
      </c>
      <c r="K40">
        <f t="shared" si="0"/>
        <v>1.2245846115428352E-2</v>
      </c>
    </row>
    <row r="41" spans="2:11" x14ac:dyDescent="0.3">
      <c r="J41">
        <f t="shared" si="2"/>
        <v>37</v>
      </c>
      <c r="K41">
        <f t="shared" si="0"/>
        <v>8.2467413719613265E-3</v>
      </c>
    </row>
    <row r="42" spans="2:11" x14ac:dyDescent="0.3">
      <c r="C42" t="s">
        <v>44</v>
      </c>
      <c r="D42" t="s">
        <v>199</v>
      </c>
      <c r="E42">
        <f>E40</f>
        <v>81</v>
      </c>
      <c r="F42">
        <f>E39*D10</f>
        <v>65.394904791186789</v>
      </c>
      <c r="G42">
        <f>SQRT(F42)</f>
        <v>8.0867116179066745</v>
      </c>
      <c r="H42" t="s">
        <v>68</v>
      </c>
      <c r="J42">
        <f t="shared" si="2"/>
        <v>38</v>
      </c>
      <c r="K42">
        <f t="shared" si="0"/>
        <v>5.345313572471636E-3</v>
      </c>
    </row>
    <row r="43" spans="2:11" x14ac:dyDescent="0.3">
      <c r="J43">
        <f t="shared" si="2"/>
        <v>39</v>
      </c>
      <c r="K43">
        <f t="shared" si="0"/>
        <v>3.3347342910500072E-3</v>
      </c>
    </row>
    <row r="44" spans="2:11" x14ac:dyDescent="0.3">
      <c r="J44">
        <f t="shared" si="2"/>
        <v>40</v>
      </c>
      <c r="K44">
        <f t="shared" si="0"/>
        <v>2.0023800926728687E-3</v>
      </c>
    </row>
    <row r="45" spans="2:11" x14ac:dyDescent="0.3">
      <c r="B45" t="s">
        <v>200</v>
      </c>
      <c r="E45" s="1">
        <v>3</v>
      </c>
      <c r="F45" t="s">
        <v>201</v>
      </c>
      <c r="G45" s="1">
        <v>81</v>
      </c>
      <c r="J45">
        <f t="shared" si="2"/>
        <v>41</v>
      </c>
      <c r="K45">
        <f t="shared" si="0"/>
        <v>1.1572549256773982E-3</v>
      </c>
    </row>
    <row r="46" spans="2:11" x14ac:dyDescent="0.3">
      <c r="B46" t="s">
        <v>202</v>
      </c>
      <c r="D46" s="1">
        <v>1378</v>
      </c>
      <c r="J46">
        <f t="shared" si="2"/>
        <v>42</v>
      </c>
      <c r="K46">
        <f t="shared" si="0"/>
        <v>6.4373747541489616E-4</v>
      </c>
    </row>
    <row r="47" spans="2:11" x14ac:dyDescent="0.3">
      <c r="J47">
        <f t="shared" si="2"/>
        <v>43</v>
      </c>
      <c r="K47">
        <f t="shared" si="0"/>
        <v>3.4465595166442627E-4</v>
      </c>
    </row>
    <row r="48" spans="2:11" x14ac:dyDescent="0.3">
      <c r="C48" t="s">
        <v>53</v>
      </c>
      <c r="D48" t="s">
        <v>203</v>
      </c>
      <c r="E48">
        <f>G45</f>
        <v>81</v>
      </c>
      <c r="F48">
        <f>D10*E45</f>
        <v>78.473885749424142</v>
      </c>
      <c r="G48">
        <f>SQRT(F48)</f>
        <v>8.858548738333166</v>
      </c>
      <c r="H48" t="s">
        <v>204</v>
      </c>
      <c r="I48">
        <f>D46</f>
        <v>1378</v>
      </c>
      <c r="J48">
        <f>J47+1</f>
        <v>44</v>
      </c>
      <c r="K48">
        <f t="shared" si="0"/>
        <v>1.7760697112315663E-4</v>
      </c>
    </row>
    <row r="49" spans="10:11" x14ac:dyDescent="0.3">
      <c r="J49">
        <f t="shared" si="2"/>
        <v>45</v>
      </c>
      <c r="K49">
        <f t="shared" si="0"/>
        <v>8.809098556650874E-5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Neos Solver</vt:lpstr>
      <vt:lpstr>M'han regalat 1000000</vt:lpstr>
      <vt:lpstr>La Binomial</vt:lpstr>
      <vt:lpstr>Aeropuerto</vt:lpstr>
      <vt:lpstr>Made in Taiwan</vt:lpstr>
      <vt:lpstr>El reparador</vt:lpstr>
      <vt:lpstr>Manos en la masa</vt:lpstr>
      <vt:lpstr>Un de cada milió de sectors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</dc:creator>
  <cp:lastModifiedBy>Miquel</cp:lastModifiedBy>
  <dcterms:created xsi:type="dcterms:W3CDTF">2021-10-16T15:50:04Z</dcterms:created>
  <dcterms:modified xsi:type="dcterms:W3CDTF">2021-10-28T16:37:22Z</dcterms:modified>
</cp:coreProperties>
</file>