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Documents\Miquel\Miquel UPC\3r Quadrimestre\PE\"/>
    </mc:Choice>
  </mc:AlternateContent>
  <xr:revisionPtr revIDLastSave="0" documentId="13_ncr:1_{534D3335-A5EF-4386-B663-57D0B5F88A41}" xr6:coauthVersionLast="47" xr6:coauthVersionMax="47" xr10:uidLastSave="{00000000-0000-0000-0000-000000000000}"/>
  <bookViews>
    <workbookView xWindow="-108" yWindow="-108" windowWidth="23256" windowHeight="12576" activeTab="4" xr2:uid="{47967C80-E220-4982-9AF0-E6316AA1A9F9}"/>
  </bookViews>
  <sheets>
    <sheet name="Por pelotas" sheetId="1" r:id="rId1"/>
    <sheet name="Software aging" sheetId="2" r:id="rId2"/>
    <sheet name="El tauler" sheetId="3" r:id="rId3"/>
    <sheet name="Provisions" sheetId="4" r:id="rId4"/>
    <sheet name="Internet Services Provider" sheetId="5" r:id="rId5"/>
    <sheet name="T'odio zuckerber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5" l="1"/>
  <c r="C38" i="5"/>
  <c r="E54" i="5"/>
  <c r="C55" i="5"/>
  <c r="E49" i="5"/>
  <c r="C50" i="5"/>
  <c r="E40" i="5"/>
  <c r="C40" i="5"/>
  <c r="E37" i="5"/>
  <c r="C37" i="5"/>
  <c r="V4" i="3"/>
  <c r="V5" i="3"/>
  <c r="V6" i="3"/>
  <c r="V7" i="3"/>
  <c r="V3" i="3"/>
  <c r="AB4" i="3"/>
  <c r="M4" i="3"/>
  <c r="M5" i="3"/>
  <c r="M6" i="3"/>
  <c r="M7" i="3"/>
  <c r="M3" i="3"/>
  <c r="R8" i="3"/>
  <c r="O8" i="3"/>
  <c r="P8" i="3"/>
  <c r="Q8" i="3"/>
  <c r="N8" i="3"/>
  <c r="F22" i="3"/>
  <c r="G22" i="3"/>
  <c r="H22" i="3"/>
  <c r="I22" i="3"/>
  <c r="E22" i="3"/>
  <c r="F24" i="3"/>
  <c r="AE28" i="3"/>
  <c r="AE5" i="3"/>
  <c r="AE6" i="3"/>
  <c r="AE7" i="3"/>
  <c r="AE9" i="3"/>
  <c r="AE10" i="3"/>
  <c r="AE15" i="3"/>
  <c r="AE22" i="3"/>
  <c r="AE23" i="3"/>
  <c r="AE24" i="3"/>
  <c r="AE27" i="3"/>
  <c r="AE4" i="3"/>
  <c r="E12" i="4"/>
  <c r="C12" i="4"/>
  <c r="B7" i="2"/>
  <c r="F18" i="3"/>
  <c r="G18" i="3"/>
  <c r="E18" i="3"/>
  <c r="T7" i="3"/>
  <c r="O3" i="3"/>
  <c r="P3" i="3"/>
  <c r="AE26" i="3" s="1"/>
  <c r="Q3" i="3"/>
  <c r="R3" i="3"/>
  <c r="O4" i="3"/>
  <c r="AE20" i="3" s="1"/>
  <c r="P4" i="3"/>
  <c r="AE21" i="3" s="1"/>
  <c r="Q4" i="3"/>
  <c r="R4" i="3"/>
  <c r="O5" i="3"/>
  <c r="P5" i="3"/>
  <c r="Q5" i="3"/>
  <c r="AE17" i="3" s="1"/>
  <c r="R5" i="3"/>
  <c r="AE18" i="3" s="1"/>
  <c r="O6" i="3"/>
  <c r="P6" i="3"/>
  <c r="Q6" i="3"/>
  <c r="AE12" i="3" s="1"/>
  <c r="R6" i="3"/>
  <c r="AE13" i="3" s="1"/>
  <c r="O7" i="3"/>
  <c r="P7" i="3"/>
  <c r="Q7" i="3"/>
  <c r="R7" i="3"/>
  <c r="AE8" i="3" s="1"/>
  <c r="N4" i="3"/>
  <c r="N5" i="3"/>
  <c r="AE14" i="3" s="1"/>
  <c r="N6" i="3"/>
  <c r="N7" i="3"/>
  <c r="N3" i="3"/>
  <c r="G15" i="3"/>
  <c r="J28" i="1"/>
  <c r="H28" i="1" s="1"/>
  <c r="E12" i="1"/>
  <c r="C21" i="5"/>
  <c r="D21" i="5"/>
  <c r="E21" i="5"/>
  <c r="H20" i="5" s="1"/>
  <c r="G29" i="6"/>
  <c r="G30" i="6"/>
  <c r="G28" i="6"/>
  <c r="F14" i="6"/>
  <c r="F15" i="6"/>
  <c r="F16" i="6"/>
  <c r="F17" i="6"/>
  <c r="D21" i="6"/>
  <c r="Q2" i="4"/>
  <c r="G22" i="4"/>
  <c r="G21" i="4"/>
  <c r="S3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2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Q3" i="4"/>
  <c r="Q8" i="4"/>
  <c r="O2" i="4"/>
  <c r="G23" i="4"/>
  <c r="D12" i="4"/>
  <c r="F12" i="4"/>
  <c r="G12" i="4"/>
  <c r="H12" i="4"/>
  <c r="L4" i="4"/>
  <c r="L5" i="4"/>
  <c r="L6" i="4"/>
  <c r="L7" i="4"/>
  <c r="L8" i="4"/>
  <c r="L3" i="4"/>
  <c r="U7" i="3" l="1"/>
  <c r="H18" i="3"/>
  <c r="R9" i="3"/>
  <c r="J25" i="3" s="1"/>
  <c r="T6" i="3"/>
  <c r="U6" i="3" s="1"/>
  <c r="M28" i="3"/>
  <c r="H28" i="3" s="1"/>
  <c r="I18" i="3"/>
  <c r="G28" i="3"/>
  <c r="AE11" i="3"/>
  <c r="G24" i="3"/>
  <c r="Q9" i="3"/>
  <c r="I25" i="3" s="1"/>
  <c r="AE16" i="3"/>
  <c r="T5" i="3"/>
  <c r="N9" i="3"/>
  <c r="N10" i="3" s="1"/>
  <c r="Q10" i="3"/>
  <c r="AE19" i="3"/>
  <c r="T4" i="3"/>
  <c r="P9" i="3"/>
  <c r="T9" i="3"/>
  <c r="T3" i="3"/>
  <c r="U3" i="3" s="1"/>
  <c r="AE25" i="3"/>
  <c r="O9" i="3"/>
  <c r="M27" i="3"/>
  <c r="F25" i="3"/>
  <c r="H19" i="5"/>
  <c r="E25" i="5" s="1"/>
  <c r="D28" i="5"/>
  <c r="Q4" i="4"/>
  <c r="Q10" i="4"/>
  <c r="Q16" i="4"/>
  <c r="Q15" i="4"/>
  <c r="Q14" i="4"/>
  <c r="Q13" i="4"/>
  <c r="Q12" i="4"/>
  <c r="Q7" i="4"/>
  <c r="Q11" i="4"/>
  <c r="Q9" i="4"/>
  <c r="Q6" i="4"/>
  <c r="Q5" i="4"/>
  <c r="G18" i="4"/>
  <c r="G17" i="4"/>
  <c r="F3" i="6"/>
  <c r="K5" i="3"/>
  <c r="K15" i="3" s="1"/>
  <c r="J10" i="4"/>
  <c r="J4" i="4"/>
  <c r="K4" i="4" s="1"/>
  <c r="J5" i="4"/>
  <c r="K5" i="4" s="1"/>
  <c r="J6" i="4"/>
  <c r="K6" i="4" s="1"/>
  <c r="J7" i="4"/>
  <c r="K7" i="4" s="1"/>
  <c r="J8" i="4"/>
  <c r="K8" i="4" s="1"/>
  <c r="J3" i="4"/>
  <c r="K3" i="4" s="1"/>
  <c r="D10" i="4"/>
  <c r="D11" i="4" s="1"/>
  <c r="E10" i="4"/>
  <c r="E11" i="4" s="1"/>
  <c r="F10" i="4"/>
  <c r="F11" i="4" s="1"/>
  <c r="G10" i="4"/>
  <c r="G11" i="4" s="1"/>
  <c r="H10" i="4"/>
  <c r="H11" i="4" s="1"/>
  <c r="C10" i="4"/>
  <c r="C11" i="4" s="1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F4" i="6"/>
  <c r="F5" i="6"/>
  <c r="F6" i="6"/>
  <c r="F7" i="6"/>
  <c r="F8" i="6"/>
  <c r="F9" i="6"/>
  <c r="F10" i="6"/>
  <c r="F11" i="6"/>
  <c r="F12" i="6"/>
  <c r="F13" i="6"/>
  <c r="I19" i="2"/>
  <c r="P15" i="2"/>
  <c r="P16" i="2" s="1"/>
  <c r="G16" i="2"/>
  <c r="D16" i="2"/>
  <c r="M15" i="2" s="1"/>
  <c r="M16" i="2" s="1"/>
  <c r="E16" i="2"/>
  <c r="N15" i="2" s="1"/>
  <c r="N16" i="2" s="1"/>
  <c r="F16" i="2"/>
  <c r="O15" i="2" s="1"/>
  <c r="O16" i="2" s="1"/>
  <c r="C16" i="2"/>
  <c r="L15" i="2" s="1"/>
  <c r="L16" i="2" s="1"/>
  <c r="E6" i="2"/>
  <c r="C6" i="2"/>
  <c r="C7" i="2" s="1"/>
  <c r="D6" i="2"/>
  <c r="D7" i="2" s="1"/>
  <c r="F6" i="2"/>
  <c r="B6" i="2"/>
  <c r="H6" i="2"/>
  <c r="K26" i="1"/>
  <c r="H26" i="1"/>
  <c r="H22" i="1"/>
  <c r="H20" i="1"/>
  <c r="M22" i="1"/>
  <c r="H25" i="1"/>
  <c r="E11" i="1"/>
  <c r="F11" i="1"/>
  <c r="F12" i="1" s="1"/>
  <c r="G11" i="1"/>
  <c r="G12" i="1" s="1"/>
  <c r="H11" i="1"/>
  <c r="H12" i="1" s="1"/>
  <c r="I11" i="1"/>
  <c r="D11" i="1"/>
  <c r="D12" i="1" s="1"/>
  <c r="K5" i="1"/>
  <c r="L5" i="1" s="1"/>
  <c r="K6" i="1"/>
  <c r="L6" i="1" s="1"/>
  <c r="K7" i="1"/>
  <c r="L7" i="1" s="1"/>
  <c r="K8" i="1"/>
  <c r="L8" i="1" s="1"/>
  <c r="K9" i="1"/>
  <c r="L9" i="1" s="1"/>
  <c r="K4" i="1"/>
  <c r="L4" i="1" s="1"/>
  <c r="H23" i="1"/>
  <c r="H21" i="1"/>
  <c r="M23" i="1" s="1"/>
  <c r="D2" i="1"/>
  <c r="D22" i="1" s="1"/>
  <c r="B4" i="1"/>
  <c r="L22" i="1" s="1"/>
  <c r="H55" i="5" l="1"/>
  <c r="C41" i="5"/>
  <c r="F50" i="5"/>
  <c r="J28" i="3"/>
  <c r="F28" i="3"/>
  <c r="R10" i="3"/>
  <c r="I28" i="3"/>
  <c r="H24" i="3"/>
  <c r="U5" i="3"/>
  <c r="I24" i="3"/>
  <c r="U4" i="3"/>
  <c r="J24" i="3"/>
  <c r="H25" i="3"/>
  <c r="P10" i="3"/>
  <c r="O10" i="3"/>
  <c r="G25" i="3"/>
  <c r="G27" i="3"/>
  <c r="H27" i="3"/>
  <c r="I27" i="3"/>
  <c r="J27" i="3"/>
  <c r="F27" i="3"/>
  <c r="D25" i="5"/>
  <c r="F22" i="6"/>
  <c r="H23" i="4"/>
  <c r="G4" i="6"/>
  <c r="H29" i="1"/>
  <c r="J11" i="4"/>
  <c r="J12" i="4"/>
  <c r="K10" i="4"/>
  <c r="G19" i="4" s="1"/>
  <c r="L10" i="4"/>
  <c r="G20" i="4" s="1"/>
  <c r="C27" i="1"/>
  <c r="D14" i="2"/>
  <c r="E28" i="5"/>
  <c r="H31" i="5" s="1"/>
  <c r="F20" i="1"/>
  <c r="H27" i="1"/>
  <c r="F7" i="2"/>
  <c r="D19" i="2"/>
  <c r="C9" i="2"/>
  <c r="E7" i="2"/>
  <c r="C10" i="2" s="1"/>
  <c r="D15" i="2" s="1"/>
  <c r="D20" i="2"/>
  <c r="B23" i="1"/>
  <c r="D20" i="1"/>
  <c r="D24" i="1"/>
  <c r="E29" i="1"/>
  <c r="H24" i="1"/>
  <c r="K11" i="1"/>
  <c r="F55" i="5" l="1"/>
  <c r="G31" i="5"/>
  <c r="E31" i="5" s="1"/>
  <c r="G34" i="5" s="1"/>
  <c r="G42" i="5"/>
  <c r="H42" i="5"/>
  <c r="D41" i="5"/>
  <c r="H50" i="5"/>
  <c r="U9" i="3"/>
  <c r="T10" i="3"/>
  <c r="G25" i="6"/>
  <c r="G17" i="6"/>
  <c r="G14" i="6"/>
  <c r="G16" i="6"/>
  <c r="G15" i="6"/>
  <c r="G3" i="6"/>
  <c r="G13" i="6"/>
  <c r="G8" i="6"/>
  <c r="G5" i="6"/>
  <c r="G9" i="6"/>
  <c r="G6" i="6"/>
  <c r="G7" i="6"/>
  <c r="G12" i="6"/>
  <c r="G11" i="6"/>
  <c r="G10" i="6"/>
  <c r="J42" i="5" l="1"/>
  <c r="H44" i="5" s="1"/>
  <c r="K55" i="5" s="1"/>
  <c r="H35" i="5"/>
  <c r="G35" i="5"/>
  <c r="H34" i="5"/>
  <c r="L34" i="5" s="1"/>
  <c r="E34" i="5" s="1"/>
  <c r="AC17" i="3"/>
  <c r="AC18" i="3"/>
  <c r="AC4" i="3"/>
  <c r="AC22" i="3"/>
  <c r="AC10" i="3"/>
  <c r="AC11" i="3"/>
  <c r="AC21" i="3"/>
  <c r="AC28" i="3"/>
  <c r="AC14" i="3"/>
  <c r="AC7" i="3"/>
  <c r="AC26" i="3"/>
  <c r="F31" i="3"/>
  <c r="AC9" i="3"/>
  <c r="AC25" i="3"/>
  <c r="AC16" i="3"/>
  <c r="AC15" i="3"/>
  <c r="AC6" i="3"/>
  <c r="AC27" i="3"/>
  <c r="AC12" i="3"/>
  <c r="AC8" i="3"/>
  <c r="AC13" i="3"/>
  <c r="AC24" i="3"/>
  <c r="AC20" i="3"/>
  <c r="AC23" i="3"/>
  <c r="AC19" i="3"/>
  <c r="AC5" i="3"/>
  <c r="AB10" i="3"/>
  <c r="AD10" i="3" s="1"/>
  <c r="AF10" i="3" s="1"/>
  <c r="AB18" i="3"/>
  <c r="AD18" i="3" s="1"/>
  <c r="AF18" i="3" s="1"/>
  <c r="AB20" i="3"/>
  <c r="AB22" i="3"/>
  <c r="R11" i="3"/>
  <c r="AB26" i="3"/>
  <c r="AD26" i="3" s="1"/>
  <c r="AF26" i="3" s="1"/>
  <c r="AB28" i="3"/>
  <c r="AB7" i="3"/>
  <c r="AD7" i="3" s="1"/>
  <c r="AF7" i="3" s="1"/>
  <c r="AB9" i="3"/>
  <c r="AD9" i="3" s="1"/>
  <c r="AF9" i="3" s="1"/>
  <c r="P11" i="3"/>
  <c r="N11" i="3"/>
  <c r="AB15" i="3"/>
  <c r="AB17" i="3"/>
  <c r="AD17" i="3" s="1"/>
  <c r="AF17" i="3" s="1"/>
  <c r="AB14" i="3"/>
  <c r="AD14" i="3" s="1"/>
  <c r="AF14" i="3" s="1"/>
  <c r="AB11" i="3"/>
  <c r="AB5" i="3"/>
  <c r="AD5" i="3" s="1"/>
  <c r="AF5" i="3" s="1"/>
  <c r="AB23" i="3"/>
  <c r="AD23" i="3" s="1"/>
  <c r="AF23" i="3" s="1"/>
  <c r="AB25" i="3"/>
  <c r="AB19" i="3"/>
  <c r="AB13" i="3"/>
  <c r="F30" i="3"/>
  <c r="Q11" i="3"/>
  <c r="AB27" i="3"/>
  <c r="AD27" i="3" s="1"/>
  <c r="AF27" i="3" s="1"/>
  <c r="AB21" i="3"/>
  <c r="AB8" i="3"/>
  <c r="AD8" i="3" s="1"/>
  <c r="AF8" i="3" s="1"/>
  <c r="AD4" i="3"/>
  <c r="AF4" i="3" s="1"/>
  <c r="O11" i="3"/>
  <c r="AB6" i="3"/>
  <c r="AB16" i="3"/>
  <c r="AB12" i="3"/>
  <c r="AD12" i="3" s="1"/>
  <c r="AF12" i="3" s="1"/>
  <c r="AB24" i="3"/>
  <c r="AD24" i="3" s="1"/>
  <c r="AF24" i="3" s="1"/>
  <c r="G22" i="6"/>
  <c r="G26" i="6" s="1"/>
  <c r="G44" i="5" l="1"/>
  <c r="AD11" i="3"/>
  <c r="AF11" i="3" s="1"/>
  <c r="AD25" i="3"/>
  <c r="AF25" i="3" s="1"/>
  <c r="V9" i="3"/>
  <c r="E35" i="3" s="1"/>
  <c r="E37" i="3" s="1"/>
  <c r="AD28" i="3"/>
  <c r="AF28" i="3" s="1"/>
  <c r="AD6" i="3"/>
  <c r="AF6" i="3" s="1"/>
  <c r="AD21" i="3"/>
  <c r="AF21" i="3" s="1"/>
  <c r="AD16" i="3"/>
  <c r="AF16" i="3" s="1"/>
  <c r="AD15" i="3"/>
  <c r="AF15" i="3" s="1"/>
  <c r="AD22" i="3"/>
  <c r="AF22" i="3" s="1"/>
  <c r="AD13" i="3"/>
  <c r="AF13" i="3" s="1"/>
  <c r="AD19" i="3"/>
  <c r="AF19" i="3" s="1"/>
  <c r="AD20" i="3"/>
  <c r="AF20" i="3" s="1"/>
  <c r="T11" i="3"/>
  <c r="E34" i="3" s="1"/>
  <c r="AF30" i="3" l="1"/>
</calcChain>
</file>

<file path=xl/sharedStrings.xml><?xml version="1.0" encoding="utf-8"?>
<sst xmlns="http://schemas.openxmlformats.org/spreadsheetml/2006/main" count="213" uniqueCount="184">
  <si>
    <t>-</t>
  </si>
  <si>
    <t>Almería</t>
  </si>
  <si>
    <t>Equip1</t>
  </si>
  <si>
    <t>Equip2</t>
  </si>
  <si>
    <t>1. % dels apostants han escollit el resultat</t>
  </si>
  <si>
    <t>2. % dels apostant creu que empataran</t>
  </si>
  <si>
    <t xml:space="preserve">3. % apostants que creuen que guanyara </t>
  </si>
  <si>
    <t xml:space="preserve">4. % que el </t>
  </si>
  <si>
    <t>no marqui</t>
  </si>
  <si>
    <t>SUMATORI</t>
  </si>
  <si>
    <t xml:space="preserve">5. % gols esperats que marqui el </t>
  </si>
  <si>
    <t>E(X) = k*sum</t>
  </si>
  <si>
    <t xml:space="preserve">8. Dels que creuen que el </t>
  </si>
  <si>
    <t xml:space="preserve">10. numero esperat de punts que obtindrà el </t>
  </si>
  <si>
    <t>Que creuen que guanyara</t>
  </si>
  <si>
    <t>Que empataran</t>
  </si>
  <si>
    <t>9. % suposant que … 1€. Si empaten a</t>
  </si>
  <si>
    <t xml:space="preserve"> , quant s'emporten els afortunats?</t>
  </si>
  <si>
    <t>Hercules</t>
  </si>
  <si>
    <t>Dif de 2 gols</t>
  </si>
  <si>
    <r>
      <t xml:space="preserve">farà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gols, % dels que pensen que no guanyarà l'altre</t>
    </r>
  </si>
  <si>
    <r>
      <t xml:space="preserve">7. % que el resultat reflexi una diferència de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gols</t>
    </r>
  </si>
  <si>
    <r>
      <t>6. % que es donen que es marqui menys de</t>
    </r>
    <r>
      <rPr>
        <b/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Calibri"/>
        <family val="2"/>
        <scheme val="minor"/>
      </rPr>
      <t xml:space="preserve"> gol</t>
    </r>
  </si>
  <si>
    <t>!!! No s'actualitza s'ha de fer manual</t>
  </si>
  <si>
    <t>Nº fallos setmanals</t>
  </si>
  <si>
    <t>Probabilitat de fallo</t>
  </si>
  <si>
    <t xml:space="preserve">           &lt;--- Aquesta seria la pregunta 1</t>
  </si>
  <si>
    <t xml:space="preserve">           &lt;--- Aquesta seria la pregunta 2</t>
  </si>
  <si>
    <t xml:space="preserve">    &lt;-- Ha de sumar 1</t>
  </si>
  <si>
    <t>3. Esperança de fallos</t>
  </si>
  <si>
    <t>4. Desviació típica del nº fallos</t>
  </si>
  <si>
    <t>Esperança</t>
  </si>
  <si>
    <t>Variànça</t>
  </si>
  <si>
    <t>Suma esperança</t>
  </si>
  <si>
    <t>suma variança</t>
  </si>
  <si>
    <t>5. Nou model:</t>
  </si>
  <si>
    <t>Reduccio variança</t>
  </si>
  <si>
    <t>Media                 +-</t>
  </si>
  <si>
    <t>Variança</t>
  </si>
  <si>
    <t>Modifica aquests valors ---------&gt;</t>
  </si>
  <si>
    <t>Ha de sortir verd</t>
  </si>
  <si>
    <t>Valors modificables !!</t>
  </si>
  <si>
    <t>nota: e-Status ho dona com erroni</t>
  </si>
  <si>
    <t>K</t>
  </si>
  <si>
    <t>P(X=K)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</si>
  <si>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</si>
  <si>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</si>
  <si>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</si>
  <si>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</si>
  <si>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</si>
  <si>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</si>
  <si>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</si>
  <si>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</si>
  <si>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</si>
  <si>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</si>
  <si>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</si>
  <si>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1. Valor esperat d'amics de veritat</t>
  </si>
  <si>
    <t>2. Valor de la desviació tipus de la variable aleatòria X</t>
  </si>
  <si>
    <t>3. Tmb podem representar el amics amb una funció distribució</t>
  </si>
  <si>
    <t>5. … temps … funcio … resoldre integral</t>
  </si>
  <si>
    <t>minuts a FB</t>
  </si>
  <si>
    <t>Variança:</t>
  </si>
  <si>
    <t>Esperança:</t>
  </si>
  <si>
    <t>_-----------------------------------&gt;</t>
  </si>
  <si>
    <t>4. % que tingui entre</t>
  </si>
  <si>
    <t>i</t>
  </si>
  <si>
    <t>Prov. B</t>
  </si>
  <si>
    <t>Prov. A</t>
  </si>
  <si>
    <t>2. % que el numero de compres sigui el mateix a ambdos</t>
  </si>
  <si>
    <t>A</t>
  </si>
  <si>
    <t>4. Desviació típica del nº  de compres al mateix prov</t>
  </si>
  <si>
    <t>5. Valor covariança de les dos var considerades</t>
  </si>
  <si>
    <t>7. Esperança compres total / Variança compres totals</t>
  </si>
  <si>
    <t xml:space="preserve">1. probabilitat que observem </t>
  </si>
  <si>
    <t xml:space="preserve">compres a </t>
  </si>
  <si>
    <t xml:space="preserve">3. Esperança de compra mensual a prov </t>
  </si>
  <si>
    <t xml:space="preserve">6. % que s'efectuin mínim </t>
  </si>
  <si>
    <t>compres</t>
  </si>
  <si>
    <t>No s'actualitza!!</t>
  </si>
  <si>
    <t>Note: Please take schema as a borrow</t>
  </si>
  <si>
    <t>Left point</t>
  </si>
  <si>
    <t>Right point</t>
  </si>
  <si>
    <t>X Axis:</t>
  </si>
  <si>
    <t>Y Axis:</t>
  </si>
  <si>
    <t>Modify cells like me</t>
  </si>
  <si>
    <t>a1</t>
  </si>
  <si>
    <t>b1</t>
  </si>
  <si>
    <t>1. eq linear dels primers 2 punts</t>
  </si>
  <si>
    <t>1 slope</t>
  </si>
  <si>
    <t>2 slope</t>
  </si>
  <si>
    <t>a2</t>
  </si>
  <si>
    <t>b2</t>
  </si>
  <si>
    <t>2. eq linear dels segons 2 punts</t>
  </si>
  <si>
    <t>latitud T</t>
  </si>
  <si>
    <t>S</t>
  </si>
  <si>
    <t>E</t>
  </si>
  <si>
    <t>N</t>
  </si>
  <si>
    <t>longitud G</t>
  </si>
  <si>
    <t>k</t>
  </si>
  <si>
    <t>desv</t>
  </si>
  <si>
    <t>esp</t>
  </si>
  <si>
    <t>acumulacio</t>
  </si>
  <si>
    <t>X=A</t>
  </si>
  <si>
    <t>Y=B</t>
  </si>
  <si>
    <t>X-E(X)</t>
  </si>
  <si>
    <t>Y-E(Y)</t>
  </si>
  <si>
    <t>MULT</t>
  </si>
  <si>
    <t>Px,y(x,y)</t>
  </si>
  <si>
    <t>INDEX</t>
  </si>
  <si>
    <t>col12</t>
  </si>
  <si>
    <t>col13</t>
  </si>
  <si>
    <t>col14</t>
  </si>
  <si>
    <t>col15</t>
  </si>
  <si>
    <t>constant --&gt;</t>
  </si>
  <si>
    <t xml:space="preserve">6. % que un usuari qualsevol passo de </t>
  </si>
  <si>
    <t>(en hores)</t>
  </si>
  <si>
    <t xml:space="preserve">fica de 0 a x si et diu que &lt; x minuts </t>
  </si>
  <si>
    <t>fica de x a 1000 si et diu que &gt; x minuts</t>
  </si>
  <si>
    <t>Middle point</t>
  </si>
  <si>
    <t>Left the cells with a -1 if you don't have it</t>
  </si>
  <si>
    <t>Slope 2</t>
  </si>
  <si>
    <t>Slope 1</t>
  </si>
  <si>
    <t>1. Prob de que la suma sigui entre</t>
  </si>
  <si>
    <t xml:space="preserve">i </t>
  </si>
  <si>
    <t>Taula probabilitat</t>
  </si>
  <si>
    <t xml:space="preserve">2. Prob latitud (T) o longitud (G) per </t>
  </si>
  <si>
    <t>T</t>
  </si>
  <si>
    <t xml:space="preserve">3. mateixa pregunta per </t>
  </si>
  <si>
    <t>G</t>
  </si>
  <si>
    <t>4. Funcio probabiilitat de la variable</t>
  </si>
  <si>
    <t>Latitud</t>
  </si>
  <si>
    <t>Longitud</t>
  </si>
  <si>
    <t>5. Funcio prob de la varibale G cap al nord</t>
  </si>
  <si>
    <t>sumatori nord:</t>
  </si>
  <si>
    <t>sumatori sud:</t>
  </si>
  <si>
    <t xml:space="preserve">                                                      cap al sud</t>
  </si>
  <si>
    <t>6. Valor esperat d'una jugada en sentit latitud</t>
  </si>
  <si>
    <t>sumatori</t>
  </si>
  <si>
    <t xml:space="preserve">                                                            en sentit longitud</t>
  </si>
  <si>
    <t>7. Desviació tipus de la longitud</t>
  </si>
  <si>
    <t xml:space="preserve">                                    de la latitud</t>
  </si>
  <si>
    <t>esperança long</t>
  </si>
  <si>
    <t>esperança lat</t>
  </si>
  <si>
    <t>variança lat</t>
  </si>
  <si>
    <t>variança long</t>
  </si>
  <si>
    <t>calcul cov</t>
  </si>
  <si>
    <t>X=lat</t>
  </si>
  <si>
    <t>Y=long</t>
  </si>
  <si>
    <t>8. Valor de la correlacio</t>
  </si>
  <si>
    <t>Doesn't work properly, so if for exemple you have a 1 you should take this values from light to darker</t>
  </si>
  <si>
    <t>Also doesn't work xddd</t>
  </si>
  <si>
    <t xml:space="preserve">3. Esperança de velocitat de baixada </t>
  </si>
  <si>
    <t>integral v 1</t>
  </si>
  <si>
    <t>integral e 1</t>
  </si>
  <si>
    <t>integral e 2</t>
  </si>
  <si>
    <t>integral v 2</t>
  </si>
  <si>
    <t>manual</t>
  </si>
  <si>
    <t>by maxima</t>
  </si>
  <si>
    <t>suma</t>
  </si>
  <si>
    <t>4. Desviació de la velocitat</t>
  </si>
  <si>
    <t>5. entre</t>
  </si>
  <si>
    <t>o entre</t>
  </si>
  <si>
    <t>respostes -&gt;</t>
  </si>
  <si>
    <t xml:space="preserve">integral normal1 </t>
  </si>
  <si>
    <t>integral normal2</t>
  </si>
  <si>
    <t>6. % -----------&gt;</t>
  </si>
  <si>
    <t>Too complex for excel solving</t>
  </si>
  <si>
    <r>
      <t xml:space="preserve">Has de comprovar si el % és menor que </t>
    </r>
    <r>
      <rPr>
        <sz val="11"/>
        <color theme="4"/>
        <rFont val="Calibri"/>
        <family val="2"/>
        <scheme val="minor"/>
      </rPr>
      <t>blau</t>
    </r>
    <r>
      <rPr>
        <sz val="11"/>
        <rFont val="Calibri"/>
        <family val="2"/>
        <scheme val="minor"/>
      </rPr>
      <t xml:space="preserve">, si és així hauras </t>
    </r>
  </si>
  <si>
    <t>de calcular a), sinó hauràs de calcular b). Utilitza la calculadora</t>
  </si>
  <si>
    <t>a)</t>
  </si>
  <si>
    <t>INTEGRAL (</t>
  </si>
  <si>
    <t xml:space="preserve">           =</t>
  </si>
  <si>
    <t xml:space="preserve">                  fins</t>
  </si>
  <si>
    <t xml:space="preserve">                   de</t>
  </si>
  <si>
    <t>x</t>
  </si>
  <si>
    <t>per aïllar x</t>
  </si>
  <si>
    <t>x              +</t>
  </si>
  <si>
    <t>) dx</t>
  </si>
  <si>
    <t>b)</t>
  </si>
  <si>
    <t xml:space="preserve">             +</t>
  </si>
  <si>
    <t>7. Prob mesurar entre</t>
  </si>
  <si>
    <t>I am becoming lazy xd</t>
  </si>
  <si>
    <t>Teniu en compte que potser que tingui part a cadascuna de les dues funcions (suma d'integrals)</t>
  </si>
  <si>
    <t xml:space="preserve">Per resoldre aquest haureu de fer la integral (normal) del interval que hehu ficat a sobre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</si>
</sst>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4394F"/>
      <name val="MJXc-TeX-main-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5" fillId="0" borderId="0" xfId="0" applyFont="1"/>
    <xf numFmtId="0" fontId="7" fillId="0" borderId="0" xfId="0" applyFont="1"/>
    <xf numFmtId="0" fontId="0" fillId="0" borderId="0" xfId="0" applyFont="1"/>
    <xf numFmtId="0" fontId="0" fillId="0" borderId="1" xfId="0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0" fontId="8" fillId="0" borderId="0" xfId="0" applyFont="1"/>
    <xf numFmtId="0" fontId="6" fillId="2" borderId="0" xfId="1"/>
    <xf numFmtId="0" fontId="0" fillId="0" borderId="0" xfId="0" applyBorder="1"/>
    <xf numFmtId="0" fontId="10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12" fillId="0" borderId="0" xfId="0" applyFont="1"/>
    <xf numFmtId="0" fontId="5" fillId="8" borderId="0" xfId="0" applyFont="1" applyFill="1"/>
    <xf numFmtId="0" fontId="0" fillId="8" borderId="0" xfId="0" applyFill="1"/>
    <xf numFmtId="9" fontId="7" fillId="0" borderId="0" xfId="0" applyNumberFormat="1" applyFont="1"/>
    <xf numFmtId="0" fontId="13" fillId="0" borderId="0" xfId="0" applyFont="1"/>
    <xf numFmtId="49" fontId="0" fillId="0" borderId="0" xfId="0" applyNumberFormat="1"/>
  </cellXfs>
  <cellStyles count="2">
    <cellStyle name="Incorrecto" xfId="1" builtinId="27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Nombre amics</a:t>
            </a:r>
          </a:p>
        </c:rich>
      </c:tx>
      <c:layout>
        <c:manualLayout>
          <c:xMode val="edge"/>
          <c:yMode val="edge"/>
          <c:x val="0.36525482391624126"/>
          <c:y val="3.6630036630036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'T''odio zuckerberg'!$D$2</c:f>
              <c:strCache>
                <c:ptCount val="1"/>
                <c:pt idx="0">
                  <c:v>P(X=K)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'T''odio zuckerberg'!$B$3:$B$17</c:f>
              <c:strCache>
                <c:ptCount val="15"/>
                <c:pt idx="0">
                  <c:v>col1</c:v>
                </c:pt>
                <c:pt idx="1">
                  <c:v>col2</c:v>
                </c:pt>
                <c:pt idx="2">
                  <c:v>col3</c:v>
                </c:pt>
                <c:pt idx="3">
                  <c:v>col4</c:v>
                </c:pt>
                <c:pt idx="4">
                  <c:v>col5</c:v>
                </c:pt>
                <c:pt idx="5">
                  <c:v>col6</c:v>
                </c:pt>
                <c:pt idx="6">
                  <c:v>col7</c:v>
                </c:pt>
                <c:pt idx="7">
                  <c:v>col8</c:v>
                </c:pt>
                <c:pt idx="8">
                  <c:v>col9</c:v>
                </c:pt>
                <c:pt idx="9">
                  <c:v>col10</c:v>
                </c:pt>
                <c:pt idx="10">
                  <c:v>col11</c:v>
                </c:pt>
                <c:pt idx="11">
                  <c:v>col12</c:v>
                </c:pt>
                <c:pt idx="12">
                  <c:v>col13</c:v>
                </c:pt>
                <c:pt idx="13">
                  <c:v>col14</c:v>
                </c:pt>
                <c:pt idx="14">
                  <c:v>col15</c:v>
                </c:pt>
              </c:strCache>
            </c:strRef>
          </c:cat>
          <c:val>
            <c:numRef>
              <c:f>'T''odio zuckerberg'!$D$3:$D$17</c:f>
              <c:numCache>
                <c:formatCode>General</c:formatCode>
                <c:ptCount val="15"/>
                <c:pt idx="0">
                  <c:v>4.4999999999999998E-2</c:v>
                </c:pt>
                <c:pt idx="1">
                  <c:v>7.9000000000000001E-2</c:v>
                </c:pt>
                <c:pt idx="2">
                  <c:v>9.9000000000000005E-2</c:v>
                </c:pt>
                <c:pt idx="3">
                  <c:v>0.10199999999999999</c:v>
                </c:pt>
                <c:pt idx="4">
                  <c:v>0.10100000000000001</c:v>
                </c:pt>
                <c:pt idx="5">
                  <c:v>0.1</c:v>
                </c:pt>
                <c:pt idx="6">
                  <c:v>0.10199999999999999</c:v>
                </c:pt>
                <c:pt idx="7">
                  <c:v>0.10100000000000001</c:v>
                </c:pt>
                <c:pt idx="8">
                  <c:v>9.0999999999999998E-2</c:v>
                </c:pt>
                <c:pt idx="9">
                  <c:v>7.3999999999999996E-2</c:v>
                </c:pt>
                <c:pt idx="10">
                  <c:v>5.1999999999999998E-2</c:v>
                </c:pt>
                <c:pt idx="11">
                  <c:v>3.1E-2</c:v>
                </c:pt>
                <c:pt idx="12">
                  <c:v>1.4999999999999999E-2</c:v>
                </c:pt>
                <c:pt idx="13">
                  <c:v>6.0000000000000001E-3</c:v>
                </c:pt>
                <c:pt idx="14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0A-4377-A459-E28FE2A6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1738285071"/>
        <c:axId val="1738291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'T''odio zuckerberg'!$C$2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'T''odio zuckerberg'!$B$3:$B$17</c15:sqref>
                        </c15:formulaRef>
                      </c:ext>
                    </c:extLst>
                    <c:strCache>
                      <c:ptCount val="15"/>
                      <c:pt idx="0">
                        <c:v>col1</c:v>
                      </c:pt>
                      <c:pt idx="1">
                        <c:v>col2</c:v>
                      </c:pt>
                      <c:pt idx="2">
                        <c:v>col3</c:v>
                      </c:pt>
                      <c:pt idx="3">
                        <c:v>col4</c:v>
                      </c:pt>
                      <c:pt idx="4">
                        <c:v>col5</c:v>
                      </c:pt>
                      <c:pt idx="5">
                        <c:v>col6</c:v>
                      </c:pt>
                      <c:pt idx="6">
                        <c:v>col7</c:v>
                      </c:pt>
                      <c:pt idx="7">
                        <c:v>col8</c:v>
                      </c:pt>
                      <c:pt idx="8">
                        <c:v>col9</c:v>
                      </c:pt>
                      <c:pt idx="9">
                        <c:v>col10</c:v>
                      </c:pt>
                      <c:pt idx="10">
                        <c:v>col11</c:v>
                      </c:pt>
                      <c:pt idx="11">
                        <c:v>col12</c:v>
                      </c:pt>
                      <c:pt idx="12">
                        <c:v>col13</c:v>
                      </c:pt>
                      <c:pt idx="13">
                        <c:v>col14</c:v>
                      </c:pt>
                      <c:pt idx="14">
                        <c:v>col15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'T''odio zuckerberg'!$C$3:$C$17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F0A-4377-A459-E28FE2A66688}"/>
                  </c:ext>
                </c:extLst>
              </c15:ser>
            </c15:filteredBarSeries>
          </c:ext>
        </c:extLst>
      </c:barChart>
      <c:catAx>
        <c:axId val="173828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38291311"/>
        <c:crosses val="autoZero"/>
        <c:auto val="1"/>
        <c:lblAlgn val="ctr"/>
        <c:lblOffset val="100"/>
        <c:noMultiLvlLbl val="0"/>
      </c:catAx>
      <c:valAx>
        <c:axId val="173829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73828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Funció</a:t>
            </a:r>
            <a:r>
              <a:rPr lang="ca-ES" baseline="0"/>
              <a:t> distribució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6.5515873015873013E-2"/>
          <c:y val="0.2021684316691881"/>
          <c:w val="0.8891269841269841"/>
          <c:h val="0.757488653555219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'T''odio zuckerberg'!$I$3:$I$17</c:f>
              <c:numCache>
                <c:formatCode>General</c:formatCode>
                <c:ptCount val="15"/>
                <c:pt idx="0">
                  <c:v>4.4999999999999998E-2</c:v>
                </c:pt>
                <c:pt idx="1">
                  <c:v>0.124</c:v>
                </c:pt>
                <c:pt idx="2">
                  <c:v>0.223</c:v>
                </c:pt>
                <c:pt idx="3">
                  <c:v>0.32500000000000001</c:v>
                </c:pt>
                <c:pt idx="4">
                  <c:v>0.42600000000000005</c:v>
                </c:pt>
                <c:pt idx="5">
                  <c:v>0.52600000000000002</c:v>
                </c:pt>
                <c:pt idx="6">
                  <c:v>0.628</c:v>
                </c:pt>
                <c:pt idx="7">
                  <c:v>0.72899999999999998</c:v>
                </c:pt>
                <c:pt idx="8">
                  <c:v>0.82</c:v>
                </c:pt>
                <c:pt idx="9">
                  <c:v>0.89399999999999991</c:v>
                </c:pt>
                <c:pt idx="10">
                  <c:v>0.94599999999999995</c:v>
                </c:pt>
                <c:pt idx="11">
                  <c:v>0.97699999999999998</c:v>
                </c:pt>
                <c:pt idx="12">
                  <c:v>0.99199999999999999</c:v>
                </c:pt>
                <c:pt idx="13">
                  <c:v>0.998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F-4F08-B615-650709777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624300479"/>
        <c:axId val="1624301727"/>
      </c:barChart>
      <c:catAx>
        <c:axId val="1624300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4301727"/>
        <c:crosses val="autoZero"/>
        <c:auto val="1"/>
        <c:lblAlgn val="ctr"/>
        <c:lblOffset val="100"/>
        <c:noMultiLvlLbl val="0"/>
      </c:catAx>
      <c:valAx>
        <c:axId val="16243017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62430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7</xdr:row>
      <xdr:rowOff>95250</xdr:rowOff>
    </xdr:from>
    <xdr:to>
      <xdr:col>16</xdr:col>
      <xdr:colOff>523875</xdr:colOff>
      <xdr:row>19</xdr:row>
      <xdr:rowOff>76201</xdr:rowOff>
    </xdr:to>
    <xdr:cxnSp macro="">
      <xdr:nvCxnSpPr>
        <xdr:cNvPr id="3" name="Conector: curvado 2">
          <a:extLst>
            <a:ext uri="{FF2B5EF4-FFF2-40B4-BE49-F238E27FC236}">
              <a16:creationId xmlns:a16="http://schemas.microsoft.com/office/drawing/2014/main" id="{C5E781FC-2C98-479B-9E5A-C7611E10591F}"/>
            </a:ext>
          </a:extLst>
        </xdr:cNvPr>
        <xdr:cNvCxnSpPr/>
      </xdr:nvCxnSpPr>
      <xdr:spPr>
        <a:xfrm flipV="1">
          <a:off x="10744200" y="1362075"/>
          <a:ext cx="2724150" cy="2152651"/>
        </a:xfrm>
        <a:prstGeom prst="curvedConnector3">
          <a:avLst>
            <a:gd name="adj1" fmla="val 1003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99060</xdr:rowOff>
    </xdr:from>
    <xdr:to>
      <xdr:col>3</xdr:col>
      <xdr:colOff>487680</xdr:colOff>
      <xdr:row>10</xdr:row>
      <xdr:rowOff>114300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0A22E6F-10F5-4580-AEEB-E23C1A6FA7DF}"/>
            </a:ext>
          </a:extLst>
        </xdr:cNvPr>
        <xdr:cNvCxnSpPr/>
      </xdr:nvCxnSpPr>
      <xdr:spPr>
        <a:xfrm flipV="1">
          <a:off x="1661160" y="1196340"/>
          <a:ext cx="1203960" cy="74676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464820</xdr:colOff>
      <xdr:row>6</xdr:row>
      <xdr:rowOff>99060</xdr:rowOff>
    </xdr:from>
    <xdr:to>
      <xdr:col>5</xdr:col>
      <xdr:colOff>777240</xdr:colOff>
      <xdr:row>13</xdr:row>
      <xdr:rowOff>15240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A2E0B5C-9BB7-4C66-9FB1-B32F103CC6E3}"/>
            </a:ext>
          </a:extLst>
        </xdr:cNvPr>
        <xdr:cNvCxnSpPr/>
      </xdr:nvCxnSpPr>
      <xdr:spPr>
        <a:xfrm>
          <a:off x="2842260" y="1196340"/>
          <a:ext cx="1897380" cy="119634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0</xdr:row>
      <xdr:rowOff>114300</xdr:rowOff>
    </xdr:from>
    <xdr:to>
      <xdr:col>14</xdr:col>
      <xdr:colOff>723900</xdr:colOff>
      <xdr:row>19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63C534-0B87-4ADD-AA17-CBCBF1E1F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693420</xdr:colOff>
      <xdr:row>21</xdr:row>
      <xdr:rowOff>30480</xdr:rowOff>
    </xdr:from>
    <xdr:to>
      <xdr:col>12</xdr:col>
      <xdr:colOff>43500</xdr:colOff>
      <xdr:row>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CD0A8E-A6BC-4340-B714-9CE9CFED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3EA5-96B4-4BEC-8AEF-E3D95E5607A2}">
  <dimension ref="A1:M29"/>
  <sheetViews>
    <sheetView workbookViewId="0">
      <selection activeCell="D29" sqref="D29"/>
    </sheetView>
  </sheetViews>
  <sheetFormatPr baseColWidth="10" defaultRowHeight="14.4"/>
  <sheetData>
    <row r="1" spans="1:12">
      <c r="A1" s="2" t="s">
        <v>18</v>
      </c>
      <c r="B1" t="s">
        <v>0</v>
      </c>
      <c r="C1" s="2" t="s">
        <v>1</v>
      </c>
    </row>
    <row r="2" spans="1:12" ht="21">
      <c r="A2" t="s">
        <v>2</v>
      </c>
      <c r="B2" t="s">
        <v>0</v>
      </c>
      <c r="C2" t="s">
        <v>3</v>
      </c>
      <c r="D2" s="24" t="str">
        <f>C1</f>
        <v>Almería</v>
      </c>
      <c r="E2" s="24"/>
      <c r="F2" s="24"/>
      <c r="G2" s="24"/>
      <c r="H2" s="24"/>
      <c r="I2" s="24"/>
    </row>
    <row r="3" spans="1:12"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K3" t="s">
        <v>9</v>
      </c>
      <c r="L3" t="s">
        <v>11</v>
      </c>
    </row>
    <row r="4" spans="1:12">
      <c r="B4" s="23" t="str">
        <f>A1</f>
        <v>Hercules</v>
      </c>
      <c r="C4">
        <v>0</v>
      </c>
      <c r="D4">
        <v>6.3E-2</v>
      </c>
      <c r="E4">
        <v>1.6E-2</v>
      </c>
      <c r="F4">
        <v>1.9E-2</v>
      </c>
      <c r="G4">
        <v>4.2999999999999997E-2</v>
      </c>
      <c r="H4">
        <v>0</v>
      </c>
      <c r="I4">
        <v>0</v>
      </c>
      <c r="K4">
        <f>SUM(D4:H4)</f>
        <v>0.14100000000000001</v>
      </c>
      <c r="L4">
        <f>K4*C4</f>
        <v>0</v>
      </c>
    </row>
    <row r="5" spans="1:12">
      <c r="B5" s="23"/>
      <c r="C5">
        <v>1</v>
      </c>
      <c r="D5">
        <v>3.5999999999999997E-2</v>
      </c>
      <c r="E5">
        <v>7.1999999999999995E-2</v>
      </c>
      <c r="F5">
        <v>0.12</v>
      </c>
      <c r="G5">
        <v>0.28699999999999998</v>
      </c>
      <c r="H5">
        <v>0</v>
      </c>
      <c r="I5">
        <v>0</v>
      </c>
      <c r="K5">
        <f t="shared" ref="K5:K9" si="0">SUM(D5:H5)</f>
        <v>0.5149999999999999</v>
      </c>
      <c r="L5">
        <f t="shared" ref="L5:L9" si="1">K5*C5</f>
        <v>0.5149999999999999</v>
      </c>
    </row>
    <row r="6" spans="1:12">
      <c r="B6" s="23"/>
      <c r="C6">
        <v>2</v>
      </c>
      <c r="D6">
        <v>4.2999999999999997E-2</v>
      </c>
      <c r="E6">
        <v>0.24399999999999999</v>
      </c>
      <c r="F6">
        <v>7.0000000000000001E-3</v>
      </c>
      <c r="G6">
        <v>0.05</v>
      </c>
      <c r="H6">
        <v>0</v>
      </c>
      <c r="I6">
        <v>0</v>
      </c>
      <c r="K6">
        <f t="shared" si="0"/>
        <v>0.34399999999999997</v>
      </c>
      <c r="L6">
        <f t="shared" si="1"/>
        <v>0.68799999999999994</v>
      </c>
    </row>
    <row r="7" spans="1:12">
      <c r="B7" s="23"/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0"/>
        <v>0</v>
      </c>
      <c r="L7">
        <f t="shared" si="1"/>
        <v>0</v>
      </c>
    </row>
    <row r="8" spans="1:12">
      <c r="B8" s="23"/>
      <c r="C8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0"/>
        <v>0</v>
      </c>
      <c r="L8">
        <f t="shared" si="1"/>
        <v>0</v>
      </c>
    </row>
    <row r="9" spans="1:12">
      <c r="B9" s="23"/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0</v>
      </c>
      <c r="L9">
        <f t="shared" si="1"/>
        <v>0</v>
      </c>
    </row>
    <row r="11" spans="1:12">
      <c r="C11" t="s">
        <v>9</v>
      </c>
      <c r="D11">
        <f>SUM(D4:D9)</f>
        <v>0.14200000000000002</v>
      </c>
      <c r="E11">
        <f t="shared" ref="E11:I11" si="2">SUM(E4:E9)</f>
        <v>0.33199999999999996</v>
      </c>
      <c r="F11">
        <f t="shared" si="2"/>
        <v>0.14599999999999999</v>
      </c>
      <c r="G11">
        <f t="shared" si="2"/>
        <v>0.37999999999999995</v>
      </c>
      <c r="H11">
        <f t="shared" si="2"/>
        <v>0</v>
      </c>
      <c r="I11">
        <f t="shared" si="2"/>
        <v>0</v>
      </c>
      <c r="K11">
        <f>SUM(K4:K9)</f>
        <v>0.99999999999999989</v>
      </c>
    </row>
    <row r="12" spans="1:12">
      <c r="C12" t="s">
        <v>11</v>
      </c>
      <c r="D12">
        <f>D11*D3</f>
        <v>0</v>
      </c>
      <c r="E12">
        <f>E11*E3</f>
        <v>0.33199999999999996</v>
      </c>
      <c r="F12">
        <f t="shared" ref="F12:H12" si="3">F11*F3</f>
        <v>0.29199999999999998</v>
      </c>
      <c r="G12">
        <f t="shared" si="3"/>
        <v>1.1399999999999999</v>
      </c>
      <c r="H12">
        <f t="shared" si="3"/>
        <v>0</v>
      </c>
    </row>
    <row r="20" spans="1:13">
      <c r="A20" t="s">
        <v>4</v>
      </c>
      <c r="D20" t="str">
        <f>B4</f>
        <v>Hercules</v>
      </c>
      <c r="E20" s="3">
        <v>2</v>
      </c>
      <c r="F20" t="str">
        <f>D2</f>
        <v>Almería</v>
      </c>
      <c r="G20" s="3">
        <v>1</v>
      </c>
      <c r="H20" s="4">
        <f>INDEX(D4:I9,E20+1,G20+1)*100</f>
        <v>24.4</v>
      </c>
    </row>
    <row r="21" spans="1:13">
      <c r="A21" t="s">
        <v>5</v>
      </c>
      <c r="H21">
        <f>D4+E5+F6+G7+H8+I9</f>
        <v>0.14200000000000002</v>
      </c>
    </row>
    <row r="22" spans="1:13">
      <c r="A22" t="s">
        <v>6</v>
      </c>
      <c r="D22" t="str">
        <f>D2</f>
        <v>Almería</v>
      </c>
      <c r="H22">
        <f>SUM(E4:I4)+SUM(F5:I5)+SUM(G6:I6)+SUM(H7:I7)+SUM(I8)</f>
        <v>0.53500000000000003</v>
      </c>
      <c r="J22" t="s">
        <v>14</v>
      </c>
      <c r="L22" t="str">
        <f>B4</f>
        <v>Hercules</v>
      </c>
      <c r="M22">
        <f>D5+D6+D7+D8+D9+E6+E7+E8+E9+F7+F8+F9+G8+G9+H9</f>
        <v>0.32299999999999995</v>
      </c>
    </row>
    <row r="23" spans="1:13">
      <c r="A23" t="s">
        <v>7</v>
      </c>
      <c r="B23" t="str">
        <f>B4</f>
        <v>Hercules</v>
      </c>
      <c r="C23" t="s">
        <v>8</v>
      </c>
      <c r="H23">
        <f>SUM(D4:I4)</f>
        <v>0.14100000000000001</v>
      </c>
      <c r="J23" t="s">
        <v>15</v>
      </c>
      <c r="M23">
        <f>H21</f>
        <v>0.14200000000000002</v>
      </c>
    </row>
    <row r="24" spans="1:13">
      <c r="A24" t="s">
        <v>10</v>
      </c>
      <c r="D24" t="str">
        <f>B4</f>
        <v>Hercules</v>
      </c>
      <c r="H24">
        <f>SUM(L4:L9)</f>
        <v>1.2029999999999998</v>
      </c>
    </row>
    <row r="25" spans="1:13">
      <c r="A25" t="s">
        <v>22</v>
      </c>
      <c r="H25">
        <f>D4</f>
        <v>6.3E-2</v>
      </c>
    </row>
    <row r="26" spans="1:13">
      <c r="A26" t="s">
        <v>21</v>
      </c>
      <c r="H26">
        <f>G4+H5+I6+D7+E8+F9</f>
        <v>4.2999999999999997E-2</v>
      </c>
      <c r="J26" t="s">
        <v>19</v>
      </c>
      <c r="K26">
        <f>F4+G5+H6+D6+E7+F8+G9+I7</f>
        <v>0.34899999999999998</v>
      </c>
    </row>
    <row r="27" spans="1:13">
      <c r="A27" t="s">
        <v>12</v>
      </c>
      <c r="C27" t="str">
        <f>D2</f>
        <v>Almería</v>
      </c>
      <c r="D27" t="s">
        <v>20</v>
      </c>
      <c r="H27">
        <f>SUM(G4:G7)/G11</f>
        <v>1</v>
      </c>
      <c r="I27" s="6" t="s">
        <v>23</v>
      </c>
    </row>
    <row r="28" spans="1:13">
      <c r="A28" t="s">
        <v>16</v>
      </c>
      <c r="D28" s="1">
        <v>2</v>
      </c>
      <c r="E28" t="s">
        <v>17</v>
      </c>
      <c r="H28">
        <f>((1-J28)/J28)+1</f>
        <v>142.85714285714286</v>
      </c>
      <c r="I28" s="7"/>
      <c r="J28" s="5">
        <f>INDEX(D4:I9,D28+1,D28+1)</f>
        <v>7.0000000000000001E-3</v>
      </c>
    </row>
    <row r="29" spans="1:13">
      <c r="A29" t="s">
        <v>13</v>
      </c>
      <c r="D29" s="7"/>
      <c r="E29" t="str">
        <f>B4</f>
        <v>Hercules</v>
      </c>
      <c r="H29">
        <f>M22*3+M23*1</f>
        <v>1.1109999999999998</v>
      </c>
    </row>
  </sheetData>
  <mergeCells count="2">
    <mergeCell ref="B4:B9"/>
    <mergeCell ref="D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6868-1EA5-41F8-9A54-0C26C5FFE648}">
  <dimension ref="A3:P20"/>
  <sheetViews>
    <sheetView topLeftCell="A7" workbookViewId="0">
      <selection activeCell="C7" sqref="C7"/>
    </sheetView>
  </sheetViews>
  <sheetFormatPr baseColWidth="10" defaultRowHeight="14.4"/>
  <cols>
    <col min="1" max="1" width="19" customWidth="1"/>
    <col min="2" max="2" width="13.5546875" customWidth="1"/>
    <col min="3" max="3" width="12.77734375" customWidth="1"/>
    <col min="9" max="9" width="15.77734375" customWidth="1"/>
  </cols>
  <sheetData>
    <row r="3" spans="1:16">
      <c r="A3" t="s">
        <v>24</v>
      </c>
      <c r="B3" s="8">
        <v>2</v>
      </c>
      <c r="C3" s="8">
        <v>4</v>
      </c>
      <c r="D3" s="8">
        <v>6</v>
      </c>
      <c r="E3" s="8">
        <v>8</v>
      </c>
      <c r="F3" s="8">
        <v>10</v>
      </c>
      <c r="G3" t="s">
        <v>26</v>
      </c>
    </row>
    <row r="4" spans="1:16">
      <c r="A4" t="s">
        <v>25</v>
      </c>
      <c r="B4" s="8">
        <v>0.3</v>
      </c>
      <c r="C4" s="8">
        <v>0.22</v>
      </c>
      <c r="D4" s="8">
        <v>0.20499999999999999</v>
      </c>
      <c r="E4" s="8">
        <v>0.1</v>
      </c>
      <c r="F4" s="8">
        <v>0.17499999999999999</v>
      </c>
      <c r="G4" t="s">
        <v>27</v>
      </c>
    </row>
    <row r="6" spans="1:16">
      <c r="A6" t="s">
        <v>31</v>
      </c>
      <c r="B6" s="10">
        <f>B3*B4</f>
        <v>0.6</v>
      </c>
      <c r="C6" s="9">
        <f t="shared" ref="C6:F6" si="0">C3*C4</f>
        <v>0.88</v>
      </c>
      <c r="D6" s="9">
        <f t="shared" si="0"/>
        <v>1.23</v>
      </c>
      <c r="E6" s="10">
        <f>E3*E4</f>
        <v>0.8</v>
      </c>
      <c r="F6" s="9">
        <f t="shared" si="0"/>
        <v>1.75</v>
      </c>
      <c r="H6" s="4">
        <f>SUM(B4:F4)</f>
        <v>1</v>
      </c>
      <c r="I6" t="s">
        <v>28</v>
      </c>
    </row>
    <row r="7" spans="1:16">
      <c r="A7" t="s">
        <v>32</v>
      </c>
      <c r="B7" s="13">
        <f>((B3-B6)^2)*B4</f>
        <v>0.58799999999999986</v>
      </c>
      <c r="C7" s="13">
        <f t="shared" ref="C7:E7" si="1">((C3-C6)^2)*C4</f>
        <v>2.1415680000000004</v>
      </c>
      <c r="D7" s="13">
        <f>((D3-D6)^2)*D4</f>
        <v>4.6643444999999994</v>
      </c>
      <c r="E7" s="13">
        <f t="shared" si="1"/>
        <v>5.1840000000000011</v>
      </c>
      <c r="F7" s="13">
        <f>((F3-F6)^2)*F4</f>
        <v>11.910937499999999</v>
      </c>
    </row>
    <row r="9" spans="1:16">
      <c r="B9" t="s">
        <v>33</v>
      </c>
      <c r="C9" s="13">
        <f>SUM(B6:F6)</f>
        <v>5.26</v>
      </c>
    </row>
    <row r="10" spans="1:16">
      <c r="B10" t="s">
        <v>34</v>
      </c>
      <c r="C10" s="13">
        <f>SUM(B7:F7)</f>
        <v>24.488849999999999</v>
      </c>
    </row>
    <row r="14" spans="1:16">
      <c r="B14" t="s">
        <v>29</v>
      </c>
      <c r="D14" s="9">
        <f>SUM(B6:F6)</f>
        <v>5.26</v>
      </c>
    </row>
    <row r="15" spans="1:16">
      <c r="B15" t="s">
        <v>30</v>
      </c>
      <c r="D15">
        <f>SQRT(C10)</f>
        <v>4.9486210200418457</v>
      </c>
      <c r="E15" s="15" t="s">
        <v>42</v>
      </c>
      <c r="J15" t="s">
        <v>41</v>
      </c>
      <c r="L15" s="14">
        <f>C16*C17</f>
        <v>0.2</v>
      </c>
      <c r="M15" s="14">
        <f t="shared" ref="M15:O15" si="2">D16*D17</f>
        <v>1</v>
      </c>
      <c r="N15" s="14">
        <f t="shared" si="2"/>
        <v>3.7800000000000002</v>
      </c>
      <c r="O15" s="14">
        <f t="shared" si="2"/>
        <v>0.08</v>
      </c>
      <c r="P15" s="14">
        <f>G16*G17</f>
        <v>0.1</v>
      </c>
    </row>
    <row r="16" spans="1:16">
      <c r="B16" t="s">
        <v>35</v>
      </c>
      <c r="C16" s="8">
        <f>B3</f>
        <v>2</v>
      </c>
      <c r="D16" s="8">
        <f t="shared" ref="D16:F16" si="3">C3</f>
        <v>4</v>
      </c>
      <c r="E16" s="8">
        <f t="shared" si="3"/>
        <v>6</v>
      </c>
      <c r="F16" s="8">
        <f t="shared" si="3"/>
        <v>8</v>
      </c>
      <c r="G16" s="8">
        <f>F3</f>
        <v>10</v>
      </c>
      <c r="I16" t="s">
        <v>37</v>
      </c>
      <c r="J16" s="12">
        <v>0.05</v>
      </c>
      <c r="L16" s="14">
        <f>((C16-L15)^2)*C17</f>
        <v>0.32400000000000007</v>
      </c>
      <c r="M16" s="14">
        <f>((D16-M15)^2)*D17</f>
        <v>2.25</v>
      </c>
      <c r="N16" s="14">
        <f t="shared" ref="N16:P16" si="4">((E16-N15)^2)*E17</f>
        <v>3.1048919999999995</v>
      </c>
      <c r="O16" s="14">
        <f t="shared" si="4"/>
        <v>0.62726400000000004</v>
      </c>
      <c r="P16" s="14">
        <f t="shared" si="4"/>
        <v>0.98010000000000008</v>
      </c>
    </row>
    <row r="17" spans="1:10">
      <c r="A17" t="s">
        <v>39</v>
      </c>
      <c r="C17" s="8">
        <v>0.1</v>
      </c>
      <c r="D17" s="8">
        <v>0.25</v>
      </c>
      <c r="E17" s="8">
        <v>0.63</v>
      </c>
      <c r="F17" s="8">
        <v>0.01</v>
      </c>
      <c r="G17" s="8">
        <v>0.01</v>
      </c>
      <c r="I17" t="s">
        <v>36</v>
      </c>
      <c r="J17" s="12">
        <v>0.5</v>
      </c>
    </row>
    <row r="19" spans="1:10">
      <c r="C19" t="s">
        <v>31</v>
      </c>
      <c r="D19" s="13">
        <f>SUM(L15:P15)</f>
        <v>5.16</v>
      </c>
      <c r="E19" t="s">
        <v>40</v>
      </c>
      <c r="I19" s="4">
        <f>SUM(C17:G17)</f>
        <v>1</v>
      </c>
    </row>
    <row r="20" spans="1:10">
      <c r="C20" t="s">
        <v>38</v>
      </c>
      <c r="D20">
        <f>SUM(L16:P16)</f>
        <v>7.2862559999999998</v>
      </c>
      <c r="E20" t="s">
        <v>40</v>
      </c>
    </row>
  </sheetData>
  <phoneticPr fontId="9" type="noConversion"/>
  <conditionalFormatting sqref="H6">
    <cfRule type="cellIs" dxfId="6" priority="9" operator="equal">
      <formula>1</formula>
    </cfRule>
    <cfRule type="cellIs" dxfId="5" priority="10" operator="notEqual">
      <formula>1</formula>
    </cfRule>
  </conditionalFormatting>
  <conditionalFormatting sqref="I19">
    <cfRule type="cellIs" dxfId="4" priority="7" operator="equal">
      <formula>1</formula>
    </cfRule>
    <cfRule type="cellIs" dxfId="3" priority="8" operator="notEqual">
      <formula>1</formula>
    </cfRule>
  </conditionalFormatting>
  <conditionalFormatting sqref="D19">
    <cfRule type="cellIs" dxfId="2" priority="2" operator="between">
      <formula>($C$9)-($C$9)*$J$16</formula>
      <formula>($C$9)+($C$9)*$J$16</formula>
    </cfRule>
  </conditionalFormatting>
  <conditionalFormatting sqref="D20">
    <cfRule type="cellIs" dxfId="1" priority="1" operator="lessThan">
      <formula>($C$10)-($C$10)*$J$17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1AA1-82FD-419E-9A3C-A9921FDE10CA}">
  <dimension ref="A2:AF37"/>
  <sheetViews>
    <sheetView zoomScaleNormal="100" workbookViewId="0">
      <selection activeCell="E37" sqref="E37"/>
    </sheetView>
  </sheetViews>
  <sheetFormatPr baseColWidth="10" defaultRowHeight="14.4"/>
  <cols>
    <col min="1" max="1" width="10.21875" customWidth="1"/>
    <col min="2" max="2" width="8.44140625" customWidth="1"/>
    <col min="11" max="11" width="16.33203125" customWidth="1"/>
    <col min="12" max="12" width="14.33203125" customWidth="1"/>
    <col min="13" max="13" width="12.44140625" customWidth="1"/>
    <col min="21" max="21" width="14" customWidth="1"/>
    <col min="22" max="22" width="12.6640625" bestFit="1" customWidth="1"/>
  </cols>
  <sheetData>
    <row r="2" spans="1:32">
      <c r="F2" t="s">
        <v>96</v>
      </c>
      <c r="J2" t="s">
        <v>98</v>
      </c>
      <c r="M2" t="s">
        <v>124</v>
      </c>
      <c r="T2" t="s">
        <v>137</v>
      </c>
      <c r="U2" t="s">
        <v>141</v>
      </c>
      <c r="V2" t="s">
        <v>144</v>
      </c>
      <c r="Z2" t="s">
        <v>145</v>
      </c>
    </row>
    <row r="3" spans="1:32">
      <c r="C3">
        <v>2</v>
      </c>
      <c r="D3" s="8">
        <v>3</v>
      </c>
      <c r="E3" s="8"/>
      <c r="F3" s="8">
        <v>9</v>
      </c>
      <c r="G3" s="8"/>
      <c r="H3" s="8"/>
      <c r="J3">
        <v>2</v>
      </c>
      <c r="K3" s="13">
        <v>2.7777777777777801E-2</v>
      </c>
      <c r="M3">
        <f>C3</f>
        <v>2</v>
      </c>
      <c r="N3" s="8">
        <f>IF(D3=0,0,INDEX($K$3:$K$13,D3-1,1))</f>
        <v>5.5555555555555552E-2</v>
      </c>
      <c r="O3" s="8">
        <f t="shared" ref="O3:R7" si="0">IF(E3=0,0,INDEX($K$3:$K$13,E3-1,1))</f>
        <v>0</v>
      </c>
      <c r="P3" s="8">
        <f t="shared" si="0"/>
        <v>0.1111111111111111</v>
      </c>
      <c r="Q3" s="22">
        <f t="shared" si="0"/>
        <v>0</v>
      </c>
      <c r="R3" s="8">
        <f t="shared" si="0"/>
        <v>0</v>
      </c>
      <c r="T3">
        <f>SUM(N3:R3)</f>
        <v>0.16666666666666666</v>
      </c>
      <c r="U3">
        <f>T3*C3</f>
        <v>0.33333333333333331</v>
      </c>
      <c r="V3">
        <f>((M3-$U$9)^2)*T3</f>
        <v>0.51041666666666696</v>
      </c>
      <c r="Z3" t="s">
        <v>146</v>
      </c>
      <c r="AA3" t="s">
        <v>147</v>
      </c>
      <c r="AB3" t="s">
        <v>104</v>
      </c>
      <c r="AC3" t="s">
        <v>105</v>
      </c>
      <c r="AD3" t="s">
        <v>106</v>
      </c>
      <c r="AE3" t="s">
        <v>108</v>
      </c>
      <c r="AF3" t="s">
        <v>107</v>
      </c>
    </row>
    <row r="4" spans="1:32">
      <c r="B4" t="s">
        <v>93</v>
      </c>
      <c r="C4">
        <v>1</v>
      </c>
      <c r="D4" s="8">
        <v>10</v>
      </c>
      <c r="E4" s="8">
        <v>11</v>
      </c>
      <c r="F4" s="8"/>
      <c r="G4" s="8"/>
      <c r="H4" s="8">
        <v>6</v>
      </c>
      <c r="J4">
        <v>3</v>
      </c>
      <c r="K4" s="13">
        <v>5.5555555555555552E-2</v>
      </c>
      <c r="M4">
        <f t="shared" ref="M4:M7" si="1">C4</f>
        <v>1</v>
      </c>
      <c r="N4" s="8">
        <f t="shared" ref="N4:N7" si="2">IF(D4=0,0,INDEX($K$3:$K$13,D4-1,1))</f>
        <v>8.3333333333333329E-2</v>
      </c>
      <c r="O4" s="8">
        <f t="shared" si="0"/>
        <v>5.5555555555555552E-2</v>
      </c>
      <c r="P4" s="8">
        <f t="shared" si="0"/>
        <v>0</v>
      </c>
      <c r="Q4" s="21">
        <f t="shared" si="0"/>
        <v>0</v>
      </c>
      <c r="R4" s="8">
        <f t="shared" si="0"/>
        <v>0.1388888888888889</v>
      </c>
      <c r="T4">
        <f t="shared" ref="T4:T7" si="3">SUM(N4:R4)</f>
        <v>0.27777777777777779</v>
      </c>
      <c r="U4">
        <f t="shared" ref="U4:U7" si="4">T4*C4</f>
        <v>0.27777777777777779</v>
      </c>
      <c r="V4">
        <f t="shared" ref="V4:V7" si="5">((M4-$U$9)^2)*T4</f>
        <v>0.15625000000000014</v>
      </c>
      <c r="Z4">
        <v>-2</v>
      </c>
      <c r="AA4">
        <v>-2</v>
      </c>
      <c r="AB4">
        <f>Z4-$T$10</f>
        <v>-2.1944444444444451</v>
      </c>
      <c r="AC4">
        <f>AA4-$U$9</f>
        <v>-2.2499999999999996</v>
      </c>
      <c r="AD4">
        <f>AB4*AC4</f>
        <v>4.9375000000000009</v>
      </c>
      <c r="AE4">
        <f>INDEX($N$3:$R$7,3-Z4,AA4+3)</f>
        <v>0</v>
      </c>
      <c r="AF4">
        <f>AD4*AE4</f>
        <v>0</v>
      </c>
    </row>
    <row r="5" spans="1:32">
      <c r="A5" t="s">
        <v>93</v>
      </c>
      <c r="B5" t="s">
        <v>95</v>
      </c>
      <c r="C5">
        <v>0</v>
      </c>
      <c r="D5" s="8">
        <v>4</v>
      </c>
      <c r="E5" s="8"/>
      <c r="F5" s="8">
        <v>5</v>
      </c>
      <c r="G5" s="8">
        <v>12</v>
      </c>
      <c r="H5" s="8"/>
      <c r="I5" t="s">
        <v>95</v>
      </c>
      <c r="J5">
        <v>4</v>
      </c>
      <c r="K5" s="13">
        <f>3/36</f>
        <v>8.3333333333333329E-2</v>
      </c>
      <c r="M5">
        <f t="shared" si="1"/>
        <v>0</v>
      </c>
      <c r="N5" s="8">
        <f t="shared" si="2"/>
        <v>8.3333333333333329E-2</v>
      </c>
      <c r="O5" s="8">
        <f t="shared" si="0"/>
        <v>0</v>
      </c>
      <c r="P5" s="8">
        <f t="shared" si="0"/>
        <v>0.1111111111111111</v>
      </c>
      <c r="Q5" s="20">
        <f t="shared" si="0"/>
        <v>2.7777777777777776E-2</v>
      </c>
      <c r="R5" s="8">
        <f t="shared" si="0"/>
        <v>0</v>
      </c>
      <c r="T5">
        <f t="shared" si="3"/>
        <v>0.22222222222222221</v>
      </c>
      <c r="U5">
        <f t="shared" si="4"/>
        <v>0</v>
      </c>
      <c r="V5">
        <f t="shared" si="5"/>
        <v>1.3888888888888848E-2</v>
      </c>
      <c r="Z5">
        <v>-2</v>
      </c>
      <c r="AA5">
        <v>-1</v>
      </c>
      <c r="AB5">
        <f t="shared" ref="AB5:AB28" si="6">Z5-$T$10</f>
        <v>-2.1944444444444451</v>
      </c>
      <c r="AC5">
        <f t="shared" ref="AC5:AC28" si="7">AA5-$U$9</f>
        <v>-1.2499999999999996</v>
      </c>
      <c r="AD5">
        <f t="shared" ref="AD5:AD28" si="8">AB5*AC5</f>
        <v>2.7430555555555554</v>
      </c>
      <c r="AE5">
        <f t="shared" ref="AE5:AE27" si="9">INDEX($N$3:$R$7,3-Z5,AA5+3)</f>
        <v>0</v>
      </c>
      <c r="AF5">
        <f t="shared" ref="AF5:AF28" si="10">AD5*AE5</f>
        <v>0</v>
      </c>
    </row>
    <row r="6" spans="1:32">
      <c r="C6">
        <v>-1</v>
      </c>
      <c r="D6" s="8"/>
      <c r="E6" s="8"/>
      <c r="F6" s="8">
        <v>8</v>
      </c>
      <c r="G6" s="8"/>
      <c r="H6" s="8">
        <v>7</v>
      </c>
      <c r="J6">
        <v>5</v>
      </c>
      <c r="K6" s="13">
        <v>0.1111111111111111</v>
      </c>
      <c r="M6">
        <f t="shared" si="1"/>
        <v>-1</v>
      </c>
      <c r="N6" s="8">
        <f t="shared" si="2"/>
        <v>0</v>
      </c>
      <c r="O6" s="8">
        <f t="shared" si="0"/>
        <v>0</v>
      </c>
      <c r="P6" s="8">
        <f t="shared" si="0"/>
        <v>0.1388888888888889</v>
      </c>
      <c r="Q6" s="19">
        <f t="shared" si="0"/>
        <v>0</v>
      </c>
      <c r="R6" s="8">
        <f t="shared" si="0"/>
        <v>0.16666666666666699</v>
      </c>
      <c r="T6">
        <f t="shared" si="3"/>
        <v>0.30555555555555591</v>
      </c>
      <c r="U6">
        <f t="shared" si="4"/>
        <v>-0.30555555555555591</v>
      </c>
      <c r="V6">
        <f t="shared" si="5"/>
        <v>0.4774305555555558</v>
      </c>
      <c r="Z6">
        <v>-2</v>
      </c>
      <c r="AA6">
        <v>0</v>
      </c>
      <c r="AB6">
        <f t="shared" si="6"/>
        <v>-2.1944444444444451</v>
      </c>
      <c r="AC6">
        <f t="shared" si="7"/>
        <v>-0.24999999999999964</v>
      </c>
      <c r="AD6">
        <f t="shared" si="8"/>
        <v>0.54861111111111049</v>
      </c>
      <c r="AE6">
        <f t="shared" si="9"/>
        <v>0</v>
      </c>
      <c r="AF6">
        <f t="shared" si="10"/>
        <v>0</v>
      </c>
    </row>
    <row r="7" spans="1:32">
      <c r="C7">
        <v>-2</v>
      </c>
      <c r="D7" s="8"/>
      <c r="E7" s="8"/>
      <c r="F7" s="8"/>
      <c r="G7" s="8"/>
      <c r="H7" s="8">
        <v>2</v>
      </c>
      <c r="J7">
        <v>6</v>
      </c>
      <c r="K7" s="13">
        <v>0.1388888888888889</v>
      </c>
      <c r="M7">
        <f t="shared" si="1"/>
        <v>-2</v>
      </c>
      <c r="N7" s="8">
        <f t="shared" si="2"/>
        <v>0</v>
      </c>
      <c r="O7" s="8">
        <f t="shared" si="0"/>
        <v>0</v>
      </c>
      <c r="P7" s="8">
        <f t="shared" si="0"/>
        <v>0</v>
      </c>
      <c r="Q7" s="18">
        <f t="shared" si="0"/>
        <v>0</v>
      </c>
      <c r="R7" s="8">
        <f t="shared" si="0"/>
        <v>2.7777777777777801E-2</v>
      </c>
      <c r="T7">
        <f t="shared" si="3"/>
        <v>2.7777777777777801E-2</v>
      </c>
      <c r="U7">
        <f t="shared" si="4"/>
        <v>-5.5555555555555601E-2</v>
      </c>
      <c r="V7">
        <f t="shared" si="5"/>
        <v>0.14062500000000006</v>
      </c>
      <c r="Z7">
        <v>-2</v>
      </c>
      <c r="AA7">
        <v>1</v>
      </c>
      <c r="AB7">
        <f t="shared" si="6"/>
        <v>-2.1944444444444451</v>
      </c>
      <c r="AC7">
        <f t="shared" si="7"/>
        <v>0.75000000000000033</v>
      </c>
      <c r="AD7">
        <f t="shared" si="8"/>
        <v>-1.6458333333333346</v>
      </c>
      <c r="AE7">
        <f t="shared" si="9"/>
        <v>0</v>
      </c>
      <c r="AF7">
        <f t="shared" si="10"/>
        <v>0</v>
      </c>
    </row>
    <row r="8" spans="1:32">
      <c r="D8">
        <v>-2</v>
      </c>
      <c r="E8">
        <v>-1</v>
      </c>
      <c r="F8">
        <v>0</v>
      </c>
      <c r="G8">
        <v>1</v>
      </c>
      <c r="H8">
        <v>2</v>
      </c>
      <c r="J8">
        <v>7</v>
      </c>
      <c r="K8" s="13">
        <v>0.16666666666666699</v>
      </c>
      <c r="N8">
        <f>D8</f>
        <v>-2</v>
      </c>
      <c r="O8">
        <f t="shared" ref="O8:Q8" si="11">E8</f>
        <v>-1</v>
      </c>
      <c r="P8">
        <f t="shared" si="11"/>
        <v>0</v>
      </c>
      <c r="Q8">
        <f t="shared" si="11"/>
        <v>1</v>
      </c>
      <c r="R8">
        <f>H8</f>
        <v>2</v>
      </c>
      <c r="Z8">
        <v>-2</v>
      </c>
      <c r="AA8">
        <v>2</v>
      </c>
      <c r="AB8">
        <f t="shared" si="6"/>
        <v>-2.1944444444444451</v>
      </c>
      <c r="AC8">
        <f t="shared" si="7"/>
        <v>1.7500000000000004</v>
      </c>
      <c r="AD8">
        <f t="shared" si="8"/>
        <v>-3.8402777777777799</v>
      </c>
      <c r="AE8">
        <f t="shared" si="9"/>
        <v>2.7777777777777801E-2</v>
      </c>
      <c r="AF8">
        <f t="shared" si="10"/>
        <v>-0.10667438271604952</v>
      </c>
    </row>
    <row r="9" spans="1:32">
      <c r="E9" t="s">
        <v>97</v>
      </c>
      <c r="F9" t="s">
        <v>94</v>
      </c>
      <c r="J9">
        <v>8</v>
      </c>
      <c r="K9" s="13">
        <v>0.1388888888888889</v>
      </c>
      <c r="M9" t="s">
        <v>137</v>
      </c>
      <c r="N9">
        <f>SUM(N3:N7)</f>
        <v>0.22222222222222221</v>
      </c>
      <c r="O9">
        <f t="shared" ref="O9:R9" si="12">SUM(O3:O7)</f>
        <v>5.5555555555555552E-2</v>
      </c>
      <c r="P9">
        <f t="shared" si="12"/>
        <v>0.3611111111111111</v>
      </c>
      <c r="Q9">
        <f t="shared" si="12"/>
        <v>2.7777777777777776E-2</v>
      </c>
      <c r="R9">
        <f t="shared" si="12"/>
        <v>0.3333333333333337</v>
      </c>
      <c r="T9">
        <f>SUM(N3:R7)</f>
        <v>1.0000000000000004</v>
      </c>
      <c r="U9">
        <f>SUM(U3:U7)</f>
        <v>0.24999999999999964</v>
      </c>
      <c r="V9">
        <f>SUM(V3:V7)</f>
        <v>1.2986111111111116</v>
      </c>
      <c r="Z9">
        <v>-1</v>
      </c>
      <c r="AA9">
        <v>-2</v>
      </c>
      <c r="AB9">
        <f t="shared" si="6"/>
        <v>-1.1944444444444451</v>
      </c>
      <c r="AC9">
        <f t="shared" si="7"/>
        <v>-2.2499999999999996</v>
      </c>
      <c r="AD9">
        <f t="shared" si="8"/>
        <v>2.6875000000000009</v>
      </c>
      <c r="AE9">
        <f t="shared" si="9"/>
        <v>0</v>
      </c>
      <c r="AF9">
        <f t="shared" si="10"/>
        <v>0</v>
      </c>
    </row>
    <row r="10" spans="1:32">
      <c r="J10">
        <v>9</v>
      </c>
      <c r="K10" s="13">
        <v>0.1111111111111111</v>
      </c>
      <c r="M10" t="s">
        <v>142</v>
      </c>
      <c r="N10">
        <f>N9*D8</f>
        <v>-0.44444444444444442</v>
      </c>
      <c r="O10">
        <f t="shared" ref="O10:R10" si="13">O9*E8</f>
        <v>-5.5555555555555552E-2</v>
      </c>
      <c r="P10">
        <f t="shared" si="13"/>
        <v>0</v>
      </c>
      <c r="Q10">
        <f t="shared" si="13"/>
        <v>2.7777777777777776E-2</v>
      </c>
      <c r="R10">
        <f t="shared" si="13"/>
        <v>0.66666666666666741</v>
      </c>
      <c r="T10">
        <f>SUM(N10:R10)</f>
        <v>0.1944444444444452</v>
      </c>
      <c r="Z10">
        <v>-1</v>
      </c>
      <c r="AA10">
        <v>-1</v>
      </c>
      <c r="AB10">
        <f t="shared" si="6"/>
        <v>-1.1944444444444451</v>
      </c>
      <c r="AC10">
        <f t="shared" si="7"/>
        <v>-1.2499999999999996</v>
      </c>
      <c r="AD10">
        <f t="shared" si="8"/>
        <v>1.4930555555555558</v>
      </c>
      <c r="AE10">
        <f t="shared" si="9"/>
        <v>0</v>
      </c>
      <c r="AF10">
        <f t="shared" si="10"/>
        <v>0</v>
      </c>
    </row>
    <row r="11" spans="1:32">
      <c r="J11">
        <v>10</v>
      </c>
      <c r="K11" s="13">
        <v>8.3333333333333329E-2</v>
      </c>
      <c r="M11" t="s">
        <v>143</v>
      </c>
      <c r="N11">
        <f>((D8*$T$10)^2)*N9</f>
        <v>3.3607681755830163E-2</v>
      </c>
      <c r="O11">
        <f>((E8*$T$10)^2)*O9</f>
        <v>2.1004801097393852E-3</v>
      </c>
      <c r="P11">
        <f>((F8*$T$10)^2)*P9</f>
        <v>0</v>
      </c>
      <c r="Q11">
        <f>((G8*$T$10)^2)*Q9</f>
        <v>1.0502400548696926E-3</v>
      </c>
      <c r="R11">
        <f>((H8*$T$10)^2)*R9</f>
        <v>5.04115226337453E-2</v>
      </c>
      <c r="T11">
        <f>SUM(N11:R11)</f>
        <v>8.7169924554184541E-2</v>
      </c>
      <c r="Z11">
        <v>-1</v>
      </c>
      <c r="AA11">
        <v>0</v>
      </c>
      <c r="AB11">
        <f t="shared" si="6"/>
        <v>-1.1944444444444451</v>
      </c>
      <c r="AC11">
        <f t="shared" si="7"/>
        <v>-0.24999999999999964</v>
      </c>
      <c r="AD11">
        <f t="shared" si="8"/>
        <v>0.29861111111111083</v>
      </c>
      <c r="AE11">
        <f t="shared" si="9"/>
        <v>0.1388888888888889</v>
      </c>
      <c r="AF11">
        <f t="shared" si="10"/>
        <v>4.1473765432098728E-2</v>
      </c>
    </row>
    <row r="12" spans="1:32">
      <c r="J12">
        <v>11</v>
      </c>
      <c r="K12" s="13">
        <v>5.5555555555555552E-2</v>
      </c>
      <c r="Z12">
        <v>-1</v>
      </c>
      <c r="AA12">
        <v>1</v>
      </c>
      <c r="AB12">
        <f t="shared" si="6"/>
        <v>-1.1944444444444451</v>
      </c>
      <c r="AC12">
        <f t="shared" si="7"/>
        <v>0.75000000000000033</v>
      </c>
      <c r="AD12">
        <f t="shared" si="8"/>
        <v>-0.89583333333333426</v>
      </c>
      <c r="AE12">
        <f t="shared" si="9"/>
        <v>0</v>
      </c>
      <c r="AF12">
        <f t="shared" si="10"/>
        <v>0</v>
      </c>
    </row>
    <row r="13" spans="1:32">
      <c r="J13">
        <v>12</v>
      </c>
      <c r="K13" s="13">
        <v>2.7777777777777776E-2</v>
      </c>
      <c r="Z13">
        <v>-1</v>
      </c>
      <c r="AA13">
        <v>2</v>
      </c>
      <c r="AB13">
        <f t="shared" si="6"/>
        <v>-1.1944444444444451</v>
      </c>
      <c r="AC13">
        <f t="shared" si="7"/>
        <v>1.7500000000000004</v>
      </c>
      <c r="AD13">
        <f t="shared" si="8"/>
        <v>-2.0902777777777795</v>
      </c>
      <c r="AE13">
        <f t="shared" si="9"/>
        <v>0.16666666666666699</v>
      </c>
      <c r="AF13">
        <f t="shared" si="10"/>
        <v>-0.34837962962963059</v>
      </c>
    </row>
    <row r="14" spans="1:32">
      <c r="Z14">
        <v>0</v>
      </c>
      <c r="AA14">
        <v>-2</v>
      </c>
      <c r="AB14">
        <f t="shared" si="6"/>
        <v>-0.1944444444444452</v>
      </c>
      <c r="AC14">
        <f t="shared" si="7"/>
        <v>-2.2499999999999996</v>
      </c>
      <c r="AD14">
        <f t="shared" si="8"/>
        <v>0.43750000000000161</v>
      </c>
      <c r="AE14">
        <f t="shared" si="9"/>
        <v>8.3333333333333329E-2</v>
      </c>
      <c r="AF14">
        <f t="shared" si="10"/>
        <v>3.6458333333333467E-2</v>
      </c>
    </row>
    <row r="15" spans="1:32">
      <c r="A15" t="s">
        <v>122</v>
      </c>
      <c r="D15" s="1">
        <v>12</v>
      </c>
      <c r="E15" t="s">
        <v>123</v>
      </c>
      <c r="F15" s="1">
        <v>12</v>
      </c>
      <c r="G15" s="13">
        <f>SUM(INDEX(K3:K13,D15-1,1):INDEX(K3:K13,F15-1,1))</f>
        <v>2.7777777777777776E-2</v>
      </c>
      <c r="K15" s="13">
        <f>SUM(K3:K13)</f>
        <v>1.0000000000000004</v>
      </c>
      <c r="Z15">
        <v>0</v>
      </c>
      <c r="AA15">
        <v>-1</v>
      </c>
      <c r="AB15">
        <f t="shared" si="6"/>
        <v>-0.1944444444444452</v>
      </c>
      <c r="AC15">
        <f t="shared" si="7"/>
        <v>-1.2499999999999996</v>
      </c>
      <c r="AD15">
        <f t="shared" si="8"/>
        <v>0.24305555555555641</v>
      </c>
      <c r="AE15">
        <f t="shared" si="9"/>
        <v>0</v>
      </c>
      <c r="AF15">
        <f t="shared" si="10"/>
        <v>0</v>
      </c>
    </row>
    <row r="16" spans="1:32">
      <c r="A16" t="s">
        <v>125</v>
      </c>
      <c r="E16" t="s">
        <v>126</v>
      </c>
      <c r="F16" s="1">
        <v>0</v>
      </c>
      <c r="Z16">
        <v>0</v>
      </c>
      <c r="AA16">
        <v>0</v>
      </c>
      <c r="AB16">
        <f t="shared" si="6"/>
        <v>-0.1944444444444452</v>
      </c>
      <c r="AC16">
        <f t="shared" si="7"/>
        <v>-0.24999999999999964</v>
      </c>
      <c r="AD16">
        <f t="shared" si="8"/>
        <v>4.861111111111123E-2</v>
      </c>
      <c r="AE16">
        <f t="shared" si="9"/>
        <v>0.1111111111111111</v>
      </c>
      <c r="AF16">
        <f t="shared" si="10"/>
        <v>5.4012345679012473E-3</v>
      </c>
    </row>
    <row r="17" spans="1:32">
      <c r="Z17">
        <v>0</v>
      </c>
      <c r="AA17">
        <v>1</v>
      </c>
      <c r="AB17">
        <f t="shared" si="6"/>
        <v>-0.1944444444444452</v>
      </c>
      <c r="AC17">
        <f t="shared" si="7"/>
        <v>0.75000000000000033</v>
      </c>
      <c r="AD17">
        <f t="shared" si="8"/>
        <v>-0.14583333333333395</v>
      </c>
      <c r="AE17">
        <f t="shared" si="9"/>
        <v>2.7777777777777776E-2</v>
      </c>
      <c r="AF17">
        <f t="shared" si="10"/>
        <v>-4.050925925925943E-3</v>
      </c>
    </row>
    <row r="18" spans="1:32">
      <c r="E18">
        <f>INDEX(N3:N7,3-$F$16,1)</f>
        <v>8.3333333333333329E-2</v>
      </c>
      <c r="F18">
        <f t="shared" ref="F18:I18" si="14">INDEX(O3:O7,3-$F$16,1)</f>
        <v>0</v>
      </c>
      <c r="G18">
        <f t="shared" si="14"/>
        <v>0.1111111111111111</v>
      </c>
      <c r="H18">
        <f t="shared" si="14"/>
        <v>2.7777777777777776E-2</v>
      </c>
      <c r="I18">
        <f t="shared" si="14"/>
        <v>0</v>
      </c>
      <c r="Z18">
        <v>0</v>
      </c>
      <c r="AA18">
        <v>2</v>
      </c>
      <c r="AB18">
        <f t="shared" si="6"/>
        <v>-0.1944444444444452</v>
      </c>
      <c r="AC18">
        <f t="shared" si="7"/>
        <v>1.7500000000000004</v>
      </c>
      <c r="AD18">
        <f t="shared" si="8"/>
        <v>-0.34027777777777918</v>
      </c>
      <c r="AE18">
        <f t="shared" si="9"/>
        <v>0</v>
      </c>
      <c r="AF18">
        <f t="shared" si="10"/>
        <v>0</v>
      </c>
    </row>
    <row r="19" spans="1:32">
      <c r="Z19">
        <v>1</v>
      </c>
      <c r="AA19">
        <v>-2</v>
      </c>
      <c r="AB19">
        <f t="shared" si="6"/>
        <v>0.8055555555555548</v>
      </c>
      <c r="AC19">
        <f t="shared" si="7"/>
        <v>-2.2499999999999996</v>
      </c>
      <c r="AD19">
        <f t="shared" si="8"/>
        <v>-1.812499999999998</v>
      </c>
      <c r="AE19">
        <f t="shared" si="9"/>
        <v>8.3333333333333329E-2</v>
      </c>
      <c r="AF19">
        <f t="shared" si="10"/>
        <v>-0.15104166666666649</v>
      </c>
    </row>
    <row r="20" spans="1:32">
      <c r="A20" t="s">
        <v>127</v>
      </c>
      <c r="E20" t="s">
        <v>128</v>
      </c>
      <c r="F20" s="1">
        <v>1</v>
      </c>
      <c r="G20" s="6" t="s">
        <v>149</v>
      </c>
      <c r="Z20">
        <v>1</v>
      </c>
      <c r="AA20">
        <v>-1</v>
      </c>
      <c r="AB20">
        <f t="shared" si="6"/>
        <v>0.8055555555555548</v>
      </c>
      <c r="AC20">
        <f t="shared" si="7"/>
        <v>-1.2499999999999996</v>
      </c>
      <c r="AD20">
        <f t="shared" si="8"/>
        <v>-1.0069444444444431</v>
      </c>
      <c r="AE20">
        <f t="shared" si="9"/>
        <v>5.5555555555555552E-2</v>
      </c>
      <c r="AF20">
        <f t="shared" si="10"/>
        <v>-5.594135802469128E-2</v>
      </c>
    </row>
    <row r="21" spans="1:32">
      <c r="Z21">
        <v>1</v>
      </c>
      <c r="AA21">
        <v>0</v>
      </c>
      <c r="AB21">
        <f t="shared" si="6"/>
        <v>0.8055555555555548</v>
      </c>
      <c r="AC21">
        <f t="shared" si="7"/>
        <v>-0.24999999999999964</v>
      </c>
      <c r="AD21">
        <f t="shared" si="8"/>
        <v>-0.20138888888888842</v>
      </c>
      <c r="AE21">
        <f t="shared" si="9"/>
        <v>0</v>
      </c>
      <c r="AF21">
        <f t="shared" si="10"/>
        <v>0</v>
      </c>
    </row>
    <row r="22" spans="1:32">
      <c r="E22">
        <f>INDEX(N7:R7,1,3+$F$20)</f>
        <v>0</v>
      </c>
      <c r="F22">
        <f>INDEX(N6:R6,1,3-$F$20)</f>
        <v>0</v>
      </c>
      <c r="G22">
        <f>INDEX(N5:R5,1,3-$F$20)</f>
        <v>0</v>
      </c>
      <c r="H22">
        <f>INDEX(N4:R4,1,3-$F$20)</f>
        <v>5.5555555555555552E-2</v>
      </c>
      <c r="I22">
        <f>INDEX(N3:R3,1,3-$F$20)</f>
        <v>0</v>
      </c>
      <c r="Z22">
        <v>1</v>
      </c>
      <c r="AA22">
        <v>1</v>
      </c>
      <c r="AB22">
        <f t="shared" si="6"/>
        <v>0.8055555555555548</v>
      </c>
      <c r="AC22">
        <f t="shared" si="7"/>
        <v>0.75000000000000033</v>
      </c>
      <c r="AD22">
        <f t="shared" si="8"/>
        <v>0.60416666666666641</v>
      </c>
      <c r="AE22">
        <f t="shared" si="9"/>
        <v>0</v>
      </c>
      <c r="AF22">
        <f t="shared" si="10"/>
        <v>0</v>
      </c>
    </row>
    <row r="23" spans="1:32">
      <c r="Z23">
        <v>1</v>
      </c>
      <c r="AA23">
        <v>2</v>
      </c>
      <c r="AB23">
        <f t="shared" si="6"/>
        <v>0.8055555555555548</v>
      </c>
      <c r="AC23">
        <f t="shared" si="7"/>
        <v>1.7500000000000004</v>
      </c>
      <c r="AD23">
        <f t="shared" si="8"/>
        <v>1.4097222222222212</v>
      </c>
      <c r="AE23">
        <f t="shared" si="9"/>
        <v>0.1388888888888889</v>
      </c>
      <c r="AF23">
        <f t="shared" si="10"/>
        <v>0.19579475308641961</v>
      </c>
    </row>
    <row r="24" spans="1:32">
      <c r="A24" t="s">
        <v>129</v>
      </c>
      <c r="E24" t="s">
        <v>130</v>
      </c>
      <c r="F24">
        <f>T7</f>
        <v>2.7777777777777801E-2</v>
      </c>
      <c r="G24">
        <f>T6</f>
        <v>0.30555555555555591</v>
      </c>
      <c r="H24">
        <f>T5</f>
        <v>0.22222222222222221</v>
      </c>
      <c r="I24">
        <f>T4</f>
        <v>0.27777777777777779</v>
      </c>
      <c r="J24">
        <f>T3</f>
        <v>0.16666666666666666</v>
      </c>
      <c r="Z24">
        <v>2</v>
      </c>
      <c r="AA24">
        <v>-2</v>
      </c>
      <c r="AB24">
        <f t="shared" si="6"/>
        <v>1.8055555555555549</v>
      </c>
      <c r="AC24">
        <f t="shared" si="7"/>
        <v>-2.2499999999999996</v>
      </c>
      <c r="AD24">
        <f t="shared" si="8"/>
        <v>-4.0624999999999973</v>
      </c>
      <c r="AE24">
        <f t="shared" si="9"/>
        <v>5.5555555555555552E-2</v>
      </c>
      <c r="AF24">
        <f t="shared" si="10"/>
        <v>-0.22569444444444428</v>
      </c>
    </row>
    <row r="25" spans="1:32">
      <c r="E25" t="s">
        <v>131</v>
      </c>
      <c r="F25">
        <f>N9</f>
        <v>0.22222222222222221</v>
      </c>
      <c r="G25">
        <f t="shared" ref="G25:I25" si="15">O9</f>
        <v>5.5555555555555552E-2</v>
      </c>
      <c r="H25">
        <f t="shared" si="15"/>
        <v>0.3611111111111111</v>
      </c>
      <c r="I25">
        <f t="shared" si="15"/>
        <v>2.7777777777777776E-2</v>
      </c>
      <c r="J25">
        <f>R9</f>
        <v>0.3333333333333337</v>
      </c>
      <c r="Z25">
        <v>2</v>
      </c>
      <c r="AA25">
        <v>-1</v>
      </c>
      <c r="AB25">
        <f t="shared" si="6"/>
        <v>1.8055555555555549</v>
      </c>
      <c r="AC25">
        <f t="shared" si="7"/>
        <v>-1.2499999999999996</v>
      </c>
      <c r="AD25">
        <f t="shared" si="8"/>
        <v>-2.2569444444444429</v>
      </c>
      <c r="AE25">
        <f t="shared" si="9"/>
        <v>0</v>
      </c>
      <c r="AF25">
        <f t="shared" si="10"/>
        <v>0</v>
      </c>
    </row>
    <row r="26" spans="1:32">
      <c r="Z26">
        <v>2</v>
      </c>
      <c r="AA26">
        <v>0</v>
      </c>
      <c r="AB26">
        <f t="shared" si="6"/>
        <v>1.8055555555555549</v>
      </c>
      <c r="AC26">
        <f t="shared" si="7"/>
        <v>-0.24999999999999964</v>
      </c>
      <c r="AD26">
        <f t="shared" si="8"/>
        <v>-0.45138888888888806</v>
      </c>
      <c r="AE26">
        <f t="shared" si="9"/>
        <v>0.1111111111111111</v>
      </c>
      <c r="AF26">
        <f t="shared" si="10"/>
        <v>-5.0154320987654225E-2</v>
      </c>
    </row>
    <row r="27" spans="1:32">
      <c r="A27" t="s">
        <v>132</v>
      </c>
      <c r="F27">
        <f>SUM(N3:N4)/$M$27</f>
        <v>0.3125</v>
      </c>
      <c r="G27">
        <f t="shared" ref="G27:J27" si="16">SUM(O3:O4)/$M$27</f>
        <v>0.12499999999999999</v>
      </c>
      <c r="H27">
        <f t="shared" si="16"/>
        <v>0.24999999999999997</v>
      </c>
      <c r="I27">
        <f t="shared" si="16"/>
        <v>0</v>
      </c>
      <c r="J27">
        <f t="shared" si="16"/>
        <v>0.3125</v>
      </c>
      <c r="L27" t="s">
        <v>133</v>
      </c>
      <c r="M27">
        <f>SUM(N3:R4)</f>
        <v>0.44444444444444448</v>
      </c>
      <c r="Z27">
        <v>2</v>
      </c>
      <c r="AA27">
        <v>1</v>
      </c>
      <c r="AB27">
        <f t="shared" si="6"/>
        <v>1.8055555555555549</v>
      </c>
      <c r="AC27">
        <f t="shared" si="7"/>
        <v>0.75000000000000033</v>
      </c>
      <c r="AD27">
        <f t="shared" si="8"/>
        <v>1.3541666666666667</v>
      </c>
      <c r="AE27">
        <f t="shared" si="9"/>
        <v>0</v>
      </c>
      <c r="AF27">
        <f t="shared" si="10"/>
        <v>0</v>
      </c>
    </row>
    <row r="28" spans="1:32">
      <c r="A28" t="s">
        <v>135</v>
      </c>
      <c r="F28">
        <f>SUM(N6:N7)/$M$28</f>
        <v>0</v>
      </c>
      <c r="G28">
        <f t="shared" ref="G28:J28" si="17">SUM(O6:O7)/$M$28</f>
        <v>0</v>
      </c>
      <c r="H28">
        <f t="shared" si="17"/>
        <v>0.41666666666666624</v>
      </c>
      <c r="I28">
        <f t="shared" si="17"/>
        <v>0</v>
      </c>
      <c r="J28">
        <f t="shared" si="17"/>
        <v>0.5833333333333337</v>
      </c>
      <c r="L28" t="s">
        <v>134</v>
      </c>
      <c r="M28">
        <f>SUM(N6:R7)</f>
        <v>0.3333333333333337</v>
      </c>
      <c r="Z28">
        <v>2</v>
      </c>
      <c r="AA28">
        <v>2</v>
      </c>
      <c r="AB28">
        <f t="shared" si="6"/>
        <v>1.8055555555555549</v>
      </c>
      <c r="AC28">
        <f t="shared" si="7"/>
        <v>1.7500000000000004</v>
      </c>
      <c r="AD28">
        <f t="shared" si="8"/>
        <v>3.1597222222222219</v>
      </c>
      <c r="AE28">
        <f>INDEX($N$3:$R$7,3-Z28,AA28+3)</f>
        <v>0</v>
      </c>
      <c r="AF28">
        <f t="shared" si="10"/>
        <v>0</v>
      </c>
    </row>
    <row r="30" spans="1:32">
      <c r="A30" t="s">
        <v>136</v>
      </c>
      <c r="F30">
        <f>T10</f>
        <v>0.1944444444444452</v>
      </c>
      <c r="AF30">
        <f>SUM(AF4:AF28)</f>
        <v>-0.66280864197530931</v>
      </c>
    </row>
    <row r="31" spans="1:32">
      <c r="A31" t="s">
        <v>138</v>
      </c>
      <c r="F31">
        <f>U9</f>
        <v>0.24999999999999964</v>
      </c>
    </row>
    <row r="34" spans="1:6">
      <c r="A34" t="s">
        <v>139</v>
      </c>
      <c r="E34">
        <f>SQRT(T11)</f>
        <v>0.29524553265745535</v>
      </c>
    </row>
    <row r="35" spans="1:6">
      <c r="A35" t="s">
        <v>140</v>
      </c>
      <c r="E35">
        <f>SQRT(V9)</f>
        <v>1.1395661942647788</v>
      </c>
    </row>
    <row r="37" spans="1:6">
      <c r="A37" t="s">
        <v>148</v>
      </c>
      <c r="E37">
        <f>AF30/(E35*E35)</f>
        <v>-0.51039809863339303</v>
      </c>
      <c r="F37" s="6" t="s">
        <v>150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78F4-1128-4E7E-898D-BDB706718414}">
  <dimension ref="A1:S38"/>
  <sheetViews>
    <sheetView workbookViewId="0">
      <selection activeCell="L3" sqref="L3"/>
    </sheetView>
  </sheetViews>
  <sheetFormatPr baseColWidth="10" defaultRowHeight="14.4"/>
  <cols>
    <col min="2" max="2" width="13.77734375" customWidth="1"/>
  </cols>
  <sheetData>
    <row r="1" spans="1:19">
      <c r="E1" t="s">
        <v>66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108</v>
      </c>
      <c r="S1" t="s">
        <v>107</v>
      </c>
    </row>
    <row r="2" spans="1:19">
      <c r="B2" s="8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K2" t="s">
        <v>31</v>
      </c>
      <c r="L2" t="s">
        <v>38</v>
      </c>
      <c r="M2">
        <v>1</v>
      </c>
      <c r="N2">
        <v>1</v>
      </c>
      <c r="O2">
        <f>M2-$K$10</f>
        <v>-1.9809999999999999</v>
      </c>
      <c r="P2">
        <f>N2-$J$11</f>
        <v>-1.0580000000000003</v>
      </c>
      <c r="Q2">
        <f>O2*P2</f>
        <v>2.0958980000000005</v>
      </c>
      <c r="R2">
        <f>INDEX($C$3:$H$8,M2,N2)</f>
        <v>6.7000000000000004E-2</v>
      </c>
      <c r="S2">
        <f>Q2*R2</f>
        <v>0.14042516600000005</v>
      </c>
    </row>
    <row r="3" spans="1:19">
      <c r="B3" s="8">
        <v>1</v>
      </c>
      <c r="C3" s="8">
        <v>6.7000000000000004E-2</v>
      </c>
      <c r="D3" s="8">
        <v>9.8000000000000004E-2</v>
      </c>
      <c r="E3" s="8">
        <v>8.3000000000000004E-2</v>
      </c>
      <c r="F3" s="8">
        <v>0</v>
      </c>
      <c r="G3" s="8">
        <v>0</v>
      </c>
      <c r="H3" s="8">
        <v>0</v>
      </c>
      <c r="J3">
        <f>SUM(C3:H3)</f>
        <v>0.248</v>
      </c>
      <c r="K3">
        <f>J3*B3</f>
        <v>0.248</v>
      </c>
      <c r="L3">
        <f>((B3-$K$10)^2)*J3</f>
        <v>0.97324152799999986</v>
      </c>
      <c r="M3">
        <v>1</v>
      </c>
      <c r="N3">
        <v>2</v>
      </c>
      <c r="O3">
        <f t="shared" ref="O3:O37" si="0">M3-$K$10</f>
        <v>-1.9809999999999999</v>
      </c>
      <c r="P3">
        <f t="shared" ref="P3:P37" si="1">N3-$J$11</f>
        <v>-5.8000000000000274E-2</v>
      </c>
      <c r="Q3">
        <f t="shared" ref="Q3:Q37" si="2">O3*P3</f>
        <v>0.11489800000000054</v>
      </c>
      <c r="R3">
        <f t="shared" ref="R3:R37" si="3">INDEX($C$3:$H$8,M3,N3)</f>
        <v>9.8000000000000004E-2</v>
      </c>
      <c r="S3">
        <f t="shared" ref="S3:S37" si="4">Q3*R3</f>
        <v>1.1260004000000054E-2</v>
      </c>
    </row>
    <row r="4" spans="1:19">
      <c r="B4" s="8">
        <v>2</v>
      </c>
      <c r="C4" s="8">
        <v>2.8000000000000001E-2</v>
      </c>
      <c r="D4" s="8">
        <v>4.5999999999999999E-2</v>
      </c>
      <c r="E4" s="8">
        <v>6.0999999999999999E-2</v>
      </c>
      <c r="F4" s="8">
        <v>0</v>
      </c>
      <c r="G4" s="8">
        <v>0</v>
      </c>
      <c r="H4" s="8">
        <v>0</v>
      </c>
      <c r="J4">
        <f t="shared" ref="J4:J8" si="5">SUM(C4:H4)</f>
        <v>0.13500000000000001</v>
      </c>
      <c r="K4">
        <f t="shared" ref="K4:K8" si="6">J4*B4</f>
        <v>0.27</v>
      </c>
      <c r="L4">
        <f t="shared" ref="L4:L8" si="7">((B4-$K$10)^2)*J4</f>
        <v>0.12991873499999998</v>
      </c>
      <c r="M4">
        <v>1</v>
      </c>
      <c r="N4">
        <v>3</v>
      </c>
      <c r="O4">
        <f t="shared" si="0"/>
        <v>-1.9809999999999999</v>
      </c>
      <c r="P4">
        <f t="shared" si="1"/>
        <v>0.94199999999999973</v>
      </c>
      <c r="Q4">
        <f t="shared" si="2"/>
        <v>-1.8661019999999993</v>
      </c>
      <c r="R4">
        <f t="shared" si="3"/>
        <v>8.3000000000000004E-2</v>
      </c>
      <c r="S4">
        <f t="shared" si="4"/>
        <v>-0.15488646599999994</v>
      </c>
    </row>
    <row r="5" spans="1:19">
      <c r="A5" t="s">
        <v>67</v>
      </c>
      <c r="B5" s="8">
        <v>3</v>
      </c>
      <c r="C5" s="8">
        <v>6.7000000000000004E-2</v>
      </c>
      <c r="D5" s="8">
        <v>0.14899999999999999</v>
      </c>
      <c r="E5" s="8">
        <v>0.03</v>
      </c>
      <c r="F5" s="8">
        <v>0</v>
      </c>
      <c r="G5" s="8">
        <v>0</v>
      </c>
      <c r="H5" s="8">
        <v>0</v>
      </c>
      <c r="J5">
        <f t="shared" si="5"/>
        <v>0.246</v>
      </c>
      <c r="K5">
        <f t="shared" si="6"/>
        <v>0.73799999999999999</v>
      </c>
      <c r="L5">
        <f t="shared" si="7"/>
        <v>8.8806000000001196E-5</v>
      </c>
      <c r="M5">
        <v>1</v>
      </c>
      <c r="N5">
        <v>4</v>
      </c>
      <c r="O5">
        <f t="shared" si="0"/>
        <v>-1.9809999999999999</v>
      </c>
      <c r="P5">
        <f t="shared" si="1"/>
        <v>1.9419999999999997</v>
      </c>
      <c r="Q5">
        <f t="shared" si="2"/>
        <v>-3.8471019999999991</v>
      </c>
      <c r="R5">
        <f t="shared" si="3"/>
        <v>0</v>
      </c>
      <c r="S5">
        <f t="shared" si="4"/>
        <v>0</v>
      </c>
    </row>
    <row r="6" spans="1:19">
      <c r="B6" s="8">
        <v>4</v>
      </c>
      <c r="C6" s="8">
        <v>4.7E-2</v>
      </c>
      <c r="D6" s="8">
        <v>3.4000000000000002E-2</v>
      </c>
      <c r="E6" s="8">
        <v>4.9000000000000002E-2</v>
      </c>
      <c r="F6" s="8">
        <v>0</v>
      </c>
      <c r="G6" s="8">
        <v>0</v>
      </c>
      <c r="H6" s="8">
        <v>0</v>
      </c>
      <c r="J6">
        <f t="shared" si="5"/>
        <v>0.13</v>
      </c>
      <c r="K6">
        <f t="shared" si="6"/>
        <v>0.52</v>
      </c>
      <c r="L6">
        <f t="shared" si="7"/>
        <v>0.13498693000000003</v>
      </c>
      <c r="M6">
        <v>1</v>
      </c>
      <c r="N6">
        <v>5</v>
      </c>
      <c r="O6">
        <f t="shared" si="0"/>
        <v>-1.9809999999999999</v>
      </c>
      <c r="P6">
        <f t="shared" si="1"/>
        <v>2.9419999999999997</v>
      </c>
      <c r="Q6">
        <f t="shared" si="2"/>
        <v>-5.8281019999999994</v>
      </c>
      <c r="R6">
        <f t="shared" si="3"/>
        <v>0</v>
      </c>
      <c r="S6">
        <f t="shared" si="4"/>
        <v>0</v>
      </c>
    </row>
    <row r="7" spans="1:19">
      <c r="B7" s="8">
        <v>5</v>
      </c>
      <c r="C7" s="8">
        <v>3.5000000000000003E-2</v>
      </c>
      <c r="D7" s="8">
        <v>0.127</v>
      </c>
      <c r="E7" s="8">
        <v>7.9000000000000001E-2</v>
      </c>
      <c r="F7" s="8">
        <v>0</v>
      </c>
      <c r="G7" s="8">
        <v>0</v>
      </c>
      <c r="H7" s="8">
        <v>0</v>
      </c>
      <c r="J7">
        <f t="shared" si="5"/>
        <v>0.24099999999999999</v>
      </c>
      <c r="K7">
        <f t="shared" si="6"/>
        <v>1.2050000000000001</v>
      </c>
      <c r="L7">
        <f t="shared" si="7"/>
        <v>0.982403001</v>
      </c>
      <c r="M7">
        <v>1</v>
      </c>
      <c r="N7">
        <v>6</v>
      </c>
      <c r="O7">
        <f t="shared" si="0"/>
        <v>-1.9809999999999999</v>
      </c>
      <c r="P7">
        <f t="shared" si="1"/>
        <v>3.9419999999999997</v>
      </c>
      <c r="Q7">
        <f t="shared" si="2"/>
        <v>-7.8091019999999993</v>
      </c>
      <c r="R7">
        <f t="shared" si="3"/>
        <v>0</v>
      </c>
      <c r="S7">
        <f t="shared" si="4"/>
        <v>0</v>
      </c>
    </row>
    <row r="8" spans="1:19">
      <c r="B8" s="8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v>2</v>
      </c>
      <c r="N8">
        <v>1</v>
      </c>
      <c r="O8">
        <f t="shared" si="0"/>
        <v>-0.98099999999999987</v>
      </c>
      <c r="P8">
        <f t="shared" si="1"/>
        <v>-1.0580000000000003</v>
      </c>
      <c r="Q8">
        <f t="shared" si="2"/>
        <v>1.0378980000000002</v>
      </c>
      <c r="R8">
        <f t="shared" si="3"/>
        <v>2.8000000000000001E-2</v>
      </c>
      <c r="S8">
        <f t="shared" si="4"/>
        <v>2.9061144000000007E-2</v>
      </c>
    </row>
    <row r="9" spans="1:19">
      <c r="M9">
        <v>2</v>
      </c>
      <c r="N9">
        <v>2</v>
      </c>
      <c r="O9">
        <f t="shared" si="0"/>
        <v>-0.98099999999999987</v>
      </c>
      <c r="P9">
        <f t="shared" si="1"/>
        <v>-5.8000000000000274E-2</v>
      </c>
      <c r="Q9">
        <f t="shared" si="2"/>
        <v>5.6898000000000261E-2</v>
      </c>
      <c r="R9">
        <f t="shared" si="3"/>
        <v>4.5999999999999999E-2</v>
      </c>
      <c r="S9">
        <f t="shared" si="4"/>
        <v>2.6173080000000118E-3</v>
      </c>
    </row>
    <row r="10" spans="1:19">
      <c r="C10">
        <f>SUM(C3:C8)</f>
        <v>0.24400000000000002</v>
      </c>
      <c r="D10">
        <f t="shared" ref="D10:H10" si="8">SUM(D3:D8)</f>
        <v>0.45400000000000007</v>
      </c>
      <c r="E10">
        <f t="shared" si="8"/>
        <v>0.30200000000000005</v>
      </c>
      <c r="F10">
        <f t="shared" si="8"/>
        <v>0</v>
      </c>
      <c r="G10">
        <f t="shared" si="8"/>
        <v>0</v>
      </c>
      <c r="H10">
        <f t="shared" si="8"/>
        <v>0</v>
      </c>
      <c r="J10">
        <f>SUM(C3:H8)</f>
        <v>1.0000000000000002</v>
      </c>
      <c r="K10">
        <f>SUM(K3:K8)</f>
        <v>2.9809999999999999</v>
      </c>
      <c r="L10">
        <f>SUM(L3:L8)</f>
        <v>2.2206389999999998</v>
      </c>
      <c r="M10">
        <v>2</v>
      </c>
      <c r="N10">
        <v>3</v>
      </c>
      <c r="O10">
        <f t="shared" si="0"/>
        <v>-0.98099999999999987</v>
      </c>
      <c r="P10">
        <f t="shared" si="1"/>
        <v>0.94199999999999973</v>
      </c>
      <c r="Q10">
        <f t="shared" si="2"/>
        <v>-0.92410199999999965</v>
      </c>
      <c r="R10">
        <f t="shared" si="3"/>
        <v>6.0999999999999999E-2</v>
      </c>
      <c r="S10">
        <f t="shared" si="4"/>
        <v>-5.6370221999999977E-2</v>
      </c>
    </row>
    <row r="11" spans="1:19">
      <c r="B11" t="s">
        <v>31</v>
      </c>
      <c r="C11">
        <f>C10*C2</f>
        <v>0.24400000000000002</v>
      </c>
      <c r="D11">
        <f t="shared" ref="D11:F11" si="9">D10*D2</f>
        <v>0.90800000000000014</v>
      </c>
      <c r="E11">
        <f t="shared" si="9"/>
        <v>0.90600000000000014</v>
      </c>
      <c r="F11">
        <f t="shared" si="9"/>
        <v>0</v>
      </c>
      <c r="G11">
        <f>G10*G2</f>
        <v>0</v>
      </c>
      <c r="H11">
        <f>H10*H2</f>
        <v>0</v>
      </c>
      <c r="J11">
        <f>SUM(C11:H11)</f>
        <v>2.0580000000000003</v>
      </c>
      <c r="M11">
        <v>2</v>
      </c>
      <c r="N11">
        <v>4</v>
      </c>
      <c r="O11">
        <f t="shared" si="0"/>
        <v>-0.98099999999999987</v>
      </c>
      <c r="P11">
        <f t="shared" si="1"/>
        <v>1.9419999999999997</v>
      </c>
      <c r="Q11">
        <f t="shared" si="2"/>
        <v>-1.9051019999999994</v>
      </c>
      <c r="R11">
        <f t="shared" si="3"/>
        <v>0</v>
      </c>
      <c r="S11">
        <f t="shared" si="4"/>
        <v>0</v>
      </c>
    </row>
    <row r="12" spans="1:19">
      <c r="B12" t="s">
        <v>38</v>
      </c>
      <c r="C12">
        <f>((C2-$J$11)^2)*C10</f>
        <v>0.27312481600000016</v>
      </c>
      <c r="D12">
        <f t="shared" ref="D12:H12" si="10">((D2-$J$11)^2)*D10</f>
        <v>1.5272560000000148E-3</v>
      </c>
      <c r="E12">
        <f>((E2-$J$11)^2)*E10</f>
        <v>0.26798392799999987</v>
      </c>
      <c r="F12">
        <f t="shared" si="10"/>
        <v>0</v>
      </c>
      <c r="G12">
        <f t="shared" si="10"/>
        <v>0</v>
      </c>
      <c r="H12">
        <f t="shared" si="10"/>
        <v>0</v>
      </c>
      <c r="J12">
        <f>SUM(C12:H12)</f>
        <v>0.54263600000000012</v>
      </c>
      <c r="M12">
        <v>2</v>
      </c>
      <c r="N12">
        <v>5</v>
      </c>
      <c r="O12">
        <f t="shared" si="0"/>
        <v>-0.98099999999999987</v>
      </c>
      <c r="P12">
        <f t="shared" si="1"/>
        <v>2.9419999999999997</v>
      </c>
      <c r="Q12">
        <f t="shared" si="2"/>
        <v>-2.8861019999999993</v>
      </c>
      <c r="R12">
        <f t="shared" si="3"/>
        <v>0</v>
      </c>
      <c r="S12">
        <f t="shared" si="4"/>
        <v>0</v>
      </c>
    </row>
    <row r="13" spans="1:19">
      <c r="M13">
        <v>2</v>
      </c>
      <c r="N13">
        <v>6</v>
      </c>
      <c r="O13">
        <f t="shared" si="0"/>
        <v>-0.98099999999999987</v>
      </c>
      <c r="P13">
        <f t="shared" si="1"/>
        <v>3.9419999999999997</v>
      </c>
      <c r="Q13">
        <f t="shared" si="2"/>
        <v>-3.8671019999999992</v>
      </c>
      <c r="R13">
        <f t="shared" si="3"/>
        <v>0</v>
      </c>
      <c r="S13">
        <f t="shared" si="4"/>
        <v>0</v>
      </c>
    </row>
    <row r="14" spans="1:19">
      <c r="M14">
        <v>3</v>
      </c>
      <c r="N14">
        <v>1</v>
      </c>
      <c r="O14">
        <f t="shared" si="0"/>
        <v>1.9000000000000128E-2</v>
      </c>
      <c r="P14">
        <f t="shared" si="1"/>
        <v>-1.0580000000000003</v>
      </c>
      <c r="Q14">
        <f t="shared" si="2"/>
        <v>-2.0102000000000141E-2</v>
      </c>
      <c r="R14">
        <f t="shared" si="3"/>
        <v>6.7000000000000004E-2</v>
      </c>
      <c r="S14">
        <f t="shared" si="4"/>
        <v>-1.3468340000000094E-3</v>
      </c>
    </row>
    <row r="15" spans="1:19">
      <c r="M15">
        <v>3</v>
      </c>
      <c r="N15">
        <v>2</v>
      </c>
      <c r="O15">
        <f t="shared" si="0"/>
        <v>1.9000000000000128E-2</v>
      </c>
      <c r="P15">
        <f t="shared" si="1"/>
        <v>-5.8000000000000274E-2</v>
      </c>
      <c r="Q15">
        <f t="shared" si="2"/>
        <v>-1.1020000000000127E-3</v>
      </c>
      <c r="R15">
        <f t="shared" si="3"/>
        <v>0.14899999999999999</v>
      </c>
      <c r="S15">
        <f t="shared" si="4"/>
        <v>-1.6419800000000187E-4</v>
      </c>
    </row>
    <row r="16" spans="1:19">
      <c r="M16">
        <v>3</v>
      </c>
      <c r="N16">
        <v>3</v>
      </c>
      <c r="O16">
        <f t="shared" si="0"/>
        <v>1.9000000000000128E-2</v>
      </c>
      <c r="P16">
        <f t="shared" si="1"/>
        <v>0.94199999999999973</v>
      </c>
      <c r="Q16">
        <f t="shared" si="2"/>
        <v>1.7898000000000115E-2</v>
      </c>
      <c r="R16">
        <f t="shared" si="3"/>
        <v>0.03</v>
      </c>
      <c r="S16">
        <f t="shared" si="4"/>
        <v>5.3694000000000343E-4</v>
      </c>
    </row>
    <row r="17" spans="2:19">
      <c r="B17" t="s">
        <v>73</v>
      </c>
      <c r="D17" s="1">
        <v>1</v>
      </c>
      <c r="E17" t="s">
        <v>74</v>
      </c>
      <c r="F17" s="1" t="s">
        <v>69</v>
      </c>
      <c r="G17" s="11">
        <f>IF(F17="B",INDEX(C10:H10,1,D17),INDEX(J3:J8,D17,1))</f>
        <v>0.248</v>
      </c>
      <c r="M17">
        <v>3</v>
      </c>
      <c r="N17">
        <v>4</v>
      </c>
      <c r="O17">
        <f t="shared" si="0"/>
        <v>1.9000000000000128E-2</v>
      </c>
      <c r="P17">
        <f t="shared" si="1"/>
        <v>1.9419999999999997</v>
      </c>
      <c r="Q17">
        <f t="shared" si="2"/>
        <v>3.6898000000000243E-2</v>
      </c>
      <c r="R17">
        <f t="shared" si="3"/>
        <v>0</v>
      </c>
      <c r="S17">
        <f t="shared" si="4"/>
        <v>0</v>
      </c>
    </row>
    <row r="18" spans="2:19">
      <c r="B18" t="s">
        <v>68</v>
      </c>
      <c r="G18" s="11">
        <f>C3+D4+E5+F6+G7+H8</f>
        <v>0.14300000000000002</v>
      </c>
      <c r="M18">
        <v>3</v>
      </c>
      <c r="N18">
        <v>5</v>
      </c>
      <c r="O18">
        <f t="shared" si="0"/>
        <v>1.9000000000000128E-2</v>
      </c>
      <c r="P18">
        <f t="shared" si="1"/>
        <v>2.9419999999999997</v>
      </c>
      <c r="Q18">
        <f t="shared" si="2"/>
        <v>5.5898000000000371E-2</v>
      </c>
      <c r="R18">
        <f t="shared" si="3"/>
        <v>0</v>
      </c>
      <c r="S18">
        <f t="shared" si="4"/>
        <v>0</v>
      </c>
    </row>
    <row r="19" spans="2:19">
      <c r="B19" t="s">
        <v>75</v>
      </c>
      <c r="E19" s="1" t="s">
        <v>69</v>
      </c>
      <c r="G19" s="11">
        <f>IF(E19="A",K10,J11)</f>
        <v>2.9809999999999999</v>
      </c>
      <c r="M19">
        <v>3</v>
      </c>
      <c r="N19">
        <v>6</v>
      </c>
      <c r="O19">
        <f t="shared" si="0"/>
        <v>1.9000000000000128E-2</v>
      </c>
      <c r="P19">
        <f t="shared" si="1"/>
        <v>3.9419999999999997</v>
      </c>
      <c r="Q19">
        <f t="shared" si="2"/>
        <v>7.4898000000000506E-2</v>
      </c>
      <c r="R19">
        <f t="shared" si="3"/>
        <v>0</v>
      </c>
      <c r="S19">
        <f t="shared" si="4"/>
        <v>0</v>
      </c>
    </row>
    <row r="20" spans="2:19">
      <c r="B20" t="s">
        <v>70</v>
      </c>
      <c r="G20" s="11">
        <f>IF(E19="A",SQRT(L10),SQRT(J12))</f>
        <v>1.4901808615064145</v>
      </c>
      <c r="M20">
        <v>4</v>
      </c>
      <c r="N20">
        <v>1</v>
      </c>
      <c r="O20">
        <f t="shared" si="0"/>
        <v>1.0190000000000001</v>
      </c>
      <c r="P20">
        <f t="shared" si="1"/>
        <v>-1.0580000000000003</v>
      </c>
      <c r="Q20">
        <f t="shared" si="2"/>
        <v>-1.0781020000000003</v>
      </c>
      <c r="R20">
        <f t="shared" si="3"/>
        <v>4.7E-2</v>
      </c>
      <c r="S20">
        <f t="shared" si="4"/>
        <v>-5.0670794000000019E-2</v>
      </c>
    </row>
    <row r="21" spans="2:19">
      <c r="B21" t="s">
        <v>71</v>
      </c>
      <c r="G21" s="11">
        <f>S38</f>
        <v>2.6102000000000014E-2</v>
      </c>
      <c r="M21">
        <v>4</v>
      </c>
      <c r="N21">
        <v>2</v>
      </c>
      <c r="O21">
        <f t="shared" si="0"/>
        <v>1.0190000000000001</v>
      </c>
      <c r="P21">
        <f t="shared" si="1"/>
        <v>-5.8000000000000274E-2</v>
      </c>
      <c r="Q21">
        <f t="shared" si="2"/>
        <v>-5.9102000000000286E-2</v>
      </c>
      <c r="R21">
        <f t="shared" si="3"/>
        <v>3.4000000000000002E-2</v>
      </c>
      <c r="S21">
        <f t="shared" si="4"/>
        <v>-2.0094680000000099E-3</v>
      </c>
    </row>
    <row r="22" spans="2:19">
      <c r="B22" t="s">
        <v>76</v>
      </c>
      <c r="D22" s="1">
        <v>3</v>
      </c>
      <c r="E22" t="s">
        <v>77</v>
      </c>
      <c r="G22" s="11">
        <f>1-C3</f>
        <v>0.93300000000000005</v>
      </c>
      <c r="H22" s="6" t="s">
        <v>78</v>
      </c>
      <c r="M22">
        <v>4</v>
      </c>
      <c r="N22">
        <v>3</v>
      </c>
      <c r="O22">
        <f t="shared" si="0"/>
        <v>1.0190000000000001</v>
      </c>
      <c r="P22">
        <f t="shared" si="1"/>
        <v>0.94199999999999973</v>
      </c>
      <c r="Q22">
        <f t="shared" si="2"/>
        <v>0.95989799999999981</v>
      </c>
      <c r="R22">
        <f t="shared" si="3"/>
        <v>4.9000000000000002E-2</v>
      </c>
      <c r="S22">
        <f t="shared" si="4"/>
        <v>4.7035001999999992E-2</v>
      </c>
    </row>
    <row r="23" spans="2:19">
      <c r="B23" t="s">
        <v>72</v>
      </c>
      <c r="G23" s="11">
        <f>J11+K10</f>
        <v>5.0389999999999997</v>
      </c>
      <c r="H23" s="11">
        <f>L10+J12+2*G21</f>
        <v>2.8154790000000003</v>
      </c>
      <c r="M23">
        <v>4</v>
      </c>
      <c r="N23">
        <v>4</v>
      </c>
      <c r="O23">
        <f t="shared" si="0"/>
        <v>1.0190000000000001</v>
      </c>
      <c r="P23">
        <f t="shared" si="1"/>
        <v>1.9419999999999997</v>
      </c>
      <c r="Q23">
        <f t="shared" si="2"/>
        <v>1.978898</v>
      </c>
      <c r="R23">
        <f t="shared" si="3"/>
        <v>0</v>
      </c>
      <c r="S23">
        <f t="shared" si="4"/>
        <v>0</v>
      </c>
    </row>
    <row r="24" spans="2:19">
      <c r="M24">
        <v>4</v>
      </c>
      <c r="N24">
        <v>5</v>
      </c>
      <c r="O24">
        <f t="shared" si="0"/>
        <v>1.0190000000000001</v>
      </c>
      <c r="P24">
        <f t="shared" si="1"/>
        <v>2.9419999999999997</v>
      </c>
      <c r="Q24">
        <f t="shared" si="2"/>
        <v>2.9978980000000002</v>
      </c>
      <c r="R24">
        <f t="shared" si="3"/>
        <v>0</v>
      </c>
      <c r="S24">
        <f t="shared" si="4"/>
        <v>0</v>
      </c>
    </row>
    <row r="25" spans="2:19">
      <c r="M25">
        <v>4</v>
      </c>
      <c r="N25">
        <v>6</v>
      </c>
      <c r="O25">
        <f t="shared" si="0"/>
        <v>1.0190000000000001</v>
      </c>
      <c r="P25">
        <f t="shared" si="1"/>
        <v>3.9419999999999997</v>
      </c>
      <c r="Q25">
        <f t="shared" si="2"/>
        <v>4.0168980000000003</v>
      </c>
      <c r="R25">
        <f t="shared" si="3"/>
        <v>0</v>
      </c>
      <c r="S25">
        <f t="shared" si="4"/>
        <v>0</v>
      </c>
    </row>
    <row r="26" spans="2:19">
      <c r="M26">
        <v>5</v>
      </c>
      <c r="N26">
        <v>1</v>
      </c>
      <c r="O26">
        <f t="shared" si="0"/>
        <v>2.0190000000000001</v>
      </c>
      <c r="P26">
        <f t="shared" si="1"/>
        <v>-1.0580000000000003</v>
      </c>
      <c r="Q26">
        <f t="shared" si="2"/>
        <v>-2.1361020000000006</v>
      </c>
      <c r="R26">
        <f t="shared" si="3"/>
        <v>3.5000000000000003E-2</v>
      </c>
      <c r="S26">
        <f t="shared" si="4"/>
        <v>-7.4763570000000029E-2</v>
      </c>
    </row>
    <row r="27" spans="2:19">
      <c r="M27">
        <v>5</v>
      </c>
      <c r="N27">
        <v>2</v>
      </c>
      <c r="O27">
        <f t="shared" si="0"/>
        <v>2.0190000000000001</v>
      </c>
      <c r="P27">
        <f t="shared" si="1"/>
        <v>-5.8000000000000274E-2</v>
      </c>
      <c r="Q27">
        <f t="shared" si="2"/>
        <v>-0.11710200000000055</v>
      </c>
      <c r="R27">
        <f t="shared" si="3"/>
        <v>0.127</v>
      </c>
      <c r="S27">
        <f t="shared" si="4"/>
        <v>-1.4871954000000071E-2</v>
      </c>
    </row>
    <row r="28" spans="2:19">
      <c r="M28">
        <v>5</v>
      </c>
      <c r="N28">
        <v>3</v>
      </c>
      <c r="O28">
        <f t="shared" si="0"/>
        <v>2.0190000000000001</v>
      </c>
      <c r="P28">
        <f t="shared" si="1"/>
        <v>0.94199999999999973</v>
      </c>
      <c r="Q28">
        <f t="shared" si="2"/>
        <v>1.9018979999999996</v>
      </c>
      <c r="R28">
        <f t="shared" si="3"/>
        <v>7.9000000000000001E-2</v>
      </c>
      <c r="S28">
        <f t="shared" si="4"/>
        <v>0.15024994199999997</v>
      </c>
    </row>
    <row r="29" spans="2:19">
      <c r="M29">
        <v>5</v>
      </c>
      <c r="N29">
        <v>4</v>
      </c>
      <c r="O29">
        <f t="shared" si="0"/>
        <v>2.0190000000000001</v>
      </c>
      <c r="P29">
        <f t="shared" si="1"/>
        <v>1.9419999999999997</v>
      </c>
      <c r="Q29">
        <f t="shared" si="2"/>
        <v>3.9208979999999998</v>
      </c>
      <c r="R29">
        <f t="shared" si="3"/>
        <v>0</v>
      </c>
      <c r="S29">
        <f t="shared" si="4"/>
        <v>0</v>
      </c>
    </row>
    <row r="30" spans="2:19">
      <c r="M30">
        <v>5</v>
      </c>
      <c r="N30">
        <v>5</v>
      </c>
      <c r="O30">
        <f t="shared" si="0"/>
        <v>2.0190000000000001</v>
      </c>
      <c r="P30">
        <f t="shared" si="1"/>
        <v>2.9419999999999997</v>
      </c>
      <c r="Q30">
        <f t="shared" si="2"/>
        <v>5.9398979999999995</v>
      </c>
      <c r="R30">
        <f t="shared" si="3"/>
        <v>0</v>
      </c>
      <c r="S30">
        <f t="shared" si="4"/>
        <v>0</v>
      </c>
    </row>
    <row r="31" spans="2:19">
      <c r="M31">
        <v>5</v>
      </c>
      <c r="N31">
        <v>6</v>
      </c>
      <c r="O31">
        <f t="shared" si="0"/>
        <v>2.0190000000000001</v>
      </c>
      <c r="P31">
        <f t="shared" si="1"/>
        <v>3.9419999999999997</v>
      </c>
      <c r="Q31">
        <f t="shared" si="2"/>
        <v>7.9588979999999996</v>
      </c>
      <c r="R31">
        <f t="shared" si="3"/>
        <v>0</v>
      </c>
      <c r="S31">
        <f t="shared" si="4"/>
        <v>0</v>
      </c>
    </row>
    <row r="32" spans="2:19">
      <c r="M32">
        <v>6</v>
      </c>
      <c r="N32">
        <v>1</v>
      </c>
      <c r="O32">
        <f t="shared" si="0"/>
        <v>3.0190000000000001</v>
      </c>
      <c r="P32">
        <f t="shared" si="1"/>
        <v>-1.0580000000000003</v>
      </c>
      <c r="Q32">
        <f t="shared" si="2"/>
        <v>-3.1941020000000009</v>
      </c>
      <c r="R32">
        <f t="shared" si="3"/>
        <v>0</v>
      </c>
      <c r="S32">
        <f t="shared" si="4"/>
        <v>0</v>
      </c>
    </row>
    <row r="33" spans="13:19">
      <c r="M33">
        <v>6</v>
      </c>
      <c r="N33">
        <v>2</v>
      </c>
      <c r="O33">
        <f t="shared" si="0"/>
        <v>3.0190000000000001</v>
      </c>
      <c r="P33">
        <f t="shared" si="1"/>
        <v>-5.8000000000000274E-2</v>
      </c>
      <c r="Q33">
        <f t="shared" si="2"/>
        <v>-0.17510200000000084</v>
      </c>
      <c r="R33">
        <f t="shared" si="3"/>
        <v>0</v>
      </c>
      <c r="S33">
        <f t="shared" si="4"/>
        <v>0</v>
      </c>
    </row>
    <row r="34" spans="13:19">
      <c r="M34">
        <v>6</v>
      </c>
      <c r="N34">
        <v>3</v>
      </c>
      <c r="O34">
        <f t="shared" si="0"/>
        <v>3.0190000000000001</v>
      </c>
      <c r="P34">
        <f t="shared" si="1"/>
        <v>0.94199999999999973</v>
      </c>
      <c r="Q34">
        <f t="shared" si="2"/>
        <v>2.8438979999999994</v>
      </c>
      <c r="R34">
        <f t="shared" si="3"/>
        <v>0</v>
      </c>
      <c r="S34">
        <f t="shared" si="4"/>
        <v>0</v>
      </c>
    </row>
    <row r="35" spans="13:19">
      <c r="M35">
        <v>6</v>
      </c>
      <c r="N35">
        <v>4</v>
      </c>
      <c r="O35">
        <f t="shared" si="0"/>
        <v>3.0190000000000001</v>
      </c>
      <c r="P35">
        <f t="shared" si="1"/>
        <v>1.9419999999999997</v>
      </c>
      <c r="Q35">
        <f t="shared" si="2"/>
        <v>5.8628979999999995</v>
      </c>
      <c r="R35">
        <f t="shared" si="3"/>
        <v>0</v>
      </c>
      <c r="S35">
        <f t="shared" si="4"/>
        <v>0</v>
      </c>
    </row>
    <row r="36" spans="13:19">
      <c r="M36">
        <v>6</v>
      </c>
      <c r="N36">
        <v>5</v>
      </c>
      <c r="O36">
        <f t="shared" si="0"/>
        <v>3.0190000000000001</v>
      </c>
      <c r="P36">
        <f t="shared" si="1"/>
        <v>2.9419999999999997</v>
      </c>
      <c r="Q36">
        <f t="shared" si="2"/>
        <v>8.8818979999999996</v>
      </c>
      <c r="R36">
        <f t="shared" si="3"/>
        <v>0</v>
      </c>
      <c r="S36">
        <f t="shared" si="4"/>
        <v>0</v>
      </c>
    </row>
    <row r="37" spans="13:19">
      <c r="M37">
        <v>6</v>
      </c>
      <c r="N37">
        <v>6</v>
      </c>
      <c r="O37">
        <f t="shared" si="0"/>
        <v>3.0190000000000001</v>
      </c>
      <c r="P37">
        <f t="shared" si="1"/>
        <v>3.9419999999999997</v>
      </c>
      <c r="Q37">
        <f t="shared" si="2"/>
        <v>11.900898</v>
      </c>
      <c r="R37">
        <f t="shared" si="3"/>
        <v>0</v>
      </c>
      <c r="S37">
        <f t="shared" si="4"/>
        <v>0</v>
      </c>
    </row>
    <row r="38" spans="13:19">
      <c r="S38">
        <f>SUM(S2:S37)</f>
        <v>2.6102000000000014E-2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607E-A85E-432D-BA06-4532A079C238}">
  <dimension ref="A2:L61"/>
  <sheetViews>
    <sheetView tabSelected="1" topLeftCell="A19" workbookViewId="0">
      <selection activeCell="E38" sqref="E38"/>
    </sheetView>
  </sheetViews>
  <sheetFormatPr baseColWidth="10" defaultRowHeight="14.4"/>
  <cols>
    <col min="2" max="3" width="13.21875" customWidth="1"/>
    <col min="6" max="6" width="11.5546875" customWidth="1"/>
    <col min="7" max="7" width="13.88671875" customWidth="1"/>
    <col min="10" max="10" width="14" customWidth="1"/>
  </cols>
  <sheetData>
    <row r="2" spans="1:8">
      <c r="B2" s="6" t="s">
        <v>79</v>
      </c>
      <c r="F2" s="25" t="s">
        <v>84</v>
      </c>
      <c r="G2" s="25"/>
    </row>
    <row r="3" spans="1:8">
      <c r="B3" s="6" t="s">
        <v>119</v>
      </c>
    </row>
    <row r="6" spans="1:8">
      <c r="C6" t="s">
        <v>118</v>
      </c>
      <c r="D6" s="26">
        <v>-1</v>
      </c>
    </row>
    <row r="8" spans="1:8">
      <c r="B8" t="s">
        <v>121</v>
      </c>
      <c r="C8" s="8">
        <v>-1</v>
      </c>
    </row>
    <row r="9" spans="1:8">
      <c r="F9" t="s">
        <v>120</v>
      </c>
      <c r="G9" s="8">
        <v>0.38312000000000002</v>
      </c>
    </row>
    <row r="10" spans="1:8">
      <c r="F10" s="16"/>
    </row>
    <row r="11" spans="1:8">
      <c r="A11" t="s">
        <v>80</v>
      </c>
      <c r="B11" s="26">
        <v>0.64490999999999998</v>
      </c>
    </row>
    <row r="14" spans="1:8">
      <c r="G14" s="26">
        <v>6.2649999999999997E-2</v>
      </c>
      <c r="H14" t="s">
        <v>81</v>
      </c>
    </row>
    <row r="18" spans="2:8">
      <c r="B18" t="s">
        <v>82</v>
      </c>
      <c r="C18" s="8">
        <v>0.4</v>
      </c>
      <c r="D18" s="8">
        <v>1.02</v>
      </c>
      <c r="E18" s="8">
        <v>2.62</v>
      </c>
    </row>
    <row r="19" spans="2:8">
      <c r="G19" t="s">
        <v>88</v>
      </c>
      <c r="H19">
        <f>(D21-C21)/(D18-C18)</f>
        <v>4.9567741935484022E-2</v>
      </c>
    </row>
    <row r="20" spans="2:8">
      <c r="G20" t="s">
        <v>89</v>
      </c>
      <c r="H20">
        <f>(E21-D21)/(E18-D18)</f>
        <v>-0.38312000000000002</v>
      </c>
    </row>
    <row r="21" spans="2:8">
      <c r="B21" t="s">
        <v>83</v>
      </c>
      <c r="C21">
        <f>IF(B11&lt;&gt;-1,B11,D6-C8*(D18-C18))</f>
        <v>0.64490999999999998</v>
      </c>
      <c r="D21">
        <f>IF(C8&lt;&gt;-1,(D18-C18)*C8+B11,IF(G9&lt;&gt;-1,G14+G9*(E18-D18),D6))</f>
        <v>0.67564200000000008</v>
      </c>
      <c r="E21">
        <f>IF(G14&lt;&gt;-1,G14,D6+G9*(E18-D18))</f>
        <v>6.2649999999999997E-2</v>
      </c>
    </row>
    <row r="24" spans="2:8">
      <c r="D24" t="s">
        <v>85</v>
      </c>
      <c r="E24" t="s">
        <v>86</v>
      </c>
    </row>
    <row r="25" spans="2:8">
      <c r="B25" t="s">
        <v>87</v>
      </c>
      <c r="D25">
        <f>H19</f>
        <v>4.9567741935484022E-2</v>
      </c>
      <c r="E25">
        <f>C18*-(H19)+C21</f>
        <v>0.6250829032258064</v>
      </c>
    </row>
    <row r="27" spans="2:8">
      <c r="D27" t="s">
        <v>90</v>
      </c>
      <c r="E27" t="s">
        <v>91</v>
      </c>
    </row>
    <row r="28" spans="2:8">
      <c r="B28" t="s">
        <v>92</v>
      </c>
      <c r="D28">
        <f>H20</f>
        <v>-0.38312000000000002</v>
      </c>
      <c r="E28">
        <f>D18*-(H20)+D21</f>
        <v>1.0664244000000001</v>
      </c>
    </row>
    <row r="30" spans="2:8">
      <c r="G30" t="s">
        <v>153</v>
      </c>
      <c r="H30" t="s">
        <v>154</v>
      </c>
    </row>
    <row r="31" spans="2:8">
      <c r="B31" t="s">
        <v>151</v>
      </c>
      <c r="E31">
        <f>SUM(G31:H31)</f>
        <v>1.2358194689333333</v>
      </c>
      <c r="G31">
        <f>((D25*POWER(D18,3))/3 + (E25*POWER(D18,2))/ 2)-((D25*POWER(C18,3))/3 + (E25*POWER(C18,2))/ 2)</f>
        <v>0.29163794359999995</v>
      </c>
      <c r="H31">
        <f>((D28*POWER(E18,3))/3 + (E28*POWER(E18,2))/ 2)-((D28*POWER(D18,3))/3 + (E28*POWER(D18,2))/ 2)</f>
        <v>0.94418152533333322</v>
      </c>
    </row>
    <row r="33" spans="2:12">
      <c r="G33" t="s">
        <v>152</v>
      </c>
      <c r="H33" t="s">
        <v>155</v>
      </c>
    </row>
    <row r="34" spans="2:12">
      <c r="B34" t="s">
        <v>159</v>
      </c>
      <c r="E34">
        <f>SQRT(L34)</f>
        <v>0.54775972736976586</v>
      </c>
      <c r="G34" s="27">
        <f>(3*D25*POWER(D18,4)+(4*E25-8*D25*$E$31)*POWER(D18,3)+(6*D25*$E$31*$E$31-12*E25*$E$31)*D18*D18+12*E25*$E$31*$E$31*D18)/12 - (3*D25*POWER(C18,4)+(4*E25-8*D25*$E$31)*POWER(C18,3)+(6*D25*$E$31*$E$31-12*E25*$E$31)*C18*C18+12*E25*$E$31*$E$31*C18)/12</f>
        <v>0.12526366738975037</v>
      </c>
      <c r="H34" s="27">
        <f>(3*D28*POWER(E18,4)+(4*E28-8*D28*$E$31)*POWER(E18,3)+(6*D28*$E$31*$E$31-12*E28*$E$31)*E18*E18+12*E28*$E$31*$E$31*E18)/12 - (3*D28*POWER(D18,4)+(4*E28-8*D28*$E$31)*POWER(D18,3)+(6*D28*$E$31*$E$31-12*E28*$E$31)*D18*D18+12*E28*$E$31*$E$31*D18)/12</f>
        <v>0.17477705153844991</v>
      </c>
      <c r="I34" t="s">
        <v>156</v>
      </c>
      <c r="K34" t="s">
        <v>158</v>
      </c>
      <c r="L34">
        <f>SUM(G34:H34)</f>
        <v>0.30004071892820028</v>
      </c>
    </row>
    <row r="35" spans="2:12">
      <c r="G35" s="27">
        <f>(POWER(D18-$E$31,3)*(D25*(3*D18+$E$31)+4*E25)/12)-(POWER(C18-$E$31,3)*(D25*(3*C18+$E$31)+4*E25)/12)</f>
        <v>0.12526366738975053</v>
      </c>
      <c r="H35" s="27">
        <f>(POWER(E18-$E$31,3)*(D28*(3*E18+$E$31)+4*E28)/12)-(POWER(D18-$E$31,3)*(D28*(3*D18+$E$31)+4*E28)/12)</f>
        <v>0.17477705153844963</v>
      </c>
      <c r="I35" t="s">
        <v>157</v>
      </c>
    </row>
    <row r="36" spans="2:12">
      <c r="G36" s="27"/>
    </row>
    <row r="37" spans="2:12">
      <c r="B37" t="s">
        <v>160</v>
      </c>
      <c r="C37">
        <f>C18</f>
        <v>0.4</v>
      </c>
      <c r="D37" t="s">
        <v>123</v>
      </c>
      <c r="E37">
        <f>D18</f>
        <v>1.02</v>
      </c>
    </row>
    <row r="38" spans="2:12">
      <c r="B38" t="s">
        <v>162</v>
      </c>
      <c r="C38">
        <f>D25/2</f>
        <v>2.4783870967742011E-2</v>
      </c>
      <c r="D38">
        <f>E25</f>
        <v>0.6250829032258064</v>
      </c>
      <c r="E38" s="28"/>
    </row>
    <row r="40" spans="2:12">
      <c r="B40" t="s">
        <v>161</v>
      </c>
      <c r="C40">
        <f>D18</f>
        <v>1.02</v>
      </c>
      <c r="D40" t="s">
        <v>123</v>
      </c>
      <c r="E40">
        <f>E18</f>
        <v>2.62</v>
      </c>
    </row>
    <row r="41" spans="2:12">
      <c r="B41" t="s">
        <v>162</v>
      </c>
      <c r="C41">
        <f>D28/2</f>
        <v>-0.19156000000000001</v>
      </c>
      <c r="D41">
        <f>E28</f>
        <v>1.0664244000000001</v>
      </c>
      <c r="E41" s="29"/>
      <c r="G41" t="s">
        <v>163</v>
      </c>
      <c r="H41" t="s">
        <v>164</v>
      </c>
    </row>
    <row r="42" spans="2:12">
      <c r="G42">
        <f>((D25*D18*D18)/2+E25*D18)-((D25*C18*C18)/2+E25*C18)</f>
        <v>0.40937112000000003</v>
      </c>
      <c r="H42">
        <f>((D28*E18*E18)/2+E28*E18)-((D28*D18*D18)/2+E28*D18)</f>
        <v>0.59063359999999998</v>
      </c>
      <c r="J42">
        <f>SUM(G42:H42)</f>
        <v>1.00000472</v>
      </c>
    </row>
    <row r="43" spans="2:12">
      <c r="B43" t="s">
        <v>165</v>
      </c>
      <c r="C43" s="10">
        <v>0.35</v>
      </c>
      <c r="D43" s="30" t="s">
        <v>166</v>
      </c>
    </row>
    <row r="44" spans="2:12">
      <c r="G44">
        <f>G42/J42</f>
        <v>0.40936918777743375</v>
      </c>
      <c r="H44" s="31">
        <f>H42/J42</f>
        <v>0.5906308122225663</v>
      </c>
    </row>
    <row r="45" spans="2:12">
      <c r="B45" t="s">
        <v>167</v>
      </c>
    </row>
    <row r="46" spans="2:12">
      <c r="B46" t="s">
        <v>168</v>
      </c>
    </row>
    <row r="47" spans="2:12">
      <c r="B47" t="s">
        <v>175</v>
      </c>
    </row>
    <row r="49" spans="2:11">
      <c r="B49" t="s">
        <v>169</v>
      </c>
      <c r="D49" t="s">
        <v>172</v>
      </c>
      <c r="E49">
        <f>E18</f>
        <v>2.62</v>
      </c>
    </row>
    <row r="50" spans="2:11">
      <c r="C50" s="10">
        <f>C43</f>
        <v>0.35</v>
      </c>
      <c r="D50" s="32" t="s">
        <v>171</v>
      </c>
      <c r="E50" t="s">
        <v>170</v>
      </c>
      <c r="F50">
        <f>D28</f>
        <v>-0.38312000000000002</v>
      </c>
      <c r="G50" t="s">
        <v>176</v>
      </c>
      <c r="H50">
        <f>E28</f>
        <v>1.0664244000000001</v>
      </c>
      <c r="I50" t="s">
        <v>177</v>
      </c>
    </row>
    <row r="51" spans="2:11">
      <c r="D51" t="s">
        <v>173</v>
      </c>
      <c r="E51" t="s">
        <v>174</v>
      </c>
    </row>
    <row r="54" spans="2:11">
      <c r="B54" t="s">
        <v>178</v>
      </c>
      <c r="D54" t="s">
        <v>172</v>
      </c>
      <c r="E54">
        <f>D18</f>
        <v>1.02</v>
      </c>
    </row>
    <row r="55" spans="2:11">
      <c r="C55" s="10">
        <f>C43</f>
        <v>0.35</v>
      </c>
      <c r="D55" s="32" t="s">
        <v>171</v>
      </c>
      <c r="E55" t="s">
        <v>170</v>
      </c>
      <c r="F55">
        <f>D25</f>
        <v>4.9567741935484022E-2</v>
      </c>
      <c r="G55" t="s">
        <v>176</v>
      </c>
      <c r="H55">
        <f>E25</f>
        <v>0.6250829032258064</v>
      </c>
      <c r="I55" t="s">
        <v>177</v>
      </c>
      <c r="J55" t="s">
        <v>179</v>
      </c>
      <c r="K55">
        <f>H44</f>
        <v>0.5906308122225663</v>
      </c>
    </row>
    <row r="56" spans="2:11">
      <c r="D56" t="s">
        <v>173</v>
      </c>
      <c r="E56" t="s">
        <v>174</v>
      </c>
    </row>
    <row r="58" spans="2:11">
      <c r="B58" t="s">
        <v>180</v>
      </c>
      <c r="D58">
        <v>1.02</v>
      </c>
      <c r="E58" t="s">
        <v>65</v>
      </c>
      <c r="F58">
        <v>2.62</v>
      </c>
      <c r="G58" s="6" t="s">
        <v>181</v>
      </c>
    </row>
    <row r="60" spans="2:11">
      <c r="B60" t="s">
        <v>183</v>
      </c>
    </row>
    <row r="61" spans="2:11">
      <c r="B61" t="s">
        <v>182</v>
      </c>
    </row>
  </sheetData>
  <mergeCells count="1">
    <mergeCell ref="F2:G2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1094-6393-471F-BDB9-0BF68F841270}">
  <dimension ref="B2:M34"/>
  <sheetViews>
    <sheetView topLeftCell="A10" workbookViewId="0">
      <selection activeCell="B34" sqref="B34"/>
    </sheetView>
  </sheetViews>
  <sheetFormatPr baseColWidth="10" defaultRowHeight="14.4"/>
  <cols>
    <col min="6" max="6" width="13.109375" customWidth="1"/>
    <col min="7" max="7" width="16.109375" customWidth="1"/>
  </cols>
  <sheetData>
    <row r="2" spans="2:13">
      <c r="C2" t="s">
        <v>43</v>
      </c>
      <c r="D2" t="s">
        <v>44</v>
      </c>
      <c r="E2" s="5"/>
      <c r="F2" s="5" t="s">
        <v>100</v>
      </c>
      <c r="G2" s="5" t="s">
        <v>99</v>
      </c>
      <c r="H2" s="5"/>
      <c r="I2" s="5" t="s">
        <v>101</v>
      </c>
      <c r="J2" s="5"/>
      <c r="K2" s="5"/>
      <c r="L2" s="5"/>
      <c r="M2" s="5"/>
    </row>
    <row r="3" spans="2:13">
      <c r="B3" t="s">
        <v>45</v>
      </c>
      <c r="C3">
        <v>3</v>
      </c>
      <c r="D3">
        <v>4.4999999999999998E-2</v>
      </c>
      <c r="E3" s="5"/>
      <c r="F3" s="5">
        <f>C3*D3</f>
        <v>0.13500000000000001</v>
      </c>
      <c r="G3" s="5">
        <f t="shared" ref="G3:G13" si="0">((C3-$F$22)^2)*D3</f>
        <v>1.2865684050000006</v>
      </c>
      <c r="H3" s="5"/>
      <c r="I3" s="5">
        <f>D3</f>
        <v>4.4999999999999998E-2</v>
      </c>
      <c r="J3" s="5"/>
      <c r="K3" s="5"/>
      <c r="L3" s="5"/>
      <c r="M3" s="5"/>
    </row>
    <row r="4" spans="2:13">
      <c r="B4" t="s">
        <v>46</v>
      </c>
      <c r="C4">
        <v>4</v>
      </c>
      <c r="D4">
        <v>7.9000000000000001E-2</v>
      </c>
      <c r="E4" s="5"/>
      <c r="F4" s="5">
        <f t="shared" ref="F4:F17" si="1">C4*D4</f>
        <v>0.316</v>
      </c>
      <c r="G4" s="5">
        <f t="shared" si="0"/>
        <v>1.492816311000001</v>
      </c>
      <c r="H4" s="5"/>
      <c r="I4" s="5">
        <f>D4+I3</f>
        <v>0.124</v>
      </c>
      <c r="J4" s="5"/>
      <c r="K4" s="5"/>
      <c r="L4" s="5"/>
      <c r="M4" s="5"/>
    </row>
    <row r="5" spans="2:13">
      <c r="B5" t="s">
        <v>47</v>
      </c>
      <c r="C5">
        <v>5</v>
      </c>
      <c r="D5">
        <v>9.9000000000000005E-2</v>
      </c>
      <c r="E5" s="5"/>
      <c r="F5" s="5">
        <f t="shared" si="1"/>
        <v>0.495</v>
      </c>
      <c r="G5" s="5">
        <f t="shared" si="0"/>
        <v>1.1090384910000008</v>
      </c>
      <c r="H5" s="5"/>
      <c r="I5" s="5">
        <f t="shared" ref="I5:I12" si="2">D5+I4</f>
        <v>0.223</v>
      </c>
      <c r="J5" s="5"/>
      <c r="K5" s="5"/>
      <c r="L5" s="5"/>
      <c r="M5" s="5"/>
    </row>
    <row r="6" spans="2:13">
      <c r="B6" t="s">
        <v>48</v>
      </c>
      <c r="C6">
        <v>6</v>
      </c>
      <c r="D6">
        <v>0.10199999999999999</v>
      </c>
      <c r="E6" s="5"/>
      <c r="F6" s="5">
        <f t="shared" si="1"/>
        <v>0.61199999999999999</v>
      </c>
      <c r="G6" s="5">
        <f t="shared" si="0"/>
        <v>0.56185771800000062</v>
      </c>
      <c r="H6" s="5"/>
      <c r="I6" s="5">
        <f t="shared" si="2"/>
        <v>0.32500000000000001</v>
      </c>
      <c r="J6" s="5"/>
      <c r="K6" s="5"/>
      <c r="L6" s="5"/>
      <c r="M6" s="5"/>
    </row>
    <row r="7" spans="2:13">
      <c r="B7" t="s">
        <v>49</v>
      </c>
      <c r="C7">
        <v>7</v>
      </c>
      <c r="D7">
        <v>0.10100000000000001</v>
      </c>
      <c r="E7" s="5"/>
      <c r="F7" s="5">
        <f t="shared" si="1"/>
        <v>0.70700000000000007</v>
      </c>
      <c r="G7" s="5">
        <f t="shared" si="0"/>
        <v>0.18325530900000037</v>
      </c>
      <c r="H7" s="5"/>
      <c r="I7" s="5">
        <f t="shared" si="2"/>
        <v>0.42600000000000005</v>
      </c>
      <c r="J7" s="5"/>
      <c r="K7" s="5"/>
      <c r="L7" s="5"/>
      <c r="M7" s="5"/>
    </row>
    <row r="8" spans="2:13">
      <c r="B8" t="s">
        <v>50</v>
      </c>
      <c r="C8">
        <v>8</v>
      </c>
      <c r="D8">
        <v>0.1</v>
      </c>
      <c r="E8" s="5"/>
      <c r="F8" s="5">
        <f t="shared" si="1"/>
        <v>0.8</v>
      </c>
      <c r="G8" s="5">
        <f t="shared" si="0"/>
        <v>1.204090000000009E-2</v>
      </c>
      <c r="H8" s="5"/>
      <c r="I8" s="5">
        <f t="shared" si="2"/>
        <v>0.52600000000000002</v>
      </c>
      <c r="J8" s="5"/>
      <c r="K8" s="5"/>
      <c r="L8" s="5"/>
      <c r="M8" s="5"/>
    </row>
    <row r="9" spans="2:13">
      <c r="B9" t="s">
        <v>51</v>
      </c>
      <c r="C9">
        <v>9</v>
      </c>
      <c r="D9">
        <v>0.10199999999999999</v>
      </c>
      <c r="E9" s="5"/>
      <c r="F9" s="5">
        <f t="shared" si="1"/>
        <v>0.91799999999999993</v>
      </c>
      <c r="G9" s="5">
        <f t="shared" si="0"/>
        <v>4.3493717999999827E-2</v>
      </c>
      <c r="H9" s="5"/>
      <c r="I9" s="5">
        <f t="shared" si="2"/>
        <v>0.628</v>
      </c>
      <c r="J9" s="5"/>
      <c r="K9" s="5"/>
      <c r="L9" s="5"/>
      <c r="M9" s="5"/>
    </row>
    <row r="10" spans="2:13">
      <c r="B10" t="s">
        <v>52</v>
      </c>
      <c r="C10">
        <v>10</v>
      </c>
      <c r="D10">
        <v>0.10100000000000001</v>
      </c>
      <c r="E10" s="5"/>
      <c r="F10" s="5">
        <f t="shared" si="1"/>
        <v>1.01</v>
      </c>
      <c r="G10" s="5">
        <f t="shared" si="0"/>
        <v>0.27597330899999956</v>
      </c>
      <c r="H10" s="5"/>
      <c r="I10" s="5">
        <f t="shared" si="2"/>
        <v>0.72899999999999998</v>
      </c>
      <c r="J10" s="5"/>
      <c r="K10" s="5"/>
      <c r="L10" s="5"/>
      <c r="M10" s="5"/>
    </row>
    <row r="11" spans="2:13">
      <c r="B11" t="s">
        <v>53</v>
      </c>
      <c r="C11">
        <v>11</v>
      </c>
      <c r="D11">
        <v>9.0999999999999998E-2</v>
      </c>
      <c r="E11" s="5"/>
      <c r="F11" s="5">
        <f t="shared" si="1"/>
        <v>1.0009999999999999</v>
      </c>
      <c r="G11" s="5">
        <f t="shared" si="0"/>
        <v>0.64049521899999939</v>
      </c>
      <c r="H11" s="5"/>
      <c r="I11" s="5">
        <f t="shared" si="2"/>
        <v>0.82</v>
      </c>
      <c r="J11" s="5"/>
      <c r="K11" s="5"/>
      <c r="L11" s="5"/>
      <c r="M11" s="5"/>
    </row>
    <row r="12" spans="2:13">
      <c r="B12" t="s">
        <v>54</v>
      </c>
      <c r="C12">
        <v>12</v>
      </c>
      <c r="D12">
        <v>7.3999999999999996E-2</v>
      </c>
      <c r="E12" s="5"/>
      <c r="F12" s="5">
        <f t="shared" si="1"/>
        <v>0.8879999999999999</v>
      </c>
      <c r="G12" s="5">
        <f t="shared" si="0"/>
        <v>0.98748626599999922</v>
      </c>
      <c r="H12" s="5"/>
      <c r="I12" s="5">
        <f t="shared" si="2"/>
        <v>0.89399999999999991</v>
      </c>
      <c r="J12" s="5"/>
      <c r="K12" s="5"/>
      <c r="L12" s="5"/>
      <c r="M12" s="5"/>
    </row>
    <row r="13" spans="2:13">
      <c r="B13" t="s">
        <v>55</v>
      </c>
      <c r="C13">
        <v>13</v>
      </c>
      <c r="D13">
        <v>5.1999999999999998E-2</v>
      </c>
      <c r="E13" s="5"/>
      <c r="F13" s="5">
        <f t="shared" si="1"/>
        <v>0.67599999999999993</v>
      </c>
      <c r="G13" s="5">
        <f t="shared" si="0"/>
        <v>1.1258212679999995</v>
      </c>
      <c r="H13" s="5"/>
      <c r="I13" s="5">
        <f>D13+I12</f>
        <v>0.94599999999999995</v>
      </c>
      <c r="J13" s="5"/>
      <c r="K13" s="5"/>
      <c r="L13" s="5"/>
      <c r="M13" s="5"/>
    </row>
    <row r="14" spans="2:13">
      <c r="B14" t="s">
        <v>109</v>
      </c>
      <c r="C14">
        <v>14</v>
      </c>
      <c r="D14">
        <v>3.1E-2</v>
      </c>
      <c r="E14" s="5"/>
      <c r="F14" s="5">
        <f t="shared" si="1"/>
        <v>0.434</v>
      </c>
      <c r="G14" s="5">
        <f t="shared" ref="G14:G16" si="3">((C14-$F$22)^2)*D14</f>
        <v>0.99064867899999953</v>
      </c>
      <c r="H14" s="5"/>
      <c r="I14" s="5">
        <f t="shared" ref="I14:I17" si="4">D14+I13</f>
        <v>0.97699999999999998</v>
      </c>
      <c r="J14" s="5"/>
      <c r="K14" s="5"/>
      <c r="L14" s="5"/>
      <c r="M14" s="5"/>
    </row>
    <row r="15" spans="2:13">
      <c r="B15" t="s">
        <v>110</v>
      </c>
      <c r="C15">
        <v>15</v>
      </c>
      <c r="D15">
        <v>1.4999999999999999E-2</v>
      </c>
      <c r="E15" s="5"/>
      <c r="F15" s="5">
        <f t="shared" si="1"/>
        <v>0.22499999999999998</v>
      </c>
      <c r="G15" s="5">
        <f t="shared" si="3"/>
        <v>0.66393613499999971</v>
      </c>
      <c r="H15" s="5"/>
      <c r="I15" s="5">
        <f t="shared" si="4"/>
        <v>0.99199999999999999</v>
      </c>
      <c r="J15" s="5"/>
      <c r="K15" s="5"/>
      <c r="L15" s="5"/>
      <c r="M15" s="5"/>
    </row>
    <row r="16" spans="2:13">
      <c r="B16" t="s">
        <v>111</v>
      </c>
      <c r="C16">
        <v>16</v>
      </c>
      <c r="D16">
        <v>6.0000000000000001E-3</v>
      </c>
      <c r="E16" s="5"/>
      <c r="F16" s="5">
        <f t="shared" si="1"/>
        <v>9.6000000000000002E-2</v>
      </c>
      <c r="G16" s="5">
        <f t="shared" si="3"/>
        <v>0.35141045399999987</v>
      </c>
      <c r="H16" s="5"/>
      <c r="I16" s="5">
        <f t="shared" si="4"/>
        <v>0.998</v>
      </c>
      <c r="J16" s="5"/>
      <c r="K16" s="5"/>
      <c r="L16" s="5"/>
      <c r="M16" s="5"/>
    </row>
    <row r="17" spans="2:13">
      <c r="B17" t="s">
        <v>112</v>
      </c>
      <c r="C17">
        <v>17</v>
      </c>
      <c r="D17">
        <v>2E-3</v>
      </c>
      <c r="E17" s="5"/>
      <c r="F17" s="5">
        <f t="shared" si="1"/>
        <v>3.4000000000000002E-2</v>
      </c>
      <c r="G17" s="5">
        <f>((C17-$F$22)^2)*D17</f>
        <v>0.14974881799999995</v>
      </c>
      <c r="H17" s="5"/>
      <c r="I17" s="5">
        <f t="shared" si="4"/>
        <v>1</v>
      </c>
      <c r="J17" s="5"/>
      <c r="K17" s="5"/>
      <c r="L17" s="5"/>
      <c r="M17" s="5"/>
    </row>
    <row r="18" spans="2:13">
      <c r="E18" s="5"/>
      <c r="F18" s="5"/>
      <c r="G18" s="5"/>
      <c r="H18" s="5"/>
      <c r="I18" s="5"/>
      <c r="J18" s="5"/>
      <c r="K18" s="5"/>
      <c r="L18" s="5"/>
      <c r="M18" s="5"/>
    </row>
    <row r="19" spans="2:13">
      <c r="E19" s="5"/>
      <c r="F19" s="5"/>
      <c r="G19" s="5"/>
      <c r="H19" s="5"/>
      <c r="I19" s="5"/>
      <c r="J19" s="5"/>
      <c r="K19" s="5"/>
      <c r="L19" s="5"/>
      <c r="M19" s="5"/>
    </row>
    <row r="20" spans="2:13">
      <c r="E20" s="5"/>
      <c r="F20" s="5"/>
      <c r="G20" s="5"/>
      <c r="H20" s="5"/>
      <c r="I20" s="5"/>
      <c r="J20" s="5"/>
      <c r="K20" s="5"/>
      <c r="L20" s="5"/>
      <c r="M20" s="5"/>
    </row>
    <row r="21" spans="2:13">
      <c r="D21">
        <f>SUM(D3:D17)</f>
        <v>1</v>
      </c>
      <c r="F21" t="s">
        <v>62</v>
      </c>
      <c r="G21" t="s">
        <v>61</v>
      </c>
    </row>
    <row r="22" spans="2:13">
      <c r="F22">
        <f>SUM(F3:F17)</f>
        <v>8.3470000000000013</v>
      </c>
      <c r="G22">
        <f>SUM(G3:G17)</f>
        <v>9.8745909999999988</v>
      </c>
    </row>
    <row r="25" spans="2:13">
      <c r="B25" t="s">
        <v>56</v>
      </c>
      <c r="G25">
        <f>F22</f>
        <v>8.3470000000000013</v>
      </c>
    </row>
    <row r="26" spans="2:13">
      <c r="B26" t="s">
        <v>57</v>
      </c>
      <c r="G26">
        <f>SQRT(G22)</f>
        <v>3.142386195234443</v>
      </c>
    </row>
    <row r="27" spans="2:13">
      <c r="B27" t="s">
        <v>58</v>
      </c>
      <c r="G27" t="s">
        <v>63</v>
      </c>
    </row>
    <row r="28" spans="2:13">
      <c r="B28" t="s">
        <v>64</v>
      </c>
      <c r="D28" s="17">
        <v>3</v>
      </c>
      <c r="E28" t="s">
        <v>65</v>
      </c>
      <c r="F28" s="17">
        <v>14</v>
      </c>
      <c r="G28">
        <f>SUM(INDEX(D3:D17,D28-C3+1,1):INDEX(D3:D17,F28-C3+1,1))</f>
        <v>0.97699999999999998</v>
      </c>
    </row>
    <row r="29" spans="2:13">
      <c r="B29" t="s">
        <v>59</v>
      </c>
      <c r="E29" t="s">
        <v>113</v>
      </c>
      <c r="F29" s="17">
        <v>1.95</v>
      </c>
      <c r="G29">
        <f>1/F29</f>
        <v>0.51282051282051289</v>
      </c>
    </row>
    <row r="30" spans="2:13">
      <c r="B30" t="s">
        <v>114</v>
      </c>
      <c r="E30" s="10">
        <v>0.17499999999999999</v>
      </c>
      <c r="F30" t="s">
        <v>60</v>
      </c>
      <c r="G30">
        <f>-(EXP(-F29*E31)-(EXP(-F29*E30)))</f>
        <v>0.71088116569809745</v>
      </c>
    </row>
    <row r="31" spans="2:13">
      <c r="B31" t="s">
        <v>115</v>
      </c>
      <c r="E31" s="10">
        <v>1000</v>
      </c>
    </row>
    <row r="32" spans="2:13">
      <c r="B32" t="s">
        <v>116</v>
      </c>
    </row>
    <row r="33" spans="2:2">
      <c r="B33" t="s">
        <v>117</v>
      </c>
    </row>
    <row r="34" spans="2:2">
      <c r="B34" s="7"/>
    </row>
  </sheetData>
  <conditionalFormatting sqref="D2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 pelotas</vt:lpstr>
      <vt:lpstr>Software aging</vt:lpstr>
      <vt:lpstr>El tauler</vt:lpstr>
      <vt:lpstr>Provisions</vt:lpstr>
      <vt:lpstr>Internet Services Provider</vt:lpstr>
      <vt:lpstr>T'odio zuckerberg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2021-09-29T13:15:23Z</dcterms:created>
  <dcterms:modified xsi:type="dcterms:W3CDTF">2021-10-14T16:45:33Z</dcterms:modified>
</cp:coreProperties>
</file>