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cotont\Dropbox\GitHub\HeroForge-Anew\data\"/>
    </mc:Choice>
  </mc:AlternateContent>
  <bookViews>
    <workbookView xWindow="0" yWindow="0" windowWidth="20490" windowHeight="7155"/>
  </bookViews>
  <sheets>
    <sheet name="Sheet1" sheetId="1" r:id="rId1"/>
  </sheets>
  <externalReferences>
    <externalReference r:id="rId2"/>
  </externalReferences>
  <definedNames>
    <definedName name="ArmorWgt">[1]Armor!$Q$1</definedName>
    <definedName name="AsnLvl">'[1]Class Info'!$E$109</definedName>
    <definedName name="AtvLvl">'[1]Class Info'!$E$546</definedName>
    <definedName name="BegLvl">'[1]Class Info'!$E$17</definedName>
    <definedName name="BinLvl">'[1]Class Info'!$E$51</definedName>
    <definedName name="BPALvl">'[1]Class Info'!$E$736</definedName>
    <definedName name="BrdLvl">'[1]Class Info'!$E$6</definedName>
    <definedName name="ClALvl">'[1]Class Info'!$E$326</definedName>
    <definedName name="ComLvl">'[1]Class Info'!$E$101</definedName>
    <definedName name="CommonerProf">[1]ExportSheet!$T$19</definedName>
    <definedName name="CrSLvl">'[1]Class Info'!$E$369</definedName>
    <definedName name="CrSWeaponProf">[1]ExportSheet!$AB$44</definedName>
    <definedName name="DkhLvl">'[1]Class Info'!#REF!</definedName>
    <definedName name="DrdLvl">'[1]Class Info'!$E$8</definedName>
    <definedName name="DrgDLvl">'[1]Class Info'!$E$656</definedName>
    <definedName name="DrPgLvl">'[1]Class Info'!$E$71</definedName>
    <definedName name="DvsLvl">'[1]Class Info'!$E$128</definedName>
    <definedName name="effBinLvl">'[1]Class Abilities'!$E$4538</definedName>
    <definedName name="EnFLvl">'[1]Class Info'!$E$192</definedName>
    <definedName name="FMkLvl">'[1]Class Info'!$E$420</definedName>
    <definedName name="FoFLvl">'[1]Class Info'!$E$275</definedName>
    <definedName name="FoZLvl">'[1]Class Info'!$E$410</definedName>
    <definedName name="FtAsceticHunter">[1]Feats!$AR$643</definedName>
    <definedName name="FtAsceticKnight">[1]Feats!$AR$644</definedName>
    <definedName name="FtAsceticRogue">[1]Feats!$AR$646</definedName>
    <definedName name="FtAsceticStalker">[1]Feats!$AR$968</definedName>
    <definedName name="FtBladebearerOfTheValenar">[1]Feats!$AR$2537</definedName>
    <definedName name="FtDarguunMauler">[1]Feats!$AR$2541</definedName>
    <definedName name="FtDoubleSteelStrike">[1]Feats!$AR$2456</definedName>
    <definedName name="FtDrowSkirmisher">[1]Feats!$AR$2619</definedName>
    <definedName name="FtHorseNomad">[1]Feats!$AR$2121</definedName>
    <definedName name="FtImprovedUnarmed">[1]Feats!$AR$54</definedName>
    <definedName name="FtImprovedWeaponFamiliarity">[1]Feats!$AR$1156</definedName>
    <definedName name="FtPracticedBinder">[1]Feats!$AR$1578</definedName>
    <definedName name="FtSerpentStrike">[1]Feats!$AR$2490</definedName>
    <definedName name="FtShadowMarchesWarmonger">[1]Feats!$AR$2555</definedName>
    <definedName name="FtSuperiorUnarmedStrike">[1]Feats!$AR$1548</definedName>
    <definedName name="FtTashalatora">[1]Feats!$AR$2754</definedName>
    <definedName name="FtWhirlingSteelStrike">[1]Feats!$AR$2499</definedName>
    <definedName name="FullRace">'[1]Race Info'!$B$12</definedName>
    <definedName name="HazLvl">'[1]Class Info'!$E$580</definedName>
    <definedName name="HenLvl">'[1]Class Info'!$E$619</definedName>
    <definedName name="HthLvl">'[1]Class Info'!$E$439</definedName>
    <definedName name="IaiLvl">'[1]Class Info'!$E$621</definedName>
    <definedName name="IDMLvl">'[1]Class Info'!$E$643</definedName>
    <definedName name="IPSLvl">'[1]Class Info'!$E$715</definedName>
    <definedName name="MagicEquipWaistType">[1]ExportSheet!$M$50</definedName>
    <definedName name="MarLvl">'[1]Class Info'!$E$92</definedName>
    <definedName name="MartialProf">'[1]Class Info'!$EJ$17</definedName>
    <definedName name="MChLvl">'[1]Class Info'!$E$443</definedName>
    <definedName name="MLDLvl">'[1]Class Info'!$E$444</definedName>
    <definedName name="MMcLvl">'[1]Class Info'!$E$623</definedName>
    <definedName name="MnfLvl">'[1]Class Info'!$E$97</definedName>
    <definedName name="MnkLvl">'[1]Class Info'!$E$10</definedName>
    <definedName name="MoJLvl">'[1]Class Info'!#REF!</definedName>
    <definedName name="MoPLvl">'[1]Class Info'!$E$442</definedName>
    <definedName name="NjaLvl">'[1]Class Info'!$E$34</definedName>
    <definedName name="NomadShamanRegionCell">[1]ExportSheet!$AJ$61</definedName>
    <definedName name="NoShLvl">'[1]Class Info'!$E$607</definedName>
    <definedName name="PalLvl">'[1]Class Info'!$E$11</definedName>
    <definedName name="PsiLvl">'[1]Class Info'!$E$62</definedName>
    <definedName name="Race">'[1]Race Info'!$B$9</definedName>
    <definedName name="Region">'[1]Race &amp; Templates'!$AG$4</definedName>
    <definedName name="RgrLvl">'[1]Class Info'!$E$12</definedName>
    <definedName name="RmWLvl">'[1]Class Info'!$E$333</definedName>
    <definedName name="RogLvl">'[1]Class Info'!$E$13</definedName>
    <definedName name="RslSkMnk1">[1]ExportSheet!$BU$183</definedName>
    <definedName name="RuaLvl">'[1]Class Info'!$E$314</definedName>
    <definedName name="RuatharMartialWeaponCell">[1]ExportSheet!$AA$12</definedName>
    <definedName name="SaFLvl">'[1]Class Info'!$E$177</definedName>
    <definedName name="SamLvl">'[1]Class Info'!$E$23</definedName>
    <definedName name="ScgLvl">'[1]Class Info'!$E$756</definedName>
    <definedName name="SctLvl">'[1]Class Info'!$E$35</definedName>
    <definedName name="ShaLvl">'[1]Class Info'!$E$68</definedName>
    <definedName name="ShieldWgt">[1]Armor!$Q$62</definedName>
    <definedName name="ShjLvl">'[1]Class Info'!$E$27</definedName>
    <definedName name="ShMkLvl">'[1]Class Info'!$E$630</definedName>
    <definedName name="SimpleProf">'[1]Class Info'!$EJ$16</definedName>
    <definedName name="SlBwLvl">'[1]Class Info'!$E$245</definedName>
    <definedName name="SmnLvl">'[1]Class Info'!$E$28</definedName>
    <definedName name="SouLvl">'[1]Class Info'!$E$64</definedName>
    <definedName name="SSNLvl">'[1]Class Info'!$E$380</definedName>
    <definedName name="Subrace">'[1]Race Info'!$B$11</definedName>
    <definedName name="Subtype">'[1]Race Info'!$B$78</definedName>
    <definedName name="SuSMLvl">'[1]Class Info'!$E$529</definedName>
    <definedName name="TashalatoraClass">[1]ExportSheet!$BV$18</definedName>
    <definedName name="TblGeomancerDriftCells">[1]ExportSheet!$AA$24:$AA$33</definedName>
    <definedName name="TblManifesterRef">'[1]Psionic Info'!$A$4:$J$12</definedName>
    <definedName name="TblMartialFeats">[1]Feats!$AO$62:$AO$67</definedName>
    <definedName name="TblNinjaSpyWpnChoices">[1]Tables!$B$33:$B$36</definedName>
    <definedName name="TblSimpleList">Sheet1!$AF$33:$AF$309</definedName>
    <definedName name="TblUnarmedDamage">[1]Tables!$Q$184:$S$244</definedName>
    <definedName name="TGULvl">'[1]Class Info'!$E$560</definedName>
    <definedName name="ThunderLore">[1]ExportSheet!$AE$60:$AE$64</definedName>
    <definedName name="TtMLvl">'[1]Class Info'!$E$155</definedName>
    <definedName name="VestigesSelected">'[1]Binder Vestiges'!$B$6:$B$9</definedName>
    <definedName name="WiCLvl">'[1]Class Info'!$E$561</definedName>
    <definedName name="WizLvl">'[1]Class Info'!$E$15</definedName>
    <definedName name="WoILvl">'[1]Class Info'!$E$335</definedName>
    <definedName name="YWRLvl">'[1]Class Info'!$E$505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L241" i="1" l="1"/>
  <c r="O230" i="1"/>
  <c r="O138" i="1"/>
  <c r="O136" i="1"/>
  <c r="P123" i="1"/>
  <c r="P33" i="1"/>
  <c r="O234" i="1" l="1"/>
  <c r="O62" i="1"/>
  <c r="O45" i="1"/>
  <c r="O202" i="1"/>
  <c r="P78" i="1"/>
  <c r="O39" i="1"/>
  <c r="O131" i="1"/>
  <c r="O233" i="1"/>
  <c r="O239" i="1"/>
  <c r="P37" i="1"/>
  <c r="O172" i="1"/>
  <c r="O235" i="1"/>
  <c r="O37" i="1"/>
  <c r="O191" i="1"/>
  <c r="O213" i="1"/>
  <c r="P68" i="1"/>
  <c r="O104" i="1"/>
  <c r="O101" i="1"/>
  <c r="O248" i="1"/>
  <c r="O95" i="1"/>
  <c r="P101" i="1"/>
  <c r="O245" i="1" l="1"/>
  <c r="O242" i="1"/>
  <c r="O66" i="1"/>
  <c r="O65" i="1"/>
  <c r="P160" i="1" l="1"/>
  <c r="P77" i="1"/>
  <c r="P185" i="1"/>
  <c r="P125" i="1"/>
  <c r="P97" i="1"/>
  <c r="P151" i="1"/>
  <c r="P252" i="1" l="1"/>
  <c r="P212" i="1"/>
  <c r="P118" i="1"/>
  <c r="P226" i="1"/>
  <c r="P241" i="1"/>
  <c r="P113" i="1"/>
  <c r="P136" i="1"/>
  <c r="P54" i="1" l="1"/>
  <c r="D188" i="1" l="1"/>
  <c r="P150" i="1" l="1"/>
  <c r="P133" i="1" l="1"/>
  <c r="P135" i="1" s="1"/>
  <c r="P240" i="1" l="1"/>
  <c r="P193" i="1" l="1"/>
  <c r="P18" i="1" l="1"/>
  <c r="P157" i="1"/>
  <c r="P138" i="1" l="1"/>
  <c r="P187" i="1" l="1"/>
  <c r="M241" i="1" l="1"/>
  <c r="P152" i="1" l="1"/>
  <c r="P56" i="1"/>
  <c r="P142" i="1"/>
  <c r="P59" i="1"/>
  <c r="P57" i="1"/>
  <c r="P58" i="1"/>
  <c r="P171" i="1"/>
  <c r="P49" i="1"/>
  <c r="P143" i="1"/>
  <c r="P60" i="1"/>
  <c r="J24" i="1" l="1"/>
  <c r="P228" i="1" l="1"/>
  <c r="P175" i="1"/>
  <c r="P129" i="1" l="1"/>
  <c r="P8" i="1"/>
  <c r="P94" i="1"/>
  <c r="P91" i="1"/>
  <c r="P205" i="1"/>
  <c r="P201" i="1"/>
  <c r="P188" i="1"/>
  <c r="P108" i="1"/>
  <c r="P209" i="1"/>
  <c r="P249" i="1"/>
  <c r="P55" i="1"/>
  <c r="P50" i="1"/>
  <c r="P43" i="1"/>
  <c r="P199" i="1"/>
  <c r="P200" i="1" s="1"/>
  <c r="O118" i="1" l="1"/>
  <c r="P238" i="1" l="1"/>
  <c r="P115" i="1"/>
  <c r="P184" i="1"/>
  <c r="P161" i="1"/>
  <c r="P117" i="1"/>
  <c r="P204" i="1"/>
  <c r="P81" i="1" l="1"/>
  <c r="P15" i="1"/>
  <c r="P159" i="1"/>
  <c r="P158" i="1"/>
  <c r="P72" i="1"/>
  <c r="P203" i="1"/>
  <c r="P48" i="1"/>
  <c r="P34" i="1"/>
  <c r="P198" i="1"/>
  <c r="P126" i="1"/>
  <c r="P38" i="1"/>
  <c r="P145" i="1"/>
  <c r="E253" i="1" l="1"/>
  <c r="E241" i="1"/>
  <c r="P153" i="1" l="1"/>
  <c r="P168" i="1"/>
  <c r="P30" i="1" l="1"/>
  <c r="P169" i="1"/>
  <c r="P28" i="1" l="1"/>
  <c r="P6" i="1"/>
  <c r="P191" i="1"/>
  <c r="P31" i="1"/>
  <c r="P233" i="1"/>
  <c r="P95" i="1"/>
  <c r="P172" i="1"/>
  <c r="P242" i="1"/>
  <c r="P104" i="1"/>
  <c r="P39" i="1"/>
  <c r="P213" i="1"/>
  <c r="P235" i="1"/>
  <c r="P11" i="1"/>
  <c r="P131" i="1"/>
  <c r="P239" i="1"/>
  <c r="P3" i="1"/>
  <c r="P248" i="1"/>
  <c r="P245" i="1"/>
  <c r="P45" i="1"/>
  <c r="P202" i="1"/>
  <c r="P62" i="1"/>
  <c r="P165" i="1"/>
  <c r="P166" i="1"/>
  <c r="K216" i="1" l="1"/>
  <c r="K218" i="1" l="1"/>
  <c r="K217" i="1"/>
  <c r="K196" i="1"/>
  <c r="K197" i="1"/>
  <c r="O34" i="1" l="1"/>
  <c r="O75" i="1"/>
</calcChain>
</file>

<file path=xl/sharedStrings.xml><?xml version="1.0" encoding="utf-8"?>
<sst xmlns="http://schemas.openxmlformats.org/spreadsheetml/2006/main" count="1100" uniqueCount="297">
  <si>
    <t>Select A Weapon</t>
  </si>
  <si>
    <t>Source</t>
  </si>
  <si>
    <t>Cat</t>
  </si>
  <si>
    <t>Size</t>
  </si>
  <si>
    <t>Dmg1(M)</t>
  </si>
  <si>
    <t>Dmg2(M)</t>
  </si>
  <si>
    <t>Threat</t>
  </si>
  <si>
    <t>Crit1</t>
  </si>
  <si>
    <t>Crit2</t>
  </si>
  <si>
    <t>Range</t>
  </si>
  <si>
    <t>Wgt</t>
  </si>
  <si>
    <t>Type</t>
  </si>
  <si>
    <t>Nonlethal</t>
  </si>
  <si>
    <t>Reach</t>
  </si>
  <si>
    <t>Special</t>
  </si>
  <si>
    <t>List</t>
  </si>
  <si>
    <t>Alchemy Blade</t>
  </si>
  <si>
    <t>E</t>
  </si>
  <si>
    <t>L</t>
  </si>
  <si>
    <t>P</t>
  </si>
  <si>
    <t>Annulat</t>
  </si>
  <si>
    <t>R</t>
  </si>
  <si>
    <t>S</t>
  </si>
  <si>
    <t>Atlatl</t>
  </si>
  <si>
    <t>M</t>
  </si>
  <si>
    <t>Axe, Ice</t>
  </si>
  <si>
    <t>O</t>
  </si>
  <si>
    <t>S/P</t>
  </si>
  <si>
    <t>Axe, Orc Double</t>
  </si>
  <si>
    <t>T</t>
  </si>
  <si>
    <t>Axe, Throwing</t>
  </si>
  <si>
    <t>Battleaxe</t>
  </si>
  <si>
    <t>Battle Flag</t>
  </si>
  <si>
    <t>Battlehorn</t>
  </si>
  <si>
    <t>Battlepick, Gnome</t>
  </si>
  <si>
    <t>Bayonet</t>
  </si>
  <si>
    <t>Blade, Retractable</t>
  </si>
  <si>
    <t>Blade, Skipping</t>
  </si>
  <si>
    <t>Blowgun</t>
  </si>
  <si>
    <t>OA</t>
  </si>
  <si>
    <t>Blowgun, Greater</t>
  </si>
  <si>
    <t>Blunderbuss</t>
  </si>
  <si>
    <t>Bolas</t>
  </si>
  <si>
    <t>B</t>
  </si>
  <si>
    <t>Bolas, Barbed</t>
  </si>
  <si>
    <t>Bomb</t>
  </si>
  <si>
    <t>*</t>
  </si>
  <si>
    <t>5' blast radius</t>
  </si>
  <si>
    <t>Boomerang</t>
  </si>
  <si>
    <t>Boomerang, Talenta</t>
  </si>
  <si>
    <t>Boomerang, Three-bladed Razor</t>
  </si>
  <si>
    <t>Boomerang, Xen'drik</t>
  </si>
  <si>
    <t>B/P</t>
  </si>
  <si>
    <t>Bow, Bone</t>
  </si>
  <si>
    <t>Bow, Yuan-ti Serpent</t>
  </si>
  <si>
    <t>Bracer, Claw</t>
  </si>
  <si>
    <t>Buckler-axe, Dwarven</t>
  </si>
  <si>
    <t>Catspaw</t>
  </si>
  <si>
    <t>Cat-o-nine-tails</t>
  </si>
  <si>
    <t>Calculus, Gnome</t>
  </si>
  <si>
    <t>Cestus, Ward</t>
  </si>
  <si>
    <t>Chain, Drow Scorpion</t>
  </si>
  <si>
    <t>Chain, Spiked</t>
  </si>
  <si>
    <t>Chain-and-dagger</t>
  </si>
  <si>
    <t>Chakram</t>
  </si>
  <si>
    <t>Chatkcha</t>
  </si>
  <si>
    <t>Chijiriki</t>
  </si>
  <si>
    <t>P/B</t>
  </si>
  <si>
    <t>Claw, Eagle's</t>
  </si>
  <si>
    <t>Claw, Panther</t>
  </si>
  <si>
    <t>P/S</t>
  </si>
  <si>
    <t>Claws, Scorpion</t>
  </si>
  <si>
    <t>Claws, Tiger</t>
  </si>
  <si>
    <t>Club</t>
  </si>
  <si>
    <t>Club, Tigerskull</t>
  </si>
  <si>
    <t>B&amp;P</t>
  </si>
  <si>
    <t>Courtblade, Elven</t>
  </si>
  <si>
    <t>Crossbow, Aquatic</t>
  </si>
  <si>
    <t>Crossbow, Great</t>
  </si>
  <si>
    <t>Crossbow, Hand</t>
  </si>
  <si>
    <t>Crossbow, Heavy</t>
  </si>
  <si>
    <t>Crossbow, Light</t>
  </si>
  <si>
    <t>Crossbow, Repeating Heavy</t>
  </si>
  <si>
    <t>Crossbow, Repeating Light</t>
  </si>
  <si>
    <t>Crossbow, Staking</t>
  </si>
  <si>
    <t>Cutlass</t>
  </si>
  <si>
    <t>Dagger</t>
  </si>
  <si>
    <t>Dagger, Barbed</t>
  </si>
  <si>
    <t>Dagger, Punching</t>
  </si>
  <si>
    <t>Dagger, Ribbon</t>
  </si>
  <si>
    <t>Dagger, Triple</t>
  </si>
  <si>
    <t>Dart</t>
  </si>
  <si>
    <t>Dart thruster</t>
  </si>
  <si>
    <t>Double Bow, Elven</t>
  </si>
  <si>
    <t>Dragonsplit</t>
  </si>
  <si>
    <t>Dragon Pack</t>
  </si>
  <si>
    <t>Drow long knife</t>
  </si>
  <si>
    <t>Drow Scorpion Chain</t>
  </si>
  <si>
    <t>Duom</t>
  </si>
  <si>
    <t>Etherblade</t>
  </si>
  <si>
    <t>Falchion</t>
  </si>
  <si>
    <t>Falchion, Great</t>
  </si>
  <si>
    <t>Fan, Collapsing Crescent</t>
  </si>
  <si>
    <t>Fan, War</t>
  </si>
  <si>
    <t>Fingerblade</t>
  </si>
  <si>
    <t>Flail</t>
  </si>
  <si>
    <t>Flail, Dire</t>
  </si>
  <si>
    <t>Flail, Heavy</t>
  </si>
  <si>
    <t>Flindbar</t>
  </si>
  <si>
    <t>Flutter blade</t>
  </si>
  <si>
    <t>Foot spike</t>
  </si>
  <si>
    <t>Footbow</t>
  </si>
  <si>
    <t>Fukimi-Bari</t>
  </si>
  <si>
    <t>Fullblade</t>
  </si>
  <si>
    <t>Gauntlet</t>
  </si>
  <si>
    <t>U</t>
  </si>
  <si>
    <t>Gauntlet, Bladed</t>
  </si>
  <si>
    <t>Gauntlet, Scorpion Claw</t>
  </si>
  <si>
    <t>Gauntlet, Spiked</t>
  </si>
  <si>
    <t>Gauntlet, Spring-Loaded</t>
  </si>
  <si>
    <t>Glaive</t>
  </si>
  <si>
    <t>Glot</t>
  </si>
  <si>
    <t>Goad</t>
  </si>
  <si>
    <t>Greataxe</t>
  </si>
  <si>
    <t>Greatbow</t>
  </si>
  <si>
    <t>Greatbow, Composite</t>
  </si>
  <si>
    <t>Greatclub</t>
  </si>
  <si>
    <t>Greathammer, Goliath</t>
  </si>
  <si>
    <t>Greatspear</t>
  </si>
  <si>
    <t>Greatsword</t>
  </si>
  <si>
    <t>Greatsword, Mercurial</t>
  </si>
  <si>
    <t>Guisarme</t>
  </si>
  <si>
    <t>Gyrspike</t>
  </si>
  <si>
    <t>B/S</t>
  </si>
  <si>
    <t>Gythka</t>
  </si>
  <si>
    <t>Halberd</t>
  </si>
  <si>
    <t>Hammer, Double</t>
  </si>
  <si>
    <t>Hammer, Gnome Hooked</t>
  </si>
  <si>
    <t>Hammer, Light</t>
  </si>
  <si>
    <t>Hammer, Lucerne</t>
  </si>
  <si>
    <t>Hammer, Throwing</t>
  </si>
  <si>
    <t>Handaxe</t>
  </si>
  <si>
    <t>Harpoon</t>
  </si>
  <si>
    <t>Icechucker</t>
  </si>
  <si>
    <t>Iron, Throwing</t>
  </si>
  <si>
    <t>Iuak</t>
  </si>
  <si>
    <t>Javelin</t>
  </si>
  <si>
    <t>Javelin, Spinning</t>
  </si>
  <si>
    <t>Jitte</t>
  </si>
  <si>
    <t>Jovar</t>
  </si>
  <si>
    <t>Kama</t>
  </si>
  <si>
    <t>Katana</t>
  </si>
  <si>
    <t>Kau Sin Ke</t>
  </si>
  <si>
    <t>Kawanaga</t>
  </si>
  <si>
    <t>S/B</t>
  </si>
  <si>
    <t>Khopesh</t>
  </si>
  <si>
    <t>Khopesh, Double</t>
  </si>
  <si>
    <t>Knife, Drow Long</t>
  </si>
  <si>
    <t>Knife, Stump</t>
  </si>
  <si>
    <t>Kukri</t>
  </si>
  <si>
    <t>Kusari-Gama</t>
  </si>
  <si>
    <t>F</t>
  </si>
  <si>
    <t>Kylie</t>
  </si>
  <si>
    <t>Lajatang</t>
  </si>
  <si>
    <t>Lance</t>
  </si>
  <si>
    <t>Lancet, Gehennan</t>
  </si>
  <si>
    <t>Lightblade, Elven</t>
  </si>
  <si>
    <t>Longaxe</t>
  </si>
  <si>
    <t>Longbow</t>
  </si>
  <si>
    <t>Longbow, Aquatic</t>
  </si>
  <si>
    <t>Longbow, Composite</t>
  </si>
  <si>
    <t>Longspear</t>
  </si>
  <si>
    <t>Longstaff</t>
  </si>
  <si>
    <t>Longsword</t>
  </si>
  <si>
    <t>Longsword, Mercurial</t>
  </si>
  <si>
    <t>Lynxpaw</t>
  </si>
  <si>
    <t>Mace, Double</t>
  </si>
  <si>
    <t>Mace, Heavy</t>
  </si>
  <si>
    <t>Mace, Light</t>
  </si>
  <si>
    <t>Mancatcher</t>
  </si>
  <si>
    <t>Manriki-gusari</t>
  </si>
  <si>
    <t>Manople</t>
  </si>
  <si>
    <t>Manti</t>
  </si>
  <si>
    <t>Maquahuitl</t>
  </si>
  <si>
    <t>Maul</t>
  </si>
  <si>
    <t>X</t>
  </si>
  <si>
    <t>Mind Arrow</t>
  </si>
  <si>
    <t>Mind Blade</t>
  </si>
  <si>
    <t>Morningstar</t>
  </si>
  <si>
    <t>Musket</t>
  </si>
  <si>
    <t>Muspelrule</t>
  </si>
  <si>
    <t>Nagamaki</t>
  </si>
  <si>
    <t>Naginata</t>
  </si>
  <si>
    <t>Net</t>
  </si>
  <si>
    <t>-</t>
  </si>
  <si>
    <t>Nekode</t>
  </si>
  <si>
    <t>Ninja-to</t>
  </si>
  <si>
    <t>Notbora</t>
  </si>
  <si>
    <t>Nunchaku</t>
  </si>
  <si>
    <t>Petard, doorbreaker</t>
  </si>
  <si>
    <t>Petard, triggered</t>
  </si>
  <si>
    <t>Pick, Dire</t>
  </si>
  <si>
    <t>Pick, Heavy</t>
  </si>
  <si>
    <t>Pick, Light</t>
  </si>
  <si>
    <t>Pincer Staff</t>
  </si>
  <si>
    <t>Pistol</t>
  </si>
  <si>
    <t>Poker</t>
  </si>
  <si>
    <t>Poleaxe, Heavy</t>
  </si>
  <si>
    <t>Quarterstaff</t>
  </si>
  <si>
    <t>Quickrazor, Gnome</t>
  </si>
  <si>
    <t>Ramhammer</t>
  </si>
  <si>
    <t>Ranseur</t>
  </si>
  <si>
    <t>Rapier</t>
  </si>
  <si>
    <t>Rapier, Parthian</t>
  </si>
  <si>
    <t>Rapier, Quickblade</t>
  </si>
  <si>
    <t>Razored armor</t>
  </si>
  <si>
    <t>Razored shield, light</t>
  </si>
  <si>
    <t>Razored shield, heavy</t>
  </si>
  <si>
    <t>Ribbonweave</t>
  </si>
  <si>
    <t>Ripper</t>
  </si>
  <si>
    <t>Ritiik</t>
  </si>
  <si>
    <t>Sai</t>
  </si>
  <si>
    <t>Sandblaster</t>
  </si>
  <si>
    <t>Sand Pipe</t>
  </si>
  <si>
    <t>Sap</t>
  </si>
  <si>
    <t>Scimitar</t>
  </si>
  <si>
    <t>Scimitar, Double</t>
  </si>
  <si>
    <t>Scimitar, Great</t>
  </si>
  <si>
    <t>Scimitar, Valenar double</t>
  </si>
  <si>
    <t>Scourge</t>
  </si>
  <si>
    <t>Scythe</t>
  </si>
  <si>
    <t>Scythe, Crescent</t>
  </si>
  <si>
    <t>Sharrash, Talenta</t>
  </si>
  <si>
    <t>Shield, Heavy</t>
  </si>
  <si>
    <t>Shield, Light</t>
  </si>
  <si>
    <t>Shikomi-Zue</t>
  </si>
  <si>
    <t>Shortbow</t>
  </si>
  <si>
    <t>Shortbow, Composite</t>
  </si>
  <si>
    <t>Shortspear</t>
  </si>
  <si>
    <t>Shotput, Orc</t>
  </si>
  <si>
    <t>Shuriken</t>
  </si>
  <si>
    <t>U,T</t>
  </si>
  <si>
    <t>Siangham</t>
  </si>
  <si>
    <t>Sickle</t>
  </si>
  <si>
    <t>Sickle, Heavy</t>
  </si>
  <si>
    <t>Skipdisk, Razor</t>
  </si>
  <si>
    <t>Skiprock</t>
  </si>
  <si>
    <t>Sling</t>
  </si>
  <si>
    <t>Sling, War</t>
  </si>
  <si>
    <t>Smokebomb</t>
  </si>
  <si>
    <t>Spear</t>
  </si>
  <si>
    <t>Spear, Dwarven double</t>
  </si>
  <si>
    <t>Spear Spikard</t>
  </si>
  <si>
    <t>Spearthrower</t>
  </si>
  <si>
    <t>Spiked Armor</t>
  </si>
  <si>
    <t>Spiked Shield, Heavy</t>
  </si>
  <si>
    <t>Spiked Shield, Light</t>
  </si>
  <si>
    <t>Stabaxe</t>
  </si>
  <si>
    <t>Staff, Harpoon</t>
  </si>
  <si>
    <t>Staff, Three-section</t>
  </si>
  <si>
    <t>Straightblade</t>
  </si>
  <si>
    <t>Straight Razor</t>
  </si>
  <si>
    <t>Steel Fins</t>
  </si>
  <si>
    <t>Sugliin</t>
  </si>
  <si>
    <t>Sword, Bastard</t>
  </si>
  <si>
    <t>Sword, Butterfly</t>
  </si>
  <si>
    <t>Sword, Short</t>
  </si>
  <si>
    <t>Sword, Short Broadblade</t>
  </si>
  <si>
    <t>Sword, Two-bladed</t>
  </si>
  <si>
    <t>Sword Cane, Dagger</t>
  </si>
  <si>
    <t>Sword Cane, Rapier</t>
  </si>
  <si>
    <t>Swordcatcher, Gnome</t>
  </si>
  <si>
    <t>Tangat, Talenta</t>
  </si>
  <si>
    <t>Thinblade, Elven</t>
  </si>
  <si>
    <t>Thrombash</t>
  </si>
  <si>
    <t>Throwing-knife, Desert</t>
  </si>
  <si>
    <t>Tonfa</t>
  </si>
  <si>
    <t>Tortoise blade, Gnome</t>
  </si>
  <si>
    <t>Trident</t>
  </si>
  <si>
    <t>Unarmed Strike</t>
  </si>
  <si>
    <t>Urgrosh, Dwarven</t>
  </si>
  <si>
    <t>Wakizashi</t>
  </si>
  <si>
    <t>War Spikard</t>
  </si>
  <si>
    <t>Waraxe, Dwarven</t>
  </si>
  <si>
    <t>Warhammer</t>
  </si>
  <si>
    <t>Warmace</t>
  </si>
  <si>
    <t>Warpike, Dwarven</t>
  </si>
  <si>
    <t>Whip</t>
  </si>
  <si>
    <t>M,F</t>
  </si>
  <si>
    <t>Whip, Scorpion-tail</t>
  </si>
  <si>
    <t>Whip, Stingray</t>
  </si>
  <si>
    <t>Whip-dagger</t>
  </si>
  <si>
    <t>Grapple</t>
  </si>
  <si>
    <t>Touch</t>
  </si>
  <si>
    <t>Ray</t>
  </si>
  <si>
    <t>Energy Missile</t>
  </si>
  <si>
    <t>Spellfire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</si>
</sst>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tont/Dropbox/GitHub/HeroForge-Anew/HeroForge%20Anew%203.5%20v7.4.0.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Sheet"/>
      <sheetName val="Custom Race"/>
      <sheetName val="Custom Template"/>
      <sheetName val="Custom Class"/>
      <sheetName val="Custom Familiar"/>
      <sheetName val="Options"/>
      <sheetName val="Sources"/>
      <sheetName val="Option Info"/>
      <sheetName val="Stats &amp; Character Details"/>
      <sheetName val="Interfaces"/>
      <sheetName val="Creature Info"/>
      <sheetName val="Race Info"/>
      <sheetName val="Racial Abilities"/>
      <sheetName val="Race &amp; Templates"/>
      <sheetName val="Template Info"/>
      <sheetName val="Classes"/>
      <sheetName val="Class Info"/>
      <sheetName val="Variants"/>
      <sheetName val="Domain Select"/>
      <sheetName val="Prestige Classes I"/>
      <sheetName val="Prestige Classes II"/>
      <sheetName val="Prestige Classes III"/>
      <sheetName val="Binder Vestiges"/>
      <sheetName val="Marshal Auras"/>
      <sheetName val="Soulmelds"/>
      <sheetName val="SoulmeldsInfo"/>
      <sheetName val="SoulmeldAbilities"/>
      <sheetName val="Incarnum Abilities"/>
      <sheetName val="Skills"/>
      <sheetName val="Skill Tricks"/>
      <sheetName val="Languages"/>
      <sheetName val="Grafts"/>
      <sheetName val="Traits"/>
      <sheetName val="Flaws"/>
      <sheetName val="Maneuvers &amp; Stances"/>
      <sheetName val="Feats"/>
      <sheetName val="Armor"/>
      <sheetName val="Attacks"/>
      <sheetName val="Enhancements"/>
      <sheetName val="Magic Equipment"/>
      <sheetName val="Buffs"/>
      <sheetName val="Character Sheet I"/>
      <sheetName val="Character Sheet II"/>
      <sheetName val="Character Sheet III"/>
      <sheetName val="Familiar"/>
      <sheetName val="Character Sheet IV"/>
      <sheetName val="Character Sheet V"/>
      <sheetName val="Animal Companion"/>
      <sheetName val="CS Calc."/>
      <sheetName val="Class Abilities"/>
      <sheetName val="Class Weapons &amp; Armor"/>
      <sheetName val="Graft Abilities"/>
      <sheetName val="Deities"/>
      <sheetName val="Domains"/>
      <sheetName val="Spell Info"/>
      <sheetName val="Spells per Day"/>
      <sheetName val="Spells Known"/>
      <sheetName val="Psionic Info"/>
      <sheetName val="Initiative Card"/>
      <sheetName val="Table Tent"/>
      <sheetName val="Game Log"/>
      <sheetName val="LG Game Log"/>
      <sheetName val="LG Item Access Tracking"/>
      <sheetName val="LG MIL"/>
      <sheetName val="Tables"/>
    </sheetNames>
    <sheetDataSet>
      <sheetData sheetId="0">
        <row r="12">
          <cell r="AA12">
            <v>1</v>
          </cell>
        </row>
        <row r="18">
          <cell r="BV18" t="str">
            <v>Ardent</v>
          </cell>
        </row>
        <row r="19">
          <cell r="T19">
            <v>1</v>
          </cell>
        </row>
        <row r="24">
          <cell r="AA24">
            <v>1</v>
          </cell>
        </row>
        <row r="25">
          <cell r="AA25">
            <v>1</v>
          </cell>
        </row>
        <row r="26">
          <cell r="AA26">
            <v>1</v>
          </cell>
        </row>
        <row r="27">
          <cell r="AA27">
            <v>1</v>
          </cell>
        </row>
        <row r="28">
          <cell r="AA28">
            <v>1</v>
          </cell>
        </row>
        <row r="29">
          <cell r="AA29">
            <v>1</v>
          </cell>
        </row>
        <row r="30">
          <cell r="AA30">
            <v>1</v>
          </cell>
        </row>
        <row r="31">
          <cell r="AA31">
            <v>1</v>
          </cell>
        </row>
        <row r="32">
          <cell r="AA32">
            <v>1</v>
          </cell>
        </row>
        <row r="33">
          <cell r="AA33">
            <v>1</v>
          </cell>
        </row>
        <row r="44">
          <cell r="AB44">
            <v>1</v>
          </cell>
        </row>
        <row r="50">
          <cell r="M50">
            <v>1</v>
          </cell>
        </row>
        <row r="60">
          <cell r="AE60">
            <v>1</v>
          </cell>
        </row>
        <row r="61">
          <cell r="AE61">
            <v>1</v>
          </cell>
          <cell r="AJ61">
            <v>1</v>
          </cell>
        </row>
        <row r="62">
          <cell r="AE62">
            <v>1</v>
          </cell>
        </row>
        <row r="63">
          <cell r="AE63">
            <v>1</v>
          </cell>
        </row>
        <row r="64">
          <cell r="AE64">
            <v>1</v>
          </cell>
        </row>
        <row r="183">
          <cell r="BU183" t="b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B9" t="str">
            <v>Dwarf</v>
          </cell>
        </row>
        <row r="11">
          <cell r="B11" t="str">
            <v>Hill</v>
          </cell>
        </row>
        <row r="12">
          <cell r="B12" t="str">
            <v>Dwarf, Hill</v>
          </cell>
        </row>
        <row r="78">
          <cell r="B78" t="str">
            <v>dwarf</v>
          </cell>
        </row>
      </sheetData>
      <sheetData sheetId="12"/>
      <sheetData sheetId="13">
        <row r="4">
          <cell r="AG4" t="str">
            <v/>
          </cell>
        </row>
      </sheetData>
      <sheetData sheetId="14"/>
      <sheetData sheetId="15"/>
      <sheetData sheetId="16">
        <row r="6">
          <cell r="E6">
            <v>1</v>
          </cell>
        </row>
        <row r="8">
          <cell r="E8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5">
          <cell r="E15">
            <v>0</v>
          </cell>
        </row>
        <row r="16">
          <cell r="EJ16" t="b">
            <v>1</v>
          </cell>
        </row>
        <row r="17">
          <cell r="E17">
            <v>0</v>
          </cell>
          <cell r="EJ17" t="b">
            <v>0</v>
          </cell>
        </row>
        <row r="23">
          <cell r="E23">
            <v>0</v>
          </cell>
        </row>
        <row r="27">
          <cell r="E27">
            <v>0</v>
          </cell>
        </row>
        <row r="28">
          <cell r="E28">
            <v>0</v>
          </cell>
        </row>
        <row r="34">
          <cell r="E34">
            <v>0</v>
          </cell>
        </row>
        <row r="35">
          <cell r="E35">
            <v>0</v>
          </cell>
        </row>
        <row r="51">
          <cell r="E51">
            <v>0</v>
          </cell>
        </row>
        <row r="62">
          <cell r="E62">
            <v>0</v>
          </cell>
        </row>
        <row r="64">
          <cell r="E64">
            <v>0</v>
          </cell>
        </row>
        <row r="68">
          <cell r="E68">
            <v>0</v>
          </cell>
        </row>
        <row r="71">
          <cell r="E71">
            <v>0</v>
          </cell>
        </row>
        <row r="92">
          <cell r="E92">
            <v>0</v>
          </cell>
        </row>
        <row r="97">
          <cell r="E97">
            <v>0</v>
          </cell>
        </row>
        <row r="101">
          <cell r="E101">
            <v>0</v>
          </cell>
        </row>
        <row r="109">
          <cell r="E109">
            <v>0</v>
          </cell>
        </row>
        <row r="128">
          <cell r="E128">
            <v>0</v>
          </cell>
        </row>
        <row r="155">
          <cell r="E155">
            <v>0</v>
          </cell>
        </row>
        <row r="177">
          <cell r="E177">
            <v>0</v>
          </cell>
        </row>
        <row r="192">
          <cell r="E192">
            <v>0</v>
          </cell>
        </row>
        <row r="245">
          <cell r="E245">
            <v>0</v>
          </cell>
        </row>
        <row r="275">
          <cell r="E275">
            <v>0</v>
          </cell>
        </row>
        <row r="314">
          <cell r="E314">
            <v>0</v>
          </cell>
        </row>
        <row r="326">
          <cell r="E326">
            <v>0</v>
          </cell>
        </row>
        <row r="333">
          <cell r="E333">
            <v>0</v>
          </cell>
        </row>
        <row r="335">
          <cell r="E335">
            <v>0</v>
          </cell>
        </row>
        <row r="369">
          <cell r="E369">
            <v>0</v>
          </cell>
        </row>
        <row r="380">
          <cell r="E380">
            <v>0</v>
          </cell>
        </row>
        <row r="410">
          <cell r="E410">
            <v>0</v>
          </cell>
        </row>
        <row r="420">
          <cell r="E420">
            <v>0</v>
          </cell>
        </row>
        <row r="439">
          <cell r="E439">
            <v>0</v>
          </cell>
        </row>
        <row r="442">
          <cell r="E442">
            <v>0</v>
          </cell>
        </row>
        <row r="443">
          <cell r="E443">
            <v>0</v>
          </cell>
        </row>
        <row r="444">
          <cell r="E444">
            <v>0</v>
          </cell>
        </row>
        <row r="505">
          <cell r="E505">
            <v>0</v>
          </cell>
        </row>
        <row r="529">
          <cell r="E529">
            <v>0</v>
          </cell>
        </row>
        <row r="546">
          <cell r="E546">
            <v>0</v>
          </cell>
        </row>
        <row r="560">
          <cell r="E560">
            <v>0</v>
          </cell>
        </row>
        <row r="561">
          <cell r="E561">
            <v>0</v>
          </cell>
        </row>
        <row r="580">
          <cell r="E580">
            <v>0</v>
          </cell>
        </row>
        <row r="607">
          <cell r="E607">
            <v>0</v>
          </cell>
        </row>
        <row r="619">
          <cell r="E619">
            <v>0</v>
          </cell>
        </row>
        <row r="621">
          <cell r="E621">
            <v>0</v>
          </cell>
        </row>
        <row r="623">
          <cell r="E623">
            <v>0</v>
          </cell>
        </row>
        <row r="630">
          <cell r="E630">
            <v>0</v>
          </cell>
        </row>
        <row r="643">
          <cell r="E643">
            <v>0</v>
          </cell>
        </row>
        <row r="656">
          <cell r="E656">
            <v>0</v>
          </cell>
        </row>
        <row r="715">
          <cell r="E715">
            <v>0</v>
          </cell>
        </row>
        <row r="736">
          <cell r="E736">
            <v>0</v>
          </cell>
        </row>
        <row r="756">
          <cell r="E75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54">
          <cell r="AR54" t="b">
            <v>0</v>
          </cell>
        </row>
        <row r="62">
          <cell r="AO62" t="str">
            <v/>
          </cell>
        </row>
        <row r="63">
          <cell r="AO63" t="str">
            <v/>
          </cell>
        </row>
        <row r="64">
          <cell r="AO64" t="str">
            <v/>
          </cell>
        </row>
        <row r="65">
          <cell r="AO65" t="str">
            <v/>
          </cell>
        </row>
        <row r="66">
          <cell r="AO66" t="str">
            <v/>
          </cell>
        </row>
        <row r="67">
          <cell r="AO67" t="str">
            <v/>
          </cell>
        </row>
        <row r="643">
          <cell r="AR643" t="b">
            <v>0</v>
          </cell>
        </row>
        <row r="644">
          <cell r="AR644" t="b">
            <v>0</v>
          </cell>
        </row>
        <row r="646">
          <cell r="AR646" t="b">
            <v>0</v>
          </cell>
        </row>
        <row r="968">
          <cell r="AR968" t="b">
            <v>0</v>
          </cell>
        </row>
        <row r="1156">
          <cell r="AR1156" t="b">
            <v>0</v>
          </cell>
        </row>
        <row r="1548">
          <cell r="AR1548" t="b">
            <v>0</v>
          </cell>
        </row>
        <row r="1578">
          <cell r="AR1578" t="b">
            <v>0</v>
          </cell>
        </row>
        <row r="2121">
          <cell r="AR2121" t="b">
            <v>0</v>
          </cell>
        </row>
        <row r="2456">
          <cell r="AR2456" t="b">
            <v>0</v>
          </cell>
        </row>
        <row r="2490">
          <cell r="AR2490" t="b">
            <v>0</v>
          </cell>
        </row>
        <row r="2499">
          <cell r="AR2499" t="b">
            <v>0</v>
          </cell>
        </row>
        <row r="2537">
          <cell r="AR2537" t="b">
            <v>0</v>
          </cell>
        </row>
        <row r="2541">
          <cell r="AR2541" t="b">
            <v>0</v>
          </cell>
        </row>
        <row r="2555">
          <cell r="AR2555" t="b">
            <v>0</v>
          </cell>
        </row>
        <row r="2619">
          <cell r="AR2619" t="b">
            <v>0</v>
          </cell>
        </row>
        <row r="2754">
          <cell r="AR2754" t="b">
            <v>0</v>
          </cell>
        </row>
      </sheetData>
      <sheetData sheetId="36">
        <row r="1">
          <cell r="Q1">
            <v>0</v>
          </cell>
        </row>
        <row r="62">
          <cell r="Q62">
            <v>0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4538">
          <cell r="E4538">
            <v>0</v>
          </cell>
        </row>
      </sheetData>
      <sheetData sheetId="50"/>
      <sheetData sheetId="51"/>
      <sheetData sheetId="52"/>
      <sheetData sheetId="53"/>
      <sheetData sheetId="54"/>
      <sheetData sheetId="55"/>
      <sheetData sheetId="56"/>
      <sheetData sheetId="57">
        <row r="4">
          <cell r="A4" t="str">
            <v>Ardent</v>
          </cell>
          <cell r="B4">
            <v>1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8</v>
          </cell>
          <cell r="H4">
            <v>-1</v>
          </cell>
          <cell r="I4" t="str">
            <v>Ardt</v>
          </cell>
          <cell r="J4">
            <v>0</v>
          </cell>
        </row>
        <row r="5">
          <cell r="A5" t="str">
            <v>Divine Mind</v>
          </cell>
          <cell r="B5">
            <v>2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8</v>
          </cell>
          <cell r="H5">
            <v>-1</v>
          </cell>
          <cell r="I5" t="str">
            <v>DvMd</v>
          </cell>
          <cell r="J5">
            <v>0</v>
          </cell>
        </row>
        <row r="6">
          <cell r="A6" t="str">
            <v>Fist of Zuoken</v>
          </cell>
          <cell r="B6">
            <v>3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8</v>
          </cell>
          <cell r="H6">
            <v>-1</v>
          </cell>
          <cell r="I6" t="str">
            <v>FoZ</v>
          </cell>
          <cell r="J6">
            <v>0</v>
          </cell>
        </row>
        <row r="7">
          <cell r="A7" t="str">
            <v>Lurk</v>
          </cell>
          <cell r="B7">
            <v>4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8</v>
          </cell>
          <cell r="H7">
            <v>-1</v>
          </cell>
          <cell r="I7" t="str">
            <v>Lrk</v>
          </cell>
          <cell r="J7">
            <v>0</v>
          </cell>
        </row>
        <row r="8">
          <cell r="A8" t="str">
            <v>Psion</v>
          </cell>
          <cell r="B8">
            <v>5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8</v>
          </cell>
          <cell r="H8">
            <v>-1</v>
          </cell>
          <cell r="I8" t="str">
            <v>Psi</v>
          </cell>
          <cell r="J8">
            <v>0</v>
          </cell>
        </row>
        <row r="9">
          <cell r="A9" t="str">
            <v>Psychic Warrior</v>
          </cell>
          <cell r="B9">
            <v>6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8</v>
          </cell>
          <cell r="H9">
            <v>-1</v>
          </cell>
          <cell r="I9" t="str">
            <v>Psw</v>
          </cell>
          <cell r="J9">
            <v>0</v>
          </cell>
        </row>
        <row r="10">
          <cell r="A10" t="str">
            <v>War Mind</v>
          </cell>
          <cell r="B10">
            <v>7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8</v>
          </cell>
          <cell r="H10">
            <v>-1</v>
          </cell>
          <cell r="I10" t="str">
            <v>Wmd</v>
          </cell>
          <cell r="J10">
            <v>0</v>
          </cell>
        </row>
        <row r="11">
          <cell r="A11" t="str">
            <v>Wilder</v>
          </cell>
          <cell r="B11">
            <v>8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6</v>
          </cell>
          <cell r="H11">
            <v>-2</v>
          </cell>
          <cell r="I11" t="str">
            <v>Wld</v>
          </cell>
          <cell r="J11">
            <v>0</v>
          </cell>
        </row>
        <row r="12">
          <cell r="A12" t="str">
            <v>Zerth Cenobite</v>
          </cell>
          <cell r="B12">
            <v>9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8</v>
          </cell>
          <cell r="H12">
            <v>-1</v>
          </cell>
          <cell r="I12" t="str">
            <v>ZtCb</v>
          </cell>
          <cell r="J12">
            <v>0</v>
          </cell>
        </row>
      </sheetData>
      <sheetData sheetId="58"/>
      <sheetData sheetId="59"/>
      <sheetData sheetId="60"/>
      <sheetData sheetId="61"/>
      <sheetData sheetId="62"/>
      <sheetData sheetId="63"/>
      <sheetData sheetId="64">
        <row r="33">
          <cell r="B33" t="str">
            <v/>
          </cell>
        </row>
        <row r="34">
          <cell r="B34" t="str">
            <v/>
          </cell>
        </row>
        <row r="35">
          <cell r="B35" t="str">
            <v/>
          </cell>
        </row>
        <row r="36">
          <cell r="B36" t="str">
            <v/>
          </cell>
        </row>
        <row r="184">
          <cell r="Q184">
            <v>0</v>
          </cell>
          <cell r="R184">
            <v>3</v>
          </cell>
          <cell r="S184">
            <v>3</v>
          </cell>
        </row>
        <row r="185">
          <cell r="Q185">
            <v>1</v>
          </cell>
          <cell r="R185">
            <v>5</v>
          </cell>
          <cell r="S185">
            <v>5</v>
          </cell>
        </row>
        <row r="186">
          <cell r="Q186">
            <v>2</v>
          </cell>
          <cell r="R186">
            <v>5</v>
          </cell>
          <cell r="S186">
            <v>5</v>
          </cell>
        </row>
        <row r="187">
          <cell r="Q187">
            <v>3</v>
          </cell>
          <cell r="R187">
            <v>5</v>
          </cell>
          <cell r="S187">
            <v>5</v>
          </cell>
        </row>
        <row r="188">
          <cell r="Q188">
            <v>4</v>
          </cell>
          <cell r="R188">
            <v>6</v>
          </cell>
          <cell r="S188">
            <v>5</v>
          </cell>
        </row>
        <row r="189">
          <cell r="Q189">
            <v>5</v>
          </cell>
          <cell r="R189">
            <v>6</v>
          </cell>
          <cell r="S189">
            <v>6</v>
          </cell>
        </row>
        <row r="190">
          <cell r="Q190">
            <v>6</v>
          </cell>
          <cell r="R190">
            <v>6</v>
          </cell>
          <cell r="S190">
            <v>6</v>
          </cell>
        </row>
        <row r="191">
          <cell r="Q191">
            <v>7</v>
          </cell>
          <cell r="R191">
            <v>6</v>
          </cell>
          <cell r="S191">
            <v>6</v>
          </cell>
        </row>
        <row r="192">
          <cell r="Q192">
            <v>8</v>
          </cell>
          <cell r="R192">
            <v>7</v>
          </cell>
          <cell r="S192">
            <v>7</v>
          </cell>
        </row>
        <row r="193">
          <cell r="Q193">
            <v>9</v>
          </cell>
          <cell r="R193">
            <v>7</v>
          </cell>
          <cell r="S193">
            <v>7</v>
          </cell>
        </row>
        <row r="194">
          <cell r="Q194">
            <v>10</v>
          </cell>
          <cell r="R194">
            <v>7</v>
          </cell>
          <cell r="S194">
            <v>8</v>
          </cell>
        </row>
        <row r="195">
          <cell r="Q195">
            <v>11</v>
          </cell>
          <cell r="R195">
            <v>7</v>
          </cell>
          <cell r="S195">
            <v>8</v>
          </cell>
        </row>
        <row r="196">
          <cell r="Q196">
            <v>12</v>
          </cell>
          <cell r="R196">
            <v>10</v>
          </cell>
          <cell r="S196">
            <v>8</v>
          </cell>
        </row>
        <row r="197">
          <cell r="Q197">
            <v>13</v>
          </cell>
          <cell r="R197">
            <v>10</v>
          </cell>
          <cell r="S197">
            <v>8</v>
          </cell>
        </row>
        <row r="198">
          <cell r="Q198">
            <v>14</v>
          </cell>
          <cell r="R198">
            <v>10</v>
          </cell>
          <cell r="S198">
            <v>8</v>
          </cell>
        </row>
        <row r="199">
          <cell r="Q199">
            <v>15</v>
          </cell>
          <cell r="R199">
            <v>10</v>
          </cell>
          <cell r="S199">
            <v>8</v>
          </cell>
        </row>
        <row r="200">
          <cell r="Q200">
            <v>16</v>
          </cell>
          <cell r="R200">
            <v>11</v>
          </cell>
          <cell r="S200">
            <v>8</v>
          </cell>
        </row>
        <row r="201">
          <cell r="Q201">
            <v>17</v>
          </cell>
          <cell r="R201">
            <v>11</v>
          </cell>
          <cell r="S201">
            <v>8</v>
          </cell>
        </row>
        <row r="202">
          <cell r="Q202">
            <v>18</v>
          </cell>
          <cell r="R202">
            <v>11</v>
          </cell>
          <cell r="S202">
            <v>8</v>
          </cell>
        </row>
        <row r="203">
          <cell r="Q203">
            <v>19</v>
          </cell>
          <cell r="R203">
            <v>11</v>
          </cell>
          <cell r="S203">
            <v>8</v>
          </cell>
        </row>
        <row r="204">
          <cell r="Q204">
            <v>20</v>
          </cell>
          <cell r="R204">
            <v>12</v>
          </cell>
          <cell r="S204">
            <v>8</v>
          </cell>
        </row>
        <row r="205">
          <cell r="Q205">
            <v>21</v>
          </cell>
          <cell r="R205">
            <v>12</v>
          </cell>
          <cell r="S205">
            <v>8</v>
          </cell>
        </row>
        <row r="206">
          <cell r="Q206">
            <v>22</v>
          </cell>
          <cell r="R206">
            <v>12</v>
          </cell>
          <cell r="S206">
            <v>8</v>
          </cell>
        </row>
        <row r="207">
          <cell r="Q207">
            <v>23</v>
          </cell>
          <cell r="R207">
            <v>12</v>
          </cell>
          <cell r="S207">
            <v>8</v>
          </cell>
        </row>
        <row r="208">
          <cell r="Q208">
            <v>24</v>
          </cell>
          <cell r="R208">
            <v>12</v>
          </cell>
          <cell r="S208">
            <v>8</v>
          </cell>
        </row>
        <row r="209">
          <cell r="Q209">
            <v>25</v>
          </cell>
          <cell r="R209">
            <v>12</v>
          </cell>
          <cell r="S209">
            <v>8</v>
          </cell>
        </row>
        <row r="210">
          <cell r="Q210">
            <v>26</v>
          </cell>
          <cell r="R210">
            <v>12</v>
          </cell>
          <cell r="S210">
            <v>8</v>
          </cell>
        </row>
        <row r="211">
          <cell r="Q211">
            <v>27</v>
          </cell>
          <cell r="R211">
            <v>12</v>
          </cell>
          <cell r="S211">
            <v>8</v>
          </cell>
        </row>
        <row r="212">
          <cell r="Q212">
            <v>28</v>
          </cell>
          <cell r="R212">
            <v>12</v>
          </cell>
          <cell r="S212">
            <v>8</v>
          </cell>
        </row>
        <row r="213">
          <cell r="Q213">
            <v>29</v>
          </cell>
          <cell r="R213">
            <v>12</v>
          </cell>
          <cell r="S213">
            <v>8</v>
          </cell>
        </row>
        <row r="214">
          <cell r="Q214">
            <v>30</v>
          </cell>
          <cell r="R214">
            <v>12</v>
          </cell>
          <cell r="S214">
            <v>8</v>
          </cell>
        </row>
        <row r="215">
          <cell r="Q215">
            <v>31</v>
          </cell>
          <cell r="R215">
            <v>12</v>
          </cell>
          <cell r="S215">
            <v>8</v>
          </cell>
        </row>
        <row r="216">
          <cell r="Q216">
            <v>32</v>
          </cell>
          <cell r="R216">
            <v>12</v>
          </cell>
          <cell r="S216">
            <v>8</v>
          </cell>
        </row>
        <row r="217">
          <cell r="Q217">
            <v>33</v>
          </cell>
          <cell r="R217">
            <v>12</v>
          </cell>
          <cell r="S217">
            <v>8</v>
          </cell>
        </row>
        <row r="218">
          <cell r="Q218">
            <v>34</v>
          </cell>
          <cell r="R218">
            <v>12</v>
          </cell>
          <cell r="S218">
            <v>8</v>
          </cell>
        </row>
        <row r="219">
          <cell r="Q219">
            <v>35</v>
          </cell>
          <cell r="R219">
            <v>12</v>
          </cell>
          <cell r="S219">
            <v>8</v>
          </cell>
        </row>
        <row r="220">
          <cell r="Q220">
            <v>36</v>
          </cell>
          <cell r="R220">
            <v>12</v>
          </cell>
          <cell r="S220">
            <v>8</v>
          </cell>
        </row>
        <row r="221">
          <cell r="Q221">
            <v>37</v>
          </cell>
          <cell r="R221">
            <v>12</v>
          </cell>
          <cell r="S221">
            <v>8</v>
          </cell>
        </row>
        <row r="222">
          <cell r="Q222">
            <v>38</v>
          </cell>
          <cell r="R222">
            <v>12</v>
          </cell>
          <cell r="S222">
            <v>8</v>
          </cell>
        </row>
        <row r="223">
          <cell r="Q223">
            <v>39</v>
          </cell>
          <cell r="R223">
            <v>12</v>
          </cell>
          <cell r="S223">
            <v>8</v>
          </cell>
        </row>
        <row r="224">
          <cell r="Q224">
            <v>40</v>
          </cell>
          <cell r="R224">
            <v>12</v>
          </cell>
          <cell r="S224">
            <v>8</v>
          </cell>
        </row>
        <row r="225">
          <cell r="Q225">
            <v>41</v>
          </cell>
          <cell r="R225">
            <v>12</v>
          </cell>
          <cell r="S225">
            <v>8</v>
          </cell>
        </row>
        <row r="226">
          <cell r="Q226">
            <v>42</v>
          </cell>
          <cell r="R226">
            <v>12</v>
          </cell>
          <cell r="S226">
            <v>8</v>
          </cell>
        </row>
        <row r="227">
          <cell r="Q227">
            <v>43</v>
          </cell>
          <cell r="R227">
            <v>12</v>
          </cell>
          <cell r="S227">
            <v>8</v>
          </cell>
        </row>
        <row r="228">
          <cell r="Q228">
            <v>44</v>
          </cell>
          <cell r="R228">
            <v>12</v>
          </cell>
          <cell r="S228">
            <v>8</v>
          </cell>
        </row>
        <row r="229">
          <cell r="Q229">
            <v>45</v>
          </cell>
          <cell r="R229">
            <v>12</v>
          </cell>
          <cell r="S229">
            <v>8</v>
          </cell>
        </row>
        <row r="230">
          <cell r="Q230">
            <v>46</v>
          </cell>
          <cell r="R230">
            <v>12</v>
          </cell>
          <cell r="S230">
            <v>8</v>
          </cell>
        </row>
        <row r="231">
          <cell r="Q231">
            <v>47</v>
          </cell>
          <cell r="R231">
            <v>12</v>
          </cell>
          <cell r="S231">
            <v>8</v>
          </cell>
        </row>
        <row r="232">
          <cell r="Q232">
            <v>48</v>
          </cell>
          <cell r="R232">
            <v>12</v>
          </cell>
          <cell r="S232">
            <v>8</v>
          </cell>
        </row>
        <row r="233">
          <cell r="Q233">
            <v>49</v>
          </cell>
          <cell r="R233">
            <v>12</v>
          </cell>
          <cell r="S233">
            <v>8</v>
          </cell>
        </row>
        <row r="234">
          <cell r="Q234">
            <v>50</v>
          </cell>
          <cell r="R234">
            <v>12</v>
          </cell>
          <cell r="S234">
            <v>8</v>
          </cell>
        </row>
        <row r="235">
          <cell r="Q235">
            <v>51</v>
          </cell>
          <cell r="R235">
            <v>12</v>
          </cell>
          <cell r="S235">
            <v>8</v>
          </cell>
        </row>
        <row r="236">
          <cell r="Q236">
            <v>52</v>
          </cell>
          <cell r="R236">
            <v>12</v>
          </cell>
          <cell r="S236">
            <v>8</v>
          </cell>
        </row>
        <row r="237">
          <cell r="Q237">
            <v>53</v>
          </cell>
          <cell r="R237">
            <v>12</v>
          </cell>
          <cell r="S237">
            <v>8</v>
          </cell>
        </row>
        <row r="238">
          <cell r="Q238">
            <v>54</v>
          </cell>
          <cell r="R238">
            <v>12</v>
          </cell>
          <cell r="S238">
            <v>8</v>
          </cell>
        </row>
        <row r="239">
          <cell r="Q239">
            <v>55</v>
          </cell>
          <cell r="R239">
            <v>12</v>
          </cell>
          <cell r="S239">
            <v>8</v>
          </cell>
        </row>
        <row r="240">
          <cell r="Q240">
            <v>56</v>
          </cell>
          <cell r="R240">
            <v>12</v>
          </cell>
          <cell r="S240">
            <v>8</v>
          </cell>
        </row>
        <row r="241">
          <cell r="Q241">
            <v>57</v>
          </cell>
          <cell r="R241">
            <v>12</v>
          </cell>
          <cell r="S241">
            <v>8</v>
          </cell>
        </row>
        <row r="242">
          <cell r="Q242">
            <v>58</v>
          </cell>
          <cell r="R242">
            <v>12</v>
          </cell>
          <cell r="S242">
            <v>8</v>
          </cell>
        </row>
        <row r="243">
          <cell r="Q243">
            <v>59</v>
          </cell>
          <cell r="R243">
            <v>12</v>
          </cell>
          <cell r="S243">
            <v>8</v>
          </cell>
        </row>
        <row r="244">
          <cell r="Q244">
            <v>60</v>
          </cell>
          <cell r="R244">
            <v>12</v>
          </cell>
          <cell r="S244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257"/>
  <sheetViews>
    <sheetView tabSelected="1" zoomScale="85" zoomScaleNormal="85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P18" sqref="P18"/>
    </sheetView>
  </sheetViews>
  <sheetFormatPr defaultRowHeight="15" x14ac:dyDescent="0.25"/>
  <cols>
    <col min="1" max="1" width="30.140625" bestFit="1" customWidth="1"/>
  </cols>
  <sheetData>
    <row r="1" spans="1:16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C2" t="s">
        <v>17</v>
      </c>
      <c r="D2" t="s">
        <v>18</v>
      </c>
      <c r="E2">
        <v>5</v>
      </c>
      <c r="G2">
        <v>19</v>
      </c>
      <c r="H2">
        <v>2</v>
      </c>
      <c r="K2">
        <v>2</v>
      </c>
      <c r="L2" t="s">
        <v>19</v>
      </c>
    </row>
    <row r="3" spans="1:16" x14ac:dyDescent="0.25">
      <c r="A3" t="s">
        <v>20</v>
      </c>
      <c r="C3" t="s">
        <v>17</v>
      </c>
      <c r="D3" t="s">
        <v>21</v>
      </c>
      <c r="E3">
        <v>5</v>
      </c>
      <c r="G3">
        <v>19</v>
      </c>
      <c r="H3">
        <v>2</v>
      </c>
      <c r="J3">
        <v>30</v>
      </c>
      <c r="K3">
        <v>0.5</v>
      </c>
      <c r="L3" t="s">
        <v>22</v>
      </c>
      <c r="O3" t="s">
        <v>29</v>
      </c>
      <c r="P3" t="b">
        <f>AND(LEFT(O3,1)="R",OR(MartialProf,NOT(ISNA(MATCH(A3,TblMartialFeats,0)))))</f>
        <v>0</v>
      </c>
    </row>
    <row r="4" spans="1:16" x14ac:dyDescent="0.25">
      <c r="A4" t="s">
        <v>23</v>
      </c>
      <c r="C4" t="s">
        <v>24</v>
      </c>
      <c r="D4" t="s">
        <v>21</v>
      </c>
      <c r="E4">
        <v>4</v>
      </c>
      <c r="G4">
        <v>20</v>
      </c>
      <c r="H4">
        <v>3</v>
      </c>
      <c r="J4">
        <v>50</v>
      </c>
      <c r="K4">
        <v>2</v>
      </c>
      <c r="L4" t="s">
        <v>19</v>
      </c>
    </row>
    <row r="5" spans="1:16" x14ac:dyDescent="0.25">
      <c r="A5" t="s">
        <v>25</v>
      </c>
      <c r="C5" t="s">
        <v>17</v>
      </c>
      <c r="D5" t="s">
        <v>26</v>
      </c>
      <c r="E5">
        <v>5</v>
      </c>
      <c r="G5">
        <v>20</v>
      </c>
      <c r="H5">
        <v>4</v>
      </c>
      <c r="K5">
        <v>5</v>
      </c>
      <c r="L5" t="s">
        <v>27</v>
      </c>
    </row>
    <row r="6" spans="1:16" x14ac:dyDescent="0.25">
      <c r="A6" t="s">
        <v>28</v>
      </c>
      <c r="C6" t="s">
        <v>17</v>
      </c>
      <c r="D6" t="s">
        <v>29</v>
      </c>
      <c r="E6">
        <v>6</v>
      </c>
      <c r="F6">
        <v>6</v>
      </c>
      <c r="G6">
        <v>20</v>
      </c>
      <c r="H6">
        <v>3</v>
      </c>
      <c r="I6">
        <v>3</v>
      </c>
      <c r="K6">
        <v>15</v>
      </c>
      <c r="L6" t="s">
        <v>22</v>
      </c>
      <c r="P6" t="b">
        <f>AND(LEFT(O6,1)="R",OR(MartialProf,NOT(ISNA(MATCH(A6,TblMartialFeats,0)))))</f>
        <v>0</v>
      </c>
    </row>
    <row r="7" spans="1:16" x14ac:dyDescent="0.25">
      <c r="A7" t="s">
        <v>30</v>
      </c>
      <c r="C7" t="s">
        <v>24</v>
      </c>
      <c r="D7" t="s">
        <v>18</v>
      </c>
      <c r="E7">
        <v>5</v>
      </c>
      <c r="G7">
        <v>20</v>
      </c>
      <c r="H7">
        <v>2</v>
      </c>
      <c r="J7">
        <v>10</v>
      </c>
      <c r="K7">
        <v>2</v>
      </c>
      <c r="L7" t="s">
        <v>22</v>
      </c>
      <c r="O7" t="s">
        <v>29</v>
      </c>
      <c r="P7" t="b">
        <f>OR(SmnLvl&gt;=1,SctLvl&gt;=1,AND(NoShLvl&gt;=1,OR(NomadShamanRegionCell=3,NomadShamanRegionCell=5)),AND(OR(BinLvl&gt;=1,FtPracticedBinder),NOT(ISERROR(MATCH("Haagenti",VestigesSelected,0)))))</f>
        <v>0</v>
      </c>
    </row>
    <row r="8" spans="1:16" x14ac:dyDescent="0.25">
      <c r="A8" t="s">
        <v>31</v>
      </c>
      <c r="C8" t="s">
        <v>24</v>
      </c>
      <c r="D8" t="s">
        <v>26</v>
      </c>
      <c r="E8">
        <v>6</v>
      </c>
      <c r="G8">
        <v>20</v>
      </c>
      <c r="H8">
        <v>3</v>
      </c>
      <c r="K8">
        <v>6</v>
      </c>
      <c r="L8" t="s">
        <v>22</v>
      </c>
      <c r="P8" t="b">
        <f>OR(Race="Grimlock",Race="Frost Folk",AND(NoShLvl&gt;=1,OR(NomadShamanRegionCell=4,NomadShamanRegionCell=5)),AND(OR(BinLvl&gt;=1,FtPracticedBinder),NOT(ISERROR(MATCH("Haagenti",VestigesSelected,0)))))</f>
        <v>0</v>
      </c>
    </row>
    <row r="9" spans="1:16" x14ac:dyDescent="0.25">
      <c r="A9" t="s">
        <v>32</v>
      </c>
      <c r="C9" t="s">
        <v>17</v>
      </c>
      <c r="D9" t="s">
        <v>26</v>
      </c>
      <c r="E9">
        <v>6</v>
      </c>
      <c r="G9">
        <v>20</v>
      </c>
      <c r="H9">
        <v>3</v>
      </c>
      <c r="L9" t="s">
        <v>19</v>
      </c>
    </row>
    <row r="10" spans="1:16" x14ac:dyDescent="0.25">
      <c r="A10" t="s">
        <v>33</v>
      </c>
      <c r="C10" t="s">
        <v>17</v>
      </c>
      <c r="D10" t="s">
        <v>29</v>
      </c>
      <c r="E10">
        <v>6</v>
      </c>
      <c r="F10">
        <v>6</v>
      </c>
      <c r="G10">
        <v>20</v>
      </c>
      <c r="H10">
        <v>3</v>
      </c>
      <c r="I10">
        <v>3</v>
      </c>
      <c r="K10">
        <v>10</v>
      </c>
      <c r="L10" t="s">
        <v>19</v>
      </c>
    </row>
    <row r="11" spans="1:16" x14ac:dyDescent="0.25">
      <c r="A11" t="s">
        <v>34</v>
      </c>
      <c r="C11" t="s">
        <v>17</v>
      </c>
      <c r="D11" t="s">
        <v>26</v>
      </c>
      <c r="E11">
        <v>5</v>
      </c>
      <c r="G11">
        <v>20</v>
      </c>
      <c r="H11">
        <v>4</v>
      </c>
      <c r="K11">
        <v>5</v>
      </c>
      <c r="L11" t="s">
        <v>19</v>
      </c>
      <c r="P11" t="b">
        <f>AND(LEFT(O11,1)="R",OR(MartialProf,NOT(ISNA(MATCH(A11,TblMartialFeats,0)))))</f>
        <v>0</v>
      </c>
    </row>
    <row r="12" spans="1:16" x14ac:dyDescent="0.25">
      <c r="A12" t="s">
        <v>35</v>
      </c>
      <c r="C12" t="s">
        <v>24</v>
      </c>
      <c r="D12" t="s">
        <v>29</v>
      </c>
      <c r="E12">
        <v>6</v>
      </c>
      <c r="G12">
        <v>20</v>
      </c>
      <c r="H12">
        <v>2</v>
      </c>
      <c r="K12">
        <v>0.5</v>
      </c>
      <c r="L12" t="s">
        <v>19</v>
      </c>
    </row>
    <row r="13" spans="1:16" x14ac:dyDescent="0.25">
      <c r="A13" t="s">
        <v>36</v>
      </c>
      <c r="C13" t="s">
        <v>22</v>
      </c>
      <c r="D13" t="s">
        <v>29</v>
      </c>
      <c r="E13">
        <v>6</v>
      </c>
      <c r="G13">
        <v>20</v>
      </c>
      <c r="H13">
        <v>2</v>
      </c>
      <c r="K13">
        <v>0.5</v>
      </c>
      <c r="L13" t="s">
        <v>19</v>
      </c>
    </row>
    <row r="14" spans="1:16" x14ac:dyDescent="0.25">
      <c r="A14" t="s">
        <v>37</v>
      </c>
      <c r="C14" t="s">
        <v>17</v>
      </c>
      <c r="D14" t="s">
        <v>21</v>
      </c>
      <c r="E14">
        <v>3</v>
      </c>
      <c r="G14">
        <v>20</v>
      </c>
      <c r="H14">
        <v>3</v>
      </c>
      <c r="J14">
        <v>10</v>
      </c>
      <c r="K14">
        <v>0.5</v>
      </c>
      <c r="L14" t="s">
        <v>22</v>
      </c>
      <c r="O14" t="s">
        <v>29</v>
      </c>
    </row>
    <row r="15" spans="1:16" x14ac:dyDescent="0.25">
      <c r="A15" s="1" t="s">
        <v>38</v>
      </c>
      <c r="B15" s="1" t="s">
        <v>39</v>
      </c>
      <c r="C15" s="1" t="s">
        <v>22</v>
      </c>
      <c r="D15" s="1" t="s">
        <v>21</v>
      </c>
      <c r="E15">
        <v>1</v>
      </c>
      <c r="G15">
        <v>20</v>
      </c>
      <c r="H15">
        <v>2</v>
      </c>
      <c r="J15">
        <v>10</v>
      </c>
      <c r="K15">
        <v>2</v>
      </c>
      <c r="L15" s="1" t="s">
        <v>19</v>
      </c>
      <c r="P15" t="b">
        <f>NOT(ISNA(MATCH(A15,TblNinjaSpyWpnChoices,0)))</f>
        <v>0</v>
      </c>
    </row>
    <row r="16" spans="1:16" x14ac:dyDescent="0.25">
      <c r="A16" t="s">
        <v>40</v>
      </c>
      <c r="C16" t="s">
        <v>17</v>
      </c>
      <c r="D16" t="s">
        <v>21</v>
      </c>
      <c r="E16">
        <v>3</v>
      </c>
      <c r="G16">
        <v>20</v>
      </c>
      <c r="H16">
        <v>2</v>
      </c>
      <c r="J16">
        <v>10</v>
      </c>
      <c r="K16">
        <v>2</v>
      </c>
      <c r="L16" t="s">
        <v>19</v>
      </c>
    </row>
    <row r="17" spans="1:16" x14ac:dyDescent="0.25">
      <c r="A17" t="s">
        <v>41</v>
      </c>
      <c r="C17" t="s">
        <v>17</v>
      </c>
      <c r="D17" t="s">
        <v>18</v>
      </c>
      <c r="K17">
        <v>15</v>
      </c>
      <c r="L17" t="s">
        <v>19</v>
      </c>
    </row>
    <row r="18" spans="1:16" x14ac:dyDescent="0.25">
      <c r="A18" t="s">
        <v>42</v>
      </c>
      <c r="C18" t="s">
        <v>17</v>
      </c>
      <c r="D18" t="s">
        <v>21</v>
      </c>
      <c r="E18">
        <v>4</v>
      </c>
      <c r="G18">
        <v>20</v>
      </c>
      <c r="H18">
        <v>2</v>
      </c>
      <c r="J18">
        <v>10</v>
      </c>
      <c r="K18">
        <v>2</v>
      </c>
      <c r="L18" t="s">
        <v>43</v>
      </c>
      <c r="O18" t="s">
        <v>29</v>
      </c>
      <c r="P18" t="b">
        <f>OR(FullRace="Elf, Winged",AND(CrSLvl&gt;=1,CrSWeaponProf=2))</f>
        <v>0</v>
      </c>
    </row>
    <row r="19" spans="1:16" x14ac:dyDescent="0.25">
      <c r="A19" t="s">
        <v>44</v>
      </c>
      <c r="C19" t="s">
        <v>17</v>
      </c>
      <c r="D19" t="s">
        <v>21</v>
      </c>
      <c r="E19">
        <v>4</v>
      </c>
      <c r="G19">
        <v>20</v>
      </c>
      <c r="H19">
        <v>2</v>
      </c>
      <c r="J19">
        <v>10</v>
      </c>
      <c r="K19">
        <v>3</v>
      </c>
      <c r="L19" t="s">
        <v>19</v>
      </c>
    </row>
    <row r="20" spans="1:16" x14ac:dyDescent="0.25">
      <c r="A20" t="s">
        <v>45</v>
      </c>
      <c r="C20" t="s">
        <v>17</v>
      </c>
      <c r="D20" t="s">
        <v>21</v>
      </c>
      <c r="E20">
        <v>12</v>
      </c>
      <c r="J20">
        <v>10</v>
      </c>
      <c r="K20">
        <v>1</v>
      </c>
      <c r="L20" t="s">
        <v>46</v>
      </c>
      <c r="O20" t="s">
        <v>47</v>
      </c>
    </row>
    <row r="21" spans="1:16" x14ac:dyDescent="0.25">
      <c r="A21" t="s">
        <v>48</v>
      </c>
      <c r="C21" t="s">
        <v>17</v>
      </c>
      <c r="D21" t="s">
        <v>21</v>
      </c>
      <c r="E21">
        <v>4</v>
      </c>
      <c r="G21">
        <v>20</v>
      </c>
      <c r="H21">
        <v>2</v>
      </c>
      <c r="J21">
        <v>20</v>
      </c>
      <c r="K21">
        <v>2</v>
      </c>
      <c r="L21" t="s">
        <v>43</v>
      </c>
      <c r="M21" t="s">
        <v>22</v>
      </c>
      <c r="O21" t="s">
        <v>29</v>
      </c>
    </row>
    <row r="22" spans="1:16" x14ac:dyDescent="0.25">
      <c r="A22" t="s">
        <v>49</v>
      </c>
      <c r="C22" t="s">
        <v>17</v>
      </c>
      <c r="D22" t="s">
        <v>21</v>
      </c>
      <c r="E22">
        <v>4</v>
      </c>
      <c r="G22">
        <v>20</v>
      </c>
      <c r="H22">
        <v>2</v>
      </c>
      <c r="J22">
        <v>30</v>
      </c>
      <c r="K22">
        <v>1</v>
      </c>
      <c r="L22" t="s">
        <v>43</v>
      </c>
      <c r="O22" t="s">
        <v>29</v>
      </c>
    </row>
    <row r="23" spans="1:16" x14ac:dyDescent="0.25">
      <c r="A23" t="s">
        <v>50</v>
      </c>
      <c r="C23" t="s">
        <v>17</v>
      </c>
      <c r="D23" t="s">
        <v>21</v>
      </c>
      <c r="E23">
        <v>5</v>
      </c>
      <c r="G23">
        <v>20</v>
      </c>
      <c r="H23">
        <v>2</v>
      </c>
      <c r="J23">
        <v>10</v>
      </c>
      <c r="K23">
        <v>4</v>
      </c>
      <c r="L23" t="s">
        <v>22</v>
      </c>
    </row>
    <row r="24" spans="1:16" x14ac:dyDescent="0.25">
      <c r="A24" t="s">
        <v>51</v>
      </c>
      <c r="C24" t="s">
        <v>17</v>
      </c>
      <c r="D24" t="s">
        <v>21</v>
      </c>
      <c r="E24">
        <v>5</v>
      </c>
      <c r="G24">
        <v>20</v>
      </c>
      <c r="H24">
        <v>2</v>
      </c>
      <c r="J24">
        <f>IF(AND(TGULvl&gt;1,COUNTIF(ThunderLore,13)&gt;=1),30,20)</f>
        <v>20</v>
      </c>
      <c r="K24">
        <v>2</v>
      </c>
      <c r="L24" t="s">
        <v>52</v>
      </c>
      <c r="O24" t="s">
        <v>29</v>
      </c>
    </row>
    <row r="25" spans="1:16" x14ac:dyDescent="0.25">
      <c r="A25" t="s">
        <v>53</v>
      </c>
      <c r="C25" t="s">
        <v>17</v>
      </c>
      <c r="D25" t="s">
        <v>21</v>
      </c>
      <c r="E25">
        <v>7</v>
      </c>
      <c r="G25">
        <v>20</v>
      </c>
      <c r="H25">
        <v>3</v>
      </c>
      <c r="J25">
        <v>120</v>
      </c>
      <c r="K25">
        <v>4</v>
      </c>
      <c r="L25" t="s">
        <v>19</v>
      </c>
    </row>
    <row r="26" spans="1:16" x14ac:dyDescent="0.25">
      <c r="A26" t="s">
        <v>54</v>
      </c>
      <c r="C26" t="s">
        <v>17</v>
      </c>
      <c r="D26" t="s">
        <v>21</v>
      </c>
      <c r="E26">
        <v>5</v>
      </c>
      <c r="F26">
        <v>6</v>
      </c>
      <c r="G26">
        <v>19</v>
      </c>
      <c r="H26">
        <v>2</v>
      </c>
      <c r="I26">
        <v>3</v>
      </c>
      <c r="J26">
        <v>80</v>
      </c>
      <c r="K26">
        <v>5</v>
      </c>
      <c r="L26" t="s">
        <v>27</v>
      </c>
    </row>
    <row r="27" spans="1:16" x14ac:dyDescent="0.25">
      <c r="A27" t="s">
        <v>55</v>
      </c>
      <c r="C27" t="s">
        <v>17</v>
      </c>
      <c r="D27" t="s">
        <v>18</v>
      </c>
      <c r="E27">
        <v>4</v>
      </c>
      <c r="G27">
        <v>19</v>
      </c>
      <c r="H27">
        <v>2</v>
      </c>
      <c r="K27">
        <v>2</v>
      </c>
      <c r="L27" t="s">
        <v>19</v>
      </c>
    </row>
    <row r="28" spans="1:16" x14ac:dyDescent="0.25">
      <c r="A28" t="s">
        <v>56</v>
      </c>
      <c r="C28" t="s">
        <v>17</v>
      </c>
      <c r="D28" t="s">
        <v>18</v>
      </c>
      <c r="E28">
        <v>5</v>
      </c>
      <c r="G28">
        <v>20</v>
      </c>
      <c r="H28">
        <v>3</v>
      </c>
      <c r="K28">
        <v>4</v>
      </c>
      <c r="L28" t="s">
        <v>22</v>
      </c>
      <c r="O28" t="s">
        <v>29</v>
      </c>
      <c r="P28" t="b">
        <f>AND(LEFT(O28,1)="R",OR(MartialProf,NOT(ISNA(MATCH(A28,TblMartialFeats,0)))))</f>
        <v>0</v>
      </c>
    </row>
    <row r="29" spans="1:16" x14ac:dyDescent="0.25">
      <c r="A29" t="s">
        <v>57</v>
      </c>
      <c r="C29" t="s">
        <v>22</v>
      </c>
      <c r="D29" t="s">
        <v>29</v>
      </c>
      <c r="E29">
        <v>6</v>
      </c>
      <c r="G29">
        <v>20</v>
      </c>
      <c r="H29">
        <v>2</v>
      </c>
      <c r="K29">
        <v>2</v>
      </c>
      <c r="L29" t="s">
        <v>22</v>
      </c>
    </row>
    <row r="30" spans="1:16" x14ac:dyDescent="0.25">
      <c r="A30" t="s">
        <v>58</v>
      </c>
      <c r="C30" t="s">
        <v>17</v>
      </c>
      <c r="D30" t="s">
        <v>24</v>
      </c>
      <c r="E30">
        <v>6</v>
      </c>
      <c r="G30">
        <v>20</v>
      </c>
      <c r="J30">
        <v>10</v>
      </c>
      <c r="K30">
        <v>5</v>
      </c>
      <c r="L30" t="s">
        <v>22</v>
      </c>
      <c r="P30" t="b">
        <f>ScgLvl&gt;=1</f>
        <v>0</v>
      </c>
    </row>
    <row r="31" spans="1:16" x14ac:dyDescent="0.25">
      <c r="A31" t="s">
        <v>59</v>
      </c>
      <c r="C31" t="s">
        <v>17</v>
      </c>
      <c r="D31" t="s">
        <v>21</v>
      </c>
      <c r="E31">
        <v>13</v>
      </c>
      <c r="J31">
        <v>50</v>
      </c>
      <c r="K31">
        <v>2</v>
      </c>
      <c r="L31" t="s">
        <v>46</v>
      </c>
      <c r="O31" t="s">
        <v>29</v>
      </c>
      <c r="P31" t="b">
        <f>AND(LEFT(O31,1)="R",OR(MartialProf,NOT(ISNA(MATCH(A31,TblMartialFeats,0)))))</f>
        <v>0</v>
      </c>
    </row>
    <row r="32" spans="1:16" x14ac:dyDescent="0.25">
      <c r="A32" t="s">
        <v>60</v>
      </c>
      <c r="C32" t="s">
        <v>17</v>
      </c>
      <c r="D32" t="s">
        <v>18</v>
      </c>
      <c r="E32">
        <v>13</v>
      </c>
      <c r="K32">
        <v>4</v>
      </c>
      <c r="L32" t="s">
        <v>43</v>
      </c>
    </row>
    <row r="33" spans="1:16" x14ac:dyDescent="0.25">
      <c r="A33" t="s">
        <v>61</v>
      </c>
      <c r="C33" t="s">
        <v>17</v>
      </c>
      <c r="D33" t="s">
        <v>29</v>
      </c>
      <c r="E33">
        <v>5</v>
      </c>
      <c r="G33">
        <v>19</v>
      </c>
      <c r="H33">
        <v>2</v>
      </c>
      <c r="K33">
        <v>3</v>
      </c>
      <c r="L33" t="s">
        <v>22</v>
      </c>
      <c r="N33" t="b">
        <v>1</v>
      </c>
      <c r="P33" t="b">
        <f>FtDrowSkirmisher</f>
        <v>0</v>
      </c>
    </row>
    <row r="34" spans="1:16" x14ac:dyDescent="0.25">
      <c r="A34" t="s">
        <v>62</v>
      </c>
      <c r="C34" t="s">
        <v>17</v>
      </c>
      <c r="D34" t="s">
        <v>29</v>
      </c>
      <c r="E34">
        <v>9</v>
      </c>
      <c r="G34">
        <v>20</v>
      </c>
      <c r="H34">
        <v>2</v>
      </c>
      <c r="K34">
        <v>10</v>
      </c>
      <c r="L34" t="s">
        <v>19</v>
      </c>
      <c r="N34" t="b">
        <v>1</v>
      </c>
      <c r="O34" t="str">
        <f>IF(AND(FtDarguunMauler,NOT(ISERROR(SEARCHB("Goblinoid",Subtype)))),"R,F","F")</f>
        <v>F</v>
      </c>
      <c r="P34" t="b">
        <f>OR(Race="Shadar-kai",AND(NoShLvl&gt;=1,NomadShamanRegionCell=6),NOT(ISNA(MATCH(A34,TblNinjaSpyWpnChoices,0))))</f>
        <v>0</v>
      </c>
    </row>
    <row r="35" spans="1:16" x14ac:dyDescent="0.25">
      <c r="A35" t="s">
        <v>63</v>
      </c>
      <c r="C35" t="s">
        <v>17</v>
      </c>
      <c r="D35" t="s">
        <v>26</v>
      </c>
      <c r="E35">
        <v>4</v>
      </c>
      <c r="G35">
        <v>19</v>
      </c>
      <c r="H35">
        <v>2</v>
      </c>
      <c r="K35">
        <v>4</v>
      </c>
      <c r="L35" t="s">
        <v>19</v>
      </c>
    </row>
    <row r="36" spans="1:16" x14ac:dyDescent="0.25">
      <c r="A36" t="s">
        <v>64</v>
      </c>
      <c r="C36" t="s">
        <v>17</v>
      </c>
      <c r="D36" t="s">
        <v>21</v>
      </c>
      <c r="E36">
        <v>4</v>
      </c>
      <c r="G36">
        <v>20</v>
      </c>
      <c r="H36">
        <v>3</v>
      </c>
      <c r="J36">
        <v>30</v>
      </c>
      <c r="K36">
        <v>2</v>
      </c>
      <c r="L36" t="s">
        <v>22</v>
      </c>
    </row>
    <row r="37" spans="1:16" x14ac:dyDescent="0.25">
      <c r="A37" t="s">
        <v>65</v>
      </c>
      <c r="C37" t="s">
        <v>17</v>
      </c>
      <c r="D37" t="s">
        <v>21</v>
      </c>
      <c r="E37">
        <v>5</v>
      </c>
      <c r="G37">
        <v>18</v>
      </c>
      <c r="H37">
        <v>2</v>
      </c>
      <c r="J37">
        <v>20</v>
      </c>
      <c r="K37">
        <v>3</v>
      </c>
      <c r="L37" t="s">
        <v>19</v>
      </c>
      <c r="O37" t="str">
        <f>IF(Race="Thri-Kreen","R","")</f>
        <v/>
      </c>
      <c r="P37" t="b">
        <f>Race="Thri-kreen"</f>
        <v>0</v>
      </c>
    </row>
    <row r="38" spans="1:16" x14ac:dyDescent="0.25">
      <c r="A38" t="s">
        <v>66</v>
      </c>
      <c r="B38" t="s">
        <v>39</v>
      </c>
      <c r="C38" t="s">
        <v>17</v>
      </c>
      <c r="D38" t="s">
        <v>29</v>
      </c>
      <c r="E38">
        <v>5</v>
      </c>
      <c r="F38">
        <v>4</v>
      </c>
      <c r="G38">
        <v>20</v>
      </c>
      <c r="H38">
        <v>2</v>
      </c>
      <c r="I38">
        <v>2</v>
      </c>
      <c r="K38">
        <v>6</v>
      </c>
      <c r="L38" t="s">
        <v>67</v>
      </c>
      <c r="P38" t="b">
        <f>OR(MMcLvl&gt;=1,NOT(ISNA(MATCH(A38,TblNinjaSpyWpnChoices,0))))</f>
        <v>0</v>
      </c>
    </row>
    <row r="39" spans="1:16" x14ac:dyDescent="0.25">
      <c r="A39" t="s">
        <v>68</v>
      </c>
      <c r="C39" t="s">
        <v>17</v>
      </c>
      <c r="D39" t="s">
        <v>18</v>
      </c>
      <c r="E39">
        <v>5</v>
      </c>
      <c r="G39">
        <v>18</v>
      </c>
      <c r="H39">
        <v>2</v>
      </c>
      <c r="K39">
        <v>2</v>
      </c>
      <c r="L39" t="s">
        <v>27</v>
      </c>
      <c r="O39" t="str">
        <f>IF(Race="Asherati","R","")</f>
        <v/>
      </c>
      <c r="P39" t="b">
        <f>AND(LEFT(O39,1)="R",OR(MartialProf,NOT(ISNA(MATCH(A39,TblMartialFeats,0)))))</f>
        <v>0</v>
      </c>
    </row>
    <row r="40" spans="1:16" x14ac:dyDescent="0.25">
      <c r="A40" t="s">
        <v>69</v>
      </c>
      <c r="C40" t="s">
        <v>17</v>
      </c>
      <c r="D40" t="s">
        <v>18</v>
      </c>
      <c r="E40">
        <v>4</v>
      </c>
      <c r="G40">
        <v>20</v>
      </c>
      <c r="H40">
        <v>3</v>
      </c>
      <c r="K40">
        <v>3</v>
      </c>
      <c r="L40" t="s">
        <v>70</v>
      </c>
    </row>
    <row r="41" spans="1:16" x14ac:dyDescent="0.25">
      <c r="A41" t="s">
        <v>71</v>
      </c>
      <c r="C41" t="s">
        <v>17</v>
      </c>
      <c r="D41" t="s">
        <v>18</v>
      </c>
      <c r="E41">
        <v>5</v>
      </c>
      <c r="G41">
        <v>20</v>
      </c>
      <c r="H41">
        <v>2</v>
      </c>
      <c r="K41">
        <v>6</v>
      </c>
      <c r="L41" t="s">
        <v>27</v>
      </c>
    </row>
    <row r="42" spans="1:16" x14ac:dyDescent="0.25">
      <c r="A42" t="s">
        <v>72</v>
      </c>
      <c r="C42" t="s">
        <v>17</v>
      </c>
      <c r="D42" t="s">
        <v>18</v>
      </c>
      <c r="E42">
        <v>4</v>
      </c>
      <c r="G42">
        <v>20</v>
      </c>
      <c r="H42">
        <v>2</v>
      </c>
      <c r="K42">
        <v>2</v>
      </c>
      <c r="L42" t="s">
        <v>19</v>
      </c>
    </row>
    <row r="43" spans="1:16" x14ac:dyDescent="0.25">
      <c r="A43" t="s">
        <v>73</v>
      </c>
      <c r="C43" t="s">
        <v>22</v>
      </c>
      <c r="D43" t="s">
        <v>26</v>
      </c>
      <c r="E43">
        <v>5</v>
      </c>
      <c r="G43">
        <v>20</v>
      </c>
      <c r="H43">
        <v>2</v>
      </c>
      <c r="J43">
        <v>10</v>
      </c>
      <c r="K43">
        <v>3</v>
      </c>
      <c r="L43" t="s">
        <v>43</v>
      </c>
      <c r="P43" t="b">
        <f>OR(DrdLvl&gt;=1,MnkLvl&gt;=1,WizLvl&gt;=1,SmnLvl&gt;=1,PsiLvl&gt;=1,YWRLvl&gt;=1,AND(INDEX(TblSimpleList,CommonerProf)=A43,ComLvl&gt;=1),AND(NoShLvl&gt;=1,OR(NomadShamanRegionCell=3,NomadShamanRegionCell=4,NomadShamanRegionCell=6)))</f>
        <v>0</v>
      </c>
    </row>
    <row r="44" spans="1:16" x14ac:dyDescent="0.25">
      <c r="A44" t="s">
        <v>74</v>
      </c>
      <c r="C44" t="s">
        <v>17</v>
      </c>
      <c r="D44" t="s">
        <v>26</v>
      </c>
      <c r="E44">
        <v>6</v>
      </c>
      <c r="G44">
        <v>20</v>
      </c>
      <c r="H44">
        <v>4</v>
      </c>
      <c r="K44">
        <v>8</v>
      </c>
      <c r="L44" t="s">
        <v>75</v>
      </c>
    </row>
    <row r="45" spans="1:16" x14ac:dyDescent="0.25">
      <c r="A45" t="s">
        <v>76</v>
      </c>
      <c r="C45" t="s">
        <v>17</v>
      </c>
      <c r="D45" t="s">
        <v>29</v>
      </c>
      <c r="E45">
        <v>7</v>
      </c>
      <c r="G45">
        <v>18</v>
      </c>
      <c r="H45">
        <v>2</v>
      </c>
      <c r="K45">
        <v>6</v>
      </c>
      <c r="L45" t="s">
        <v>70</v>
      </c>
      <c r="O45" t="str">
        <f>IF(AND(FtImprovedWeaponFamiliarity,OR(Race="Elf",Race="Half-Elf")),"R,F","F")</f>
        <v>F</v>
      </c>
      <c r="P45" t="b">
        <f>AND(LEFT(O45,1)="R",OR(MartialProf,NOT(ISNA(MATCH(A45,TblMartialFeats,0)))))</f>
        <v>0</v>
      </c>
    </row>
    <row r="46" spans="1:16" x14ac:dyDescent="0.25">
      <c r="A46" t="s">
        <v>77</v>
      </c>
      <c r="C46" t="s">
        <v>17</v>
      </c>
      <c r="D46" t="s">
        <v>21</v>
      </c>
      <c r="E46">
        <v>6</v>
      </c>
      <c r="G46">
        <v>19</v>
      </c>
      <c r="H46">
        <v>2</v>
      </c>
      <c r="J46">
        <v>40</v>
      </c>
      <c r="K46">
        <v>4</v>
      </c>
      <c r="L46" t="s">
        <v>19</v>
      </c>
    </row>
    <row r="47" spans="1:16" x14ac:dyDescent="0.25">
      <c r="A47" t="s">
        <v>78</v>
      </c>
      <c r="C47" t="s">
        <v>17</v>
      </c>
      <c r="D47" t="s">
        <v>21</v>
      </c>
      <c r="E47">
        <v>11</v>
      </c>
      <c r="G47">
        <v>18</v>
      </c>
      <c r="H47">
        <v>2</v>
      </c>
      <c r="J47">
        <v>120</v>
      </c>
      <c r="K47">
        <v>14</v>
      </c>
      <c r="L47" t="s">
        <v>19</v>
      </c>
    </row>
    <row r="48" spans="1:16" x14ac:dyDescent="0.25">
      <c r="A48" t="s">
        <v>79</v>
      </c>
      <c r="C48" t="s">
        <v>17</v>
      </c>
      <c r="D48" t="s">
        <v>21</v>
      </c>
      <c r="E48">
        <v>4</v>
      </c>
      <c r="G48">
        <v>19</v>
      </c>
      <c r="H48">
        <v>2</v>
      </c>
      <c r="J48">
        <v>30</v>
      </c>
      <c r="K48">
        <v>2</v>
      </c>
      <c r="L48" t="s">
        <v>19</v>
      </c>
      <c r="O48" t="s">
        <v>26</v>
      </c>
      <c r="P48" t="e">
        <f>OR(FullRace="Elf, Drow",FullRace="Elf, Deepwyrm Drow",BegLvl&gt;=1,RogLvl&gt;=1,AsnLvl&gt;=1,NjaLvl&gt;=1,MoJLvl&gt;=1,YWRLvl&gt;=1,NOT(ISNA(MATCH(A48,TblNinjaSpyWpnChoices,0))))</f>
        <v>#REF!</v>
      </c>
    </row>
    <row r="49" spans="1:16" x14ac:dyDescent="0.25">
      <c r="A49" t="s">
        <v>80</v>
      </c>
      <c r="C49" t="s">
        <v>22</v>
      </c>
      <c r="D49" t="s">
        <v>21</v>
      </c>
      <c r="E49">
        <v>7</v>
      </c>
      <c r="G49">
        <v>19</v>
      </c>
      <c r="H49">
        <v>2</v>
      </c>
      <c r="J49">
        <v>120</v>
      </c>
      <c r="K49">
        <v>8</v>
      </c>
      <c r="L49" t="s">
        <v>19</v>
      </c>
      <c r="P49" t="b">
        <f>OR(MnkLvl&gt;=1,WizLvl&gt;=1,AsnLvl&gt;=1,PsiLvl&gt;=1,YWRLvl&gt;=1)</f>
        <v>0</v>
      </c>
    </row>
    <row r="50" spans="1:16" x14ac:dyDescent="0.25">
      <c r="A50" t="s">
        <v>81</v>
      </c>
      <c r="C50" t="s">
        <v>22</v>
      </c>
      <c r="D50" t="s">
        <v>21</v>
      </c>
      <c r="E50">
        <v>6</v>
      </c>
      <c r="G50">
        <v>19</v>
      </c>
      <c r="H50">
        <v>2</v>
      </c>
      <c r="J50">
        <v>80</v>
      </c>
      <c r="K50">
        <v>4</v>
      </c>
      <c r="L50" t="s">
        <v>19</v>
      </c>
      <c r="P50" t="e">
        <f>OR(MnkLvl&gt;=1,WizLvl&gt;=1,AsnLvl&gt;=1,PsiLvl&gt;=1,MoJLvl&gt;=1,Race="Nixie",YWRLvl&gt;=1,AND(NoShLvl&gt;=1,NomadShamanRegionCell=4))</f>
        <v>#REF!</v>
      </c>
    </row>
    <row r="51" spans="1:16" x14ac:dyDescent="0.25">
      <c r="A51" t="s">
        <v>82</v>
      </c>
      <c r="C51" t="s">
        <v>17</v>
      </c>
      <c r="D51" t="s">
        <v>21</v>
      </c>
      <c r="E51">
        <v>7</v>
      </c>
      <c r="G51">
        <v>19</v>
      </c>
      <c r="H51">
        <v>2</v>
      </c>
      <c r="J51">
        <v>120</v>
      </c>
      <c r="K51">
        <v>12</v>
      </c>
      <c r="L51" t="s">
        <v>19</v>
      </c>
    </row>
    <row r="52" spans="1:16" x14ac:dyDescent="0.25">
      <c r="A52" t="s">
        <v>83</v>
      </c>
      <c r="C52" t="s">
        <v>17</v>
      </c>
      <c r="D52" t="s">
        <v>21</v>
      </c>
      <c r="E52">
        <v>6</v>
      </c>
      <c r="G52">
        <v>19</v>
      </c>
      <c r="H52">
        <v>2</v>
      </c>
      <c r="J52">
        <v>80</v>
      </c>
      <c r="K52">
        <v>6</v>
      </c>
      <c r="L52" t="s">
        <v>19</v>
      </c>
    </row>
    <row r="53" spans="1:16" x14ac:dyDescent="0.25">
      <c r="A53" t="s">
        <v>84</v>
      </c>
      <c r="C53" t="s">
        <v>17</v>
      </c>
      <c r="D53" t="s">
        <v>29</v>
      </c>
      <c r="E53">
        <v>8</v>
      </c>
      <c r="G53">
        <v>19</v>
      </c>
      <c r="H53">
        <v>2</v>
      </c>
      <c r="J53">
        <v>10</v>
      </c>
      <c r="K53">
        <v>15</v>
      </c>
      <c r="L53" t="s">
        <v>19</v>
      </c>
    </row>
    <row r="54" spans="1:16" x14ac:dyDescent="0.25">
      <c r="A54" t="s">
        <v>85</v>
      </c>
      <c r="C54" t="s">
        <v>24</v>
      </c>
      <c r="D54" t="s">
        <v>18</v>
      </c>
      <c r="E54">
        <v>5</v>
      </c>
      <c r="G54">
        <v>19</v>
      </c>
      <c r="H54">
        <v>2</v>
      </c>
      <c r="K54">
        <v>3</v>
      </c>
      <c r="L54" t="s">
        <v>22</v>
      </c>
      <c r="P54" t="b">
        <f>OR(MarLvl&gt;=1)</f>
        <v>0</v>
      </c>
    </row>
    <row r="55" spans="1:16" x14ac:dyDescent="0.25">
      <c r="A55" t="s">
        <v>86</v>
      </c>
      <c r="C55" t="s">
        <v>22</v>
      </c>
      <c r="D55" t="s">
        <v>18</v>
      </c>
      <c r="E55">
        <v>4</v>
      </c>
      <c r="G55">
        <v>19</v>
      </c>
      <c r="H55">
        <v>2</v>
      </c>
      <c r="J55">
        <v>10</v>
      </c>
      <c r="K55">
        <v>1</v>
      </c>
      <c r="L55" t="s">
        <v>70</v>
      </c>
      <c r="P55" t="e">
        <f>OR(DrdLvl&gt;=1,MnkLvl&gt;=1,WizLvl&gt;=1,SmnLvl&gt;=1,AsnLvl&gt;=1,PsiLvl&gt;=1,MoJLvl&gt;=1,YWRLvl&gt;=1,AND(NoShLvl&gt;=1,NomadShamanRegionCell=2))</f>
        <v>#REF!</v>
      </c>
    </row>
    <row r="56" spans="1:16" x14ac:dyDescent="0.25">
      <c r="A56" t="s">
        <v>87</v>
      </c>
      <c r="C56" t="s">
        <v>17</v>
      </c>
      <c r="D56" t="s">
        <v>18</v>
      </c>
      <c r="E56">
        <v>4</v>
      </c>
      <c r="G56">
        <v>19</v>
      </c>
      <c r="H56">
        <v>2</v>
      </c>
      <c r="K56">
        <v>1</v>
      </c>
      <c r="L56" t="s">
        <v>19</v>
      </c>
      <c r="P56" t="b">
        <f>YWRLvl&gt;=1</f>
        <v>0</v>
      </c>
    </row>
    <row r="57" spans="1:16" x14ac:dyDescent="0.25">
      <c r="A57" t="s">
        <v>88</v>
      </c>
      <c r="C57" t="s">
        <v>22</v>
      </c>
      <c r="D57" t="s">
        <v>18</v>
      </c>
      <c r="E57">
        <v>4</v>
      </c>
      <c r="G57">
        <v>20</v>
      </c>
      <c r="H57">
        <v>3</v>
      </c>
      <c r="K57">
        <v>1</v>
      </c>
      <c r="L57" t="s">
        <v>19</v>
      </c>
      <c r="P57" t="b">
        <f>YWRLvl&gt;=1</f>
        <v>0</v>
      </c>
    </row>
    <row r="58" spans="1:16" x14ac:dyDescent="0.25">
      <c r="A58" t="s">
        <v>89</v>
      </c>
      <c r="C58" t="s">
        <v>17</v>
      </c>
      <c r="D58" t="s">
        <v>18</v>
      </c>
      <c r="E58">
        <v>4</v>
      </c>
      <c r="G58">
        <v>20</v>
      </c>
      <c r="H58">
        <v>4</v>
      </c>
      <c r="K58">
        <v>1</v>
      </c>
      <c r="L58" t="s">
        <v>22</v>
      </c>
      <c r="P58" t="b">
        <f>OR(Race="Kaorti",YWRLvl&gt;=1)</f>
        <v>0</v>
      </c>
    </row>
    <row r="59" spans="1:16" x14ac:dyDescent="0.25">
      <c r="A59" t="s">
        <v>90</v>
      </c>
      <c r="C59" t="s">
        <v>17</v>
      </c>
      <c r="D59" t="s">
        <v>18</v>
      </c>
      <c r="E59">
        <v>4</v>
      </c>
      <c r="G59">
        <v>19</v>
      </c>
      <c r="H59">
        <v>2</v>
      </c>
      <c r="K59">
        <v>1</v>
      </c>
      <c r="L59" t="s">
        <v>19</v>
      </c>
      <c r="P59" t="b">
        <f>YWRLvl&gt;=1</f>
        <v>0</v>
      </c>
    </row>
    <row r="60" spans="1:16" x14ac:dyDescent="0.25">
      <c r="A60" t="s">
        <v>91</v>
      </c>
      <c r="C60" t="s">
        <v>22</v>
      </c>
      <c r="D60" t="s">
        <v>21</v>
      </c>
      <c r="E60">
        <v>4</v>
      </c>
      <c r="G60">
        <v>20</v>
      </c>
      <c r="H60">
        <v>2</v>
      </c>
      <c r="J60">
        <v>20</v>
      </c>
      <c r="K60">
        <v>0.5</v>
      </c>
      <c r="L60" t="s">
        <v>19</v>
      </c>
      <c r="O60" t="s">
        <v>29</v>
      </c>
      <c r="P60" t="e">
        <f>OR(DrdLvl&gt;=1,SmnLvl&gt;=1,AsnLvl&gt;=1,MoJLvl&gt;=1,YWRLvl&gt;=1)</f>
        <v>#REF!</v>
      </c>
    </row>
    <row r="61" spans="1:16" x14ac:dyDescent="0.25">
      <c r="A61" t="s">
        <v>92</v>
      </c>
      <c r="C61" t="s">
        <v>24</v>
      </c>
      <c r="D61" t="s">
        <v>21</v>
      </c>
      <c r="E61">
        <v>4</v>
      </c>
      <c r="G61">
        <v>19</v>
      </c>
      <c r="H61">
        <v>2</v>
      </c>
      <c r="J61">
        <v>40</v>
      </c>
      <c r="K61">
        <v>1</v>
      </c>
      <c r="L61" t="s">
        <v>19</v>
      </c>
    </row>
    <row r="62" spans="1:16" x14ac:dyDescent="0.25">
      <c r="A62" t="s">
        <v>93</v>
      </c>
      <c r="C62" t="s">
        <v>17</v>
      </c>
      <c r="D62" t="s">
        <v>21</v>
      </c>
      <c r="E62">
        <v>6</v>
      </c>
      <c r="G62">
        <v>20</v>
      </c>
      <c r="H62">
        <v>3</v>
      </c>
      <c r="J62">
        <v>90</v>
      </c>
      <c r="K62">
        <v>3</v>
      </c>
      <c r="L62" t="s">
        <v>19</v>
      </c>
      <c r="O62" t="str">
        <f>IF(AND(FtImprovedWeaponFamiliarity,OR(Race="Elf",Race="Half-Elf")),"R","")</f>
        <v/>
      </c>
      <c r="P62" t="b">
        <f>AND(LEFT(O62,1)="R",OR(MartialProf,NOT(ISNA(MATCH(A62,TblMartialFeats,0)))))</f>
        <v>0</v>
      </c>
    </row>
    <row r="63" spans="1:16" x14ac:dyDescent="0.25">
      <c r="A63" t="s">
        <v>94</v>
      </c>
      <c r="C63" t="s">
        <v>17</v>
      </c>
      <c r="D63" t="s">
        <v>18</v>
      </c>
      <c r="E63">
        <v>5</v>
      </c>
      <c r="F63">
        <v>5</v>
      </c>
      <c r="G63">
        <v>19</v>
      </c>
      <c r="H63">
        <v>2</v>
      </c>
      <c r="I63">
        <v>4</v>
      </c>
      <c r="K63">
        <v>2</v>
      </c>
      <c r="L63" t="s">
        <v>70</v>
      </c>
    </row>
    <row r="64" spans="1:16" x14ac:dyDescent="0.25">
      <c r="A64" t="s">
        <v>95</v>
      </c>
      <c r="C64" t="s">
        <v>17</v>
      </c>
      <c r="D64" t="s">
        <v>18</v>
      </c>
      <c r="J64">
        <v>20</v>
      </c>
      <c r="K64">
        <v>25</v>
      </c>
    </row>
    <row r="65" spans="1:16" x14ac:dyDescent="0.25">
      <c r="A65" t="s">
        <v>96</v>
      </c>
      <c r="C65" t="s">
        <v>17</v>
      </c>
      <c r="D65" t="s">
        <v>21</v>
      </c>
      <c r="E65">
        <v>5</v>
      </c>
      <c r="G65">
        <v>19</v>
      </c>
      <c r="H65">
        <v>2</v>
      </c>
      <c r="J65">
        <v>10</v>
      </c>
      <c r="K65">
        <v>2</v>
      </c>
      <c r="L65" t="s">
        <v>19</v>
      </c>
      <c r="O65" t="str">
        <f>IF(AND(FtDrowSkirmisher,OR(Subrace="Drow",Race="Half-Drow")),"R,T","")</f>
        <v/>
      </c>
    </row>
    <row r="66" spans="1:16" x14ac:dyDescent="0.25">
      <c r="A66" t="s">
        <v>97</v>
      </c>
      <c r="C66" t="s">
        <v>17</v>
      </c>
      <c r="D66" t="s">
        <v>29</v>
      </c>
      <c r="E66">
        <v>5</v>
      </c>
      <c r="G66">
        <v>19</v>
      </c>
      <c r="H66">
        <v>2</v>
      </c>
      <c r="K66">
        <v>12</v>
      </c>
      <c r="L66" t="s">
        <v>22</v>
      </c>
      <c r="O66" t="str">
        <f>IF(AND(FtDrowSkirmisher,OR(Subrace="Drow",Race="Half-Drow")),"R,T","")</f>
        <v/>
      </c>
    </row>
    <row r="67" spans="1:16" x14ac:dyDescent="0.25">
      <c r="A67" t="s">
        <v>98</v>
      </c>
      <c r="C67" t="s">
        <v>17</v>
      </c>
      <c r="D67" t="s">
        <v>29</v>
      </c>
      <c r="E67">
        <v>6</v>
      </c>
      <c r="G67">
        <v>20</v>
      </c>
      <c r="H67">
        <v>3</v>
      </c>
      <c r="K67">
        <v>8</v>
      </c>
      <c r="L67" t="s">
        <v>19</v>
      </c>
      <c r="N67" t="b">
        <v>1</v>
      </c>
    </row>
    <row r="68" spans="1:16" x14ac:dyDescent="0.25">
      <c r="A68" t="s">
        <v>99</v>
      </c>
      <c r="C68" t="s">
        <v>17</v>
      </c>
      <c r="D68" t="s">
        <v>29</v>
      </c>
      <c r="E68">
        <v>7</v>
      </c>
      <c r="G68">
        <v>20</v>
      </c>
      <c r="H68">
        <v>2</v>
      </c>
      <c r="K68">
        <v>10</v>
      </c>
      <c r="L68" t="s">
        <v>22</v>
      </c>
      <c r="N68" t="b">
        <v>1</v>
      </c>
      <c r="P68" t="b">
        <f>OR(Race="Ethergaunt")</f>
        <v>0</v>
      </c>
    </row>
    <row r="69" spans="1:16" x14ac:dyDescent="0.25">
      <c r="A69" t="s">
        <v>100</v>
      </c>
      <c r="C69" t="s">
        <v>24</v>
      </c>
      <c r="D69" t="s">
        <v>29</v>
      </c>
      <c r="E69">
        <v>9</v>
      </c>
      <c r="G69">
        <v>18</v>
      </c>
      <c r="H69">
        <v>2</v>
      </c>
      <c r="K69">
        <v>8</v>
      </c>
      <c r="L69" t="s">
        <v>22</v>
      </c>
    </row>
    <row r="70" spans="1:16" x14ac:dyDescent="0.25">
      <c r="A70" t="s">
        <v>101</v>
      </c>
      <c r="C70" t="s">
        <v>17</v>
      </c>
      <c r="D70" t="s">
        <v>29</v>
      </c>
      <c r="E70">
        <v>8</v>
      </c>
      <c r="G70">
        <v>18</v>
      </c>
      <c r="H70">
        <v>2</v>
      </c>
      <c r="K70">
        <v>12</v>
      </c>
      <c r="L70" t="s">
        <v>22</v>
      </c>
    </row>
    <row r="71" spans="1:16" x14ac:dyDescent="0.25">
      <c r="A71" t="s">
        <v>102</v>
      </c>
      <c r="C71" t="s">
        <v>17</v>
      </c>
      <c r="D71" t="s">
        <v>18</v>
      </c>
      <c r="E71">
        <v>5</v>
      </c>
      <c r="G71">
        <v>19</v>
      </c>
      <c r="H71">
        <v>2</v>
      </c>
      <c r="K71">
        <v>2</v>
      </c>
      <c r="L71" t="s">
        <v>22</v>
      </c>
    </row>
    <row r="72" spans="1:16" x14ac:dyDescent="0.25">
      <c r="A72" t="s">
        <v>103</v>
      </c>
      <c r="C72" t="s">
        <v>17</v>
      </c>
      <c r="D72" t="s">
        <v>26</v>
      </c>
      <c r="E72">
        <v>5</v>
      </c>
      <c r="G72">
        <v>20</v>
      </c>
      <c r="H72">
        <v>3</v>
      </c>
      <c r="K72">
        <v>3</v>
      </c>
      <c r="L72" t="s">
        <v>22</v>
      </c>
      <c r="P72" t="b">
        <f>NOT(ISNA(MATCH(A72,TblNinjaSpyWpnChoices,0)))</f>
        <v>0</v>
      </c>
    </row>
    <row r="73" spans="1:16" x14ac:dyDescent="0.25">
      <c r="A73" t="s">
        <v>104</v>
      </c>
      <c r="C73" t="s">
        <v>17</v>
      </c>
      <c r="D73" t="s">
        <v>18</v>
      </c>
      <c r="E73">
        <v>5</v>
      </c>
      <c r="G73">
        <v>20</v>
      </c>
      <c r="H73">
        <v>3</v>
      </c>
      <c r="K73">
        <v>2</v>
      </c>
      <c r="L73" t="s">
        <v>19</v>
      </c>
    </row>
    <row r="74" spans="1:16" x14ac:dyDescent="0.25">
      <c r="A74" t="s">
        <v>105</v>
      </c>
      <c r="C74" t="s">
        <v>24</v>
      </c>
      <c r="D74" t="s">
        <v>26</v>
      </c>
      <c r="E74">
        <v>6</v>
      </c>
      <c r="G74">
        <v>20</v>
      </c>
      <c r="H74">
        <v>2</v>
      </c>
      <c r="K74">
        <v>5</v>
      </c>
      <c r="L74" t="s">
        <v>43</v>
      </c>
    </row>
    <row r="75" spans="1:16" x14ac:dyDescent="0.25">
      <c r="A75" t="s">
        <v>106</v>
      </c>
      <c r="C75" t="s">
        <v>17</v>
      </c>
      <c r="D75" t="s">
        <v>29</v>
      </c>
      <c r="E75">
        <v>6</v>
      </c>
      <c r="F75">
        <v>6</v>
      </c>
      <c r="G75">
        <v>20</v>
      </c>
      <c r="H75">
        <v>2</v>
      </c>
      <c r="I75">
        <v>2</v>
      </c>
      <c r="K75">
        <v>10</v>
      </c>
      <c r="L75" t="s">
        <v>43</v>
      </c>
      <c r="O75" t="str">
        <f>IF(AND(FtDarguunMauler,NOT(ISERROR(SEARCHB("Goblinoid",Subtype)))),"R","")</f>
        <v/>
      </c>
    </row>
    <row r="76" spans="1:16" x14ac:dyDescent="0.25">
      <c r="A76" t="s">
        <v>107</v>
      </c>
      <c r="C76" t="s">
        <v>24</v>
      </c>
      <c r="D76" t="s">
        <v>29</v>
      </c>
      <c r="E76">
        <v>7</v>
      </c>
      <c r="G76">
        <v>19</v>
      </c>
      <c r="H76">
        <v>2</v>
      </c>
      <c r="K76">
        <v>10</v>
      </c>
      <c r="L76" t="s">
        <v>43</v>
      </c>
    </row>
    <row r="77" spans="1:16" x14ac:dyDescent="0.25">
      <c r="A77" t="s">
        <v>108</v>
      </c>
      <c r="C77" t="s">
        <v>17</v>
      </c>
      <c r="D77" t="s">
        <v>26</v>
      </c>
      <c r="E77">
        <v>9</v>
      </c>
      <c r="G77">
        <v>19</v>
      </c>
      <c r="H77">
        <v>2</v>
      </c>
      <c r="K77">
        <v>2</v>
      </c>
      <c r="L77" t="s">
        <v>43</v>
      </c>
      <c r="P77" t="b">
        <f>OR(FullRace="Gnoll, Flind")</f>
        <v>0</v>
      </c>
    </row>
    <row r="78" spans="1:16" x14ac:dyDescent="0.25">
      <c r="A78" t="s">
        <v>109</v>
      </c>
      <c r="C78" t="s">
        <v>17</v>
      </c>
      <c r="D78" t="s">
        <v>26</v>
      </c>
      <c r="E78">
        <v>4</v>
      </c>
      <c r="G78">
        <v>19</v>
      </c>
      <c r="H78">
        <v>3</v>
      </c>
      <c r="K78">
        <v>2</v>
      </c>
      <c r="L78" t="s">
        <v>70</v>
      </c>
      <c r="P78" t="b">
        <f>Race="Slyth"</f>
        <v>0</v>
      </c>
    </row>
    <row r="79" spans="1:16" x14ac:dyDescent="0.25">
      <c r="A79" t="s">
        <v>110</v>
      </c>
      <c r="C79" t="s">
        <v>17</v>
      </c>
      <c r="D79" t="s">
        <v>18</v>
      </c>
      <c r="E79">
        <v>4</v>
      </c>
      <c r="G79">
        <v>20</v>
      </c>
      <c r="H79">
        <v>3</v>
      </c>
      <c r="K79">
        <v>1</v>
      </c>
      <c r="L79" t="s">
        <v>19</v>
      </c>
    </row>
    <row r="80" spans="1:16" x14ac:dyDescent="0.25">
      <c r="A80" t="s">
        <v>111</v>
      </c>
      <c r="C80" t="s">
        <v>17</v>
      </c>
      <c r="D80" t="s">
        <v>21</v>
      </c>
      <c r="E80">
        <v>6</v>
      </c>
      <c r="G80">
        <v>20</v>
      </c>
      <c r="H80">
        <v>3</v>
      </c>
      <c r="J80">
        <v>110</v>
      </c>
      <c r="K80">
        <v>3</v>
      </c>
      <c r="L80" t="s">
        <v>19</v>
      </c>
    </row>
    <row r="81" spans="1:16" x14ac:dyDescent="0.25">
      <c r="A81" t="s">
        <v>112</v>
      </c>
      <c r="C81" t="s">
        <v>17</v>
      </c>
      <c r="D81" t="s">
        <v>21</v>
      </c>
      <c r="E81">
        <v>1</v>
      </c>
      <c r="G81">
        <v>20</v>
      </c>
      <c r="H81">
        <v>2</v>
      </c>
      <c r="J81">
        <v>5</v>
      </c>
      <c r="K81">
        <v>0.1</v>
      </c>
      <c r="L81" t="s">
        <v>19</v>
      </c>
      <c r="O81" t="s">
        <v>29</v>
      </c>
      <c r="P81" t="b">
        <f>NOT(ISNA(MATCH(A81,TblNinjaSpyWpnChoices,0)))</f>
        <v>0</v>
      </c>
    </row>
    <row r="82" spans="1:16" x14ac:dyDescent="0.25">
      <c r="A82" t="s">
        <v>113</v>
      </c>
      <c r="C82" t="s">
        <v>17</v>
      </c>
      <c r="D82" t="s">
        <v>29</v>
      </c>
      <c r="E82">
        <v>11</v>
      </c>
      <c r="G82">
        <v>19</v>
      </c>
      <c r="H82">
        <v>2</v>
      </c>
      <c r="K82">
        <v>23</v>
      </c>
      <c r="L82" t="s">
        <v>22</v>
      </c>
    </row>
    <row r="83" spans="1:16" x14ac:dyDescent="0.25">
      <c r="A83" t="s">
        <v>114</v>
      </c>
      <c r="C83" t="s">
        <v>22</v>
      </c>
      <c r="D83" t="s">
        <v>115</v>
      </c>
      <c r="E83">
        <v>3</v>
      </c>
      <c r="G83">
        <v>20</v>
      </c>
      <c r="H83">
        <v>2</v>
      </c>
      <c r="K83">
        <v>1</v>
      </c>
      <c r="L83" t="s">
        <v>43</v>
      </c>
    </row>
    <row r="84" spans="1:16" x14ac:dyDescent="0.25">
      <c r="A84" t="s">
        <v>116</v>
      </c>
      <c r="C84" t="s">
        <v>17</v>
      </c>
      <c r="D84" t="s">
        <v>18</v>
      </c>
      <c r="E84">
        <v>5</v>
      </c>
      <c r="G84">
        <v>19</v>
      </c>
      <c r="H84">
        <v>2</v>
      </c>
      <c r="K84">
        <v>4</v>
      </c>
      <c r="L84" t="s">
        <v>22</v>
      </c>
    </row>
    <row r="85" spans="1:16" x14ac:dyDescent="0.25">
      <c r="A85" t="s">
        <v>117</v>
      </c>
      <c r="C85" t="s">
        <v>17</v>
      </c>
      <c r="D85" t="s">
        <v>18</v>
      </c>
      <c r="E85">
        <v>5</v>
      </c>
      <c r="G85">
        <v>20</v>
      </c>
      <c r="H85">
        <v>2</v>
      </c>
      <c r="K85">
        <v>6</v>
      </c>
      <c r="L85" t="s">
        <v>22</v>
      </c>
    </row>
    <row r="86" spans="1:16" x14ac:dyDescent="0.25">
      <c r="A86" t="s">
        <v>118</v>
      </c>
      <c r="C86" t="s">
        <v>22</v>
      </c>
      <c r="D86" t="s">
        <v>18</v>
      </c>
      <c r="E86">
        <v>4</v>
      </c>
      <c r="G86">
        <v>20</v>
      </c>
      <c r="H86">
        <v>2</v>
      </c>
      <c r="K86">
        <v>1</v>
      </c>
      <c r="L86" t="s">
        <v>19</v>
      </c>
    </row>
    <row r="87" spans="1:16" x14ac:dyDescent="0.25">
      <c r="A87" t="s">
        <v>119</v>
      </c>
      <c r="C87" t="s">
        <v>17</v>
      </c>
      <c r="D87" t="s">
        <v>21</v>
      </c>
      <c r="E87">
        <v>4</v>
      </c>
      <c r="G87">
        <v>20</v>
      </c>
      <c r="H87">
        <v>2</v>
      </c>
      <c r="J87">
        <v>20</v>
      </c>
      <c r="K87">
        <v>4</v>
      </c>
      <c r="L87" t="s">
        <v>19</v>
      </c>
    </row>
    <row r="88" spans="1:16" x14ac:dyDescent="0.25">
      <c r="A88" t="s">
        <v>120</v>
      </c>
      <c r="C88" t="s">
        <v>24</v>
      </c>
      <c r="D88" t="s">
        <v>29</v>
      </c>
      <c r="E88">
        <v>7</v>
      </c>
      <c r="G88">
        <v>20</v>
      </c>
      <c r="H88">
        <v>3</v>
      </c>
      <c r="K88">
        <v>10</v>
      </c>
      <c r="L88" t="s">
        <v>22</v>
      </c>
      <c r="N88" t="b">
        <v>1</v>
      </c>
    </row>
    <row r="89" spans="1:16" x14ac:dyDescent="0.25">
      <c r="A89" t="s">
        <v>121</v>
      </c>
      <c r="C89" t="s">
        <v>17</v>
      </c>
      <c r="D89" t="s">
        <v>21</v>
      </c>
      <c r="E89">
        <v>4</v>
      </c>
      <c r="G89">
        <v>18</v>
      </c>
      <c r="H89">
        <v>2</v>
      </c>
      <c r="J89">
        <v>10</v>
      </c>
      <c r="K89">
        <v>1</v>
      </c>
      <c r="L89" t="s">
        <v>43</v>
      </c>
    </row>
    <row r="90" spans="1:16" x14ac:dyDescent="0.25">
      <c r="A90" t="s">
        <v>122</v>
      </c>
      <c r="C90" t="s">
        <v>17</v>
      </c>
      <c r="D90" t="s">
        <v>29</v>
      </c>
      <c r="E90">
        <v>9</v>
      </c>
      <c r="G90">
        <v>20</v>
      </c>
      <c r="H90">
        <v>2</v>
      </c>
      <c r="K90">
        <v>10</v>
      </c>
      <c r="L90" t="s">
        <v>52</v>
      </c>
    </row>
    <row r="91" spans="1:16" x14ac:dyDescent="0.25">
      <c r="A91" t="s">
        <v>123</v>
      </c>
      <c r="C91" t="s">
        <v>24</v>
      </c>
      <c r="D91" t="s">
        <v>29</v>
      </c>
      <c r="E91">
        <v>8</v>
      </c>
      <c r="G91">
        <v>20</v>
      </c>
      <c r="H91">
        <v>3</v>
      </c>
      <c r="K91">
        <v>12</v>
      </c>
      <c r="L91" t="s">
        <v>22</v>
      </c>
      <c r="P91" t="b">
        <f>OR(Race="Minotaur",FullRace="Orc, Gray",FullRace="Orc, Mountain",FullRace="Goatfolk",AND(NoShLvl&gt;=1,NomadShamanRegionCell=4),AND(OR(BinLvl&gt;=1,FtPracticedBinder),NOT(ISERROR(MATCH("Haagenti",VestigesSelected,0)))))</f>
        <v>0</v>
      </c>
    </row>
    <row r="92" spans="1:16" x14ac:dyDescent="0.25">
      <c r="A92" t="s">
        <v>124</v>
      </c>
      <c r="C92" t="s">
        <v>17</v>
      </c>
      <c r="D92" t="s">
        <v>21</v>
      </c>
      <c r="E92">
        <v>7</v>
      </c>
      <c r="G92">
        <v>20</v>
      </c>
      <c r="H92">
        <v>3</v>
      </c>
      <c r="J92">
        <v>120</v>
      </c>
      <c r="K92">
        <v>6</v>
      </c>
      <c r="L92" t="s">
        <v>19</v>
      </c>
    </row>
    <row r="93" spans="1:16" x14ac:dyDescent="0.25">
      <c r="A93" t="s">
        <v>125</v>
      </c>
      <c r="C93" t="s">
        <v>17</v>
      </c>
      <c r="D93" t="s">
        <v>21</v>
      </c>
      <c r="E93">
        <v>7</v>
      </c>
      <c r="G93">
        <v>20</v>
      </c>
      <c r="H93">
        <v>3</v>
      </c>
      <c r="J93">
        <v>130</v>
      </c>
      <c r="K93">
        <v>6</v>
      </c>
      <c r="L93" t="s">
        <v>19</v>
      </c>
      <c r="O93" t="s">
        <v>24</v>
      </c>
    </row>
    <row r="94" spans="1:16" x14ac:dyDescent="0.25">
      <c r="A94" t="s">
        <v>126</v>
      </c>
      <c r="C94" t="s">
        <v>24</v>
      </c>
      <c r="D94" t="s">
        <v>29</v>
      </c>
      <c r="E94">
        <v>7</v>
      </c>
      <c r="G94">
        <v>20</v>
      </c>
      <c r="H94">
        <v>2</v>
      </c>
      <c r="K94">
        <v>8</v>
      </c>
      <c r="L94" t="s">
        <v>43</v>
      </c>
      <c r="P94" t="b">
        <f>OR(FullRace="Tayfolk, Taylang",AND(NoShLvl&gt;=1,OR(NomadShamanRegionCell=3,NomadShamanRegionCell=6)))</f>
        <v>0</v>
      </c>
    </row>
    <row r="95" spans="1:16" x14ac:dyDescent="0.25">
      <c r="A95" t="s">
        <v>127</v>
      </c>
      <c r="C95" t="s">
        <v>17</v>
      </c>
      <c r="D95" t="s">
        <v>29</v>
      </c>
      <c r="E95">
        <v>8</v>
      </c>
      <c r="G95">
        <v>20</v>
      </c>
      <c r="H95">
        <v>4</v>
      </c>
      <c r="K95">
        <v>30</v>
      </c>
      <c r="L95" t="s">
        <v>43</v>
      </c>
      <c r="O95" t="str">
        <f>IF(AND(FtImprovedWeaponFamiliarity,Race="Goliath"),"R","")</f>
        <v/>
      </c>
      <c r="P95" t="b">
        <f>AND(LEFT(O95,1)="R",OR(MartialProf,NOT(ISNA(MATCH(A95,TblMartialFeats,0)))))</f>
        <v>0</v>
      </c>
    </row>
    <row r="96" spans="1:16" x14ac:dyDescent="0.25">
      <c r="A96" t="s">
        <v>128</v>
      </c>
      <c r="C96" t="s">
        <v>17</v>
      </c>
      <c r="D96" t="s">
        <v>29</v>
      </c>
      <c r="E96">
        <v>10</v>
      </c>
      <c r="G96">
        <v>20</v>
      </c>
      <c r="H96">
        <v>3</v>
      </c>
      <c r="J96">
        <v>10</v>
      </c>
      <c r="K96">
        <v>9</v>
      </c>
      <c r="L96" t="s">
        <v>19</v>
      </c>
    </row>
    <row r="97" spans="1:16" x14ac:dyDescent="0.25">
      <c r="A97" t="s">
        <v>129</v>
      </c>
      <c r="C97" t="s">
        <v>24</v>
      </c>
      <c r="D97" t="s">
        <v>29</v>
      </c>
      <c r="E97">
        <v>10</v>
      </c>
      <c r="G97">
        <v>19</v>
      </c>
      <c r="H97">
        <v>2</v>
      </c>
      <c r="K97">
        <v>8</v>
      </c>
      <c r="L97" t="s">
        <v>22</v>
      </c>
      <c r="P97" t="b">
        <f>OR((FullRace="Orog"),AND(BinLvl&gt;=1,NOT(ISERROR(MATCH("Andras",VestigesSelected,0)))))</f>
        <v>0</v>
      </c>
    </row>
    <row r="98" spans="1:16" x14ac:dyDescent="0.25">
      <c r="A98" t="s">
        <v>130</v>
      </c>
      <c r="C98" t="s">
        <v>17</v>
      </c>
      <c r="D98" t="s">
        <v>29</v>
      </c>
      <c r="E98">
        <v>10</v>
      </c>
      <c r="G98">
        <v>20</v>
      </c>
      <c r="H98">
        <v>4</v>
      </c>
      <c r="K98">
        <v>17</v>
      </c>
      <c r="L98" t="s">
        <v>22</v>
      </c>
    </row>
    <row r="99" spans="1:16" x14ac:dyDescent="0.25">
      <c r="A99" t="s">
        <v>131</v>
      </c>
      <c r="C99" t="s">
        <v>24</v>
      </c>
      <c r="D99" t="s">
        <v>29</v>
      </c>
      <c r="E99">
        <v>9</v>
      </c>
      <c r="G99">
        <v>20</v>
      </c>
      <c r="H99">
        <v>3</v>
      </c>
      <c r="K99">
        <v>12</v>
      </c>
      <c r="L99" t="s">
        <v>22</v>
      </c>
      <c r="N99" t="b">
        <v>1</v>
      </c>
    </row>
    <row r="100" spans="1:16" x14ac:dyDescent="0.25">
      <c r="A100" t="s">
        <v>132</v>
      </c>
      <c r="C100" t="s">
        <v>17</v>
      </c>
      <c r="D100" t="s">
        <v>29</v>
      </c>
      <c r="E100">
        <v>6</v>
      </c>
      <c r="F100">
        <v>6</v>
      </c>
      <c r="G100">
        <v>19</v>
      </c>
      <c r="H100">
        <v>2</v>
      </c>
      <c r="I100">
        <v>6</v>
      </c>
      <c r="K100">
        <v>20</v>
      </c>
      <c r="L100" t="s">
        <v>133</v>
      </c>
    </row>
    <row r="101" spans="1:16" x14ac:dyDescent="0.25">
      <c r="A101" t="s">
        <v>134</v>
      </c>
      <c r="C101" t="s">
        <v>17</v>
      </c>
      <c r="D101" t="s">
        <v>29</v>
      </c>
      <c r="E101">
        <v>7</v>
      </c>
      <c r="F101">
        <v>7</v>
      </c>
      <c r="G101">
        <v>20</v>
      </c>
      <c r="H101">
        <v>2</v>
      </c>
      <c r="I101">
        <v>2</v>
      </c>
      <c r="K101">
        <v>25</v>
      </c>
      <c r="L101" t="s">
        <v>22</v>
      </c>
      <c r="O101" t="str">
        <f>IF(Race="Thri-Kreen","R","")</f>
        <v/>
      </c>
      <c r="P101" t="b">
        <f>Race="Thri-kreen"</f>
        <v>0</v>
      </c>
    </row>
    <row r="102" spans="1:16" x14ac:dyDescent="0.25">
      <c r="A102" t="s">
        <v>135</v>
      </c>
      <c r="C102" t="s">
        <v>24</v>
      </c>
      <c r="D102" t="s">
        <v>29</v>
      </c>
      <c r="E102">
        <v>7</v>
      </c>
      <c r="G102">
        <v>20</v>
      </c>
      <c r="H102">
        <v>3</v>
      </c>
      <c r="K102">
        <v>12</v>
      </c>
      <c r="L102" t="s">
        <v>70</v>
      </c>
    </row>
    <row r="103" spans="1:16" x14ac:dyDescent="0.25">
      <c r="A103" t="s">
        <v>136</v>
      </c>
      <c r="C103" t="s">
        <v>17</v>
      </c>
      <c r="D103" t="s">
        <v>29</v>
      </c>
      <c r="E103">
        <v>6</v>
      </c>
      <c r="F103">
        <v>6</v>
      </c>
      <c r="G103">
        <v>20</v>
      </c>
      <c r="H103">
        <v>3</v>
      </c>
      <c r="I103">
        <v>3</v>
      </c>
      <c r="K103">
        <v>18</v>
      </c>
      <c r="L103" t="s">
        <v>43</v>
      </c>
    </row>
    <row r="104" spans="1:16" x14ac:dyDescent="0.25">
      <c r="A104" t="s">
        <v>137</v>
      </c>
      <c r="C104" t="s">
        <v>17</v>
      </c>
      <c r="D104" t="s">
        <v>29</v>
      </c>
      <c r="E104">
        <v>6</v>
      </c>
      <c r="F104">
        <v>5</v>
      </c>
      <c r="G104">
        <v>20</v>
      </c>
      <c r="H104">
        <v>3</v>
      </c>
      <c r="I104">
        <v>4</v>
      </c>
      <c r="K104">
        <v>6</v>
      </c>
      <c r="L104" t="s">
        <v>52</v>
      </c>
      <c r="O104" t="str">
        <f>IF(Race="Gnome","R","")</f>
        <v/>
      </c>
      <c r="P104" t="b">
        <f>AND(LEFT(O104,1)="R",OR(MartialProf,NOT(ISNA(MATCH(A104,TblMartialFeats,0)))))</f>
        <v>0</v>
      </c>
    </row>
    <row r="105" spans="1:16" x14ac:dyDescent="0.25">
      <c r="A105" t="s">
        <v>138</v>
      </c>
      <c r="C105" t="s">
        <v>24</v>
      </c>
      <c r="D105" t="s">
        <v>18</v>
      </c>
      <c r="E105">
        <v>4</v>
      </c>
      <c r="G105">
        <v>20</v>
      </c>
      <c r="H105">
        <v>2</v>
      </c>
      <c r="J105">
        <v>20</v>
      </c>
      <c r="K105">
        <v>2</v>
      </c>
      <c r="L105" t="s">
        <v>43</v>
      </c>
    </row>
    <row r="106" spans="1:16" x14ac:dyDescent="0.25">
      <c r="A106" t="s">
        <v>139</v>
      </c>
      <c r="C106" t="s">
        <v>24</v>
      </c>
      <c r="D106" t="s">
        <v>29</v>
      </c>
      <c r="E106">
        <v>9</v>
      </c>
      <c r="G106">
        <v>20</v>
      </c>
      <c r="H106">
        <v>4</v>
      </c>
      <c r="K106">
        <v>10</v>
      </c>
      <c r="L106" t="s">
        <v>19</v>
      </c>
      <c r="N106" t="b">
        <v>1</v>
      </c>
    </row>
    <row r="107" spans="1:16" x14ac:dyDescent="0.25">
      <c r="A107" t="s">
        <v>140</v>
      </c>
      <c r="C107" t="s">
        <v>17</v>
      </c>
      <c r="D107" t="s">
        <v>18</v>
      </c>
      <c r="E107">
        <v>5</v>
      </c>
      <c r="G107">
        <v>20</v>
      </c>
      <c r="H107">
        <v>2</v>
      </c>
      <c r="J107">
        <v>20</v>
      </c>
      <c r="K107">
        <v>2</v>
      </c>
      <c r="L107" t="s">
        <v>43</v>
      </c>
    </row>
    <row r="108" spans="1:16" x14ac:dyDescent="0.25">
      <c r="A108" t="s">
        <v>141</v>
      </c>
      <c r="C108" t="s">
        <v>24</v>
      </c>
      <c r="D108" t="s">
        <v>18</v>
      </c>
      <c r="E108">
        <v>5</v>
      </c>
      <c r="G108">
        <v>20</v>
      </c>
      <c r="H108">
        <v>3</v>
      </c>
      <c r="K108">
        <v>3</v>
      </c>
      <c r="L108" t="s">
        <v>22</v>
      </c>
      <c r="P108" t="e">
        <f>OR(MnkLvl&gt;=1,SmnLvl&gt;=1,SctLvl&gt;=1,MoJLvl&gt;=1,FullRace="Dwarf, Wild",AND(NoShLvl&gt;=1,OR(NomadShamanRegionCell=3,NomadShamanRegionCell=4,NomadShamanRegionCell=5)),AND(OR(BinLvl&gt;=1,FtPracticedBinder),NOT(ISERROR(MATCH("Haagenti",VestigesSelected,0)))))</f>
        <v>#REF!</v>
      </c>
    </row>
    <row r="109" spans="1:16" x14ac:dyDescent="0.25">
      <c r="A109" t="s">
        <v>142</v>
      </c>
      <c r="C109" t="s">
        <v>17</v>
      </c>
      <c r="D109" t="s">
        <v>21</v>
      </c>
      <c r="E109">
        <v>7</v>
      </c>
      <c r="G109">
        <v>20</v>
      </c>
      <c r="H109">
        <v>2</v>
      </c>
      <c r="J109">
        <v>30</v>
      </c>
      <c r="K109">
        <v>10</v>
      </c>
      <c r="L109" t="s">
        <v>19</v>
      </c>
    </row>
    <row r="110" spans="1:16" x14ac:dyDescent="0.25">
      <c r="A110" t="s">
        <v>143</v>
      </c>
      <c r="C110" t="s">
        <v>17</v>
      </c>
      <c r="D110" t="s">
        <v>21</v>
      </c>
      <c r="E110">
        <v>8</v>
      </c>
      <c r="G110">
        <v>20</v>
      </c>
      <c r="H110">
        <v>3</v>
      </c>
      <c r="J110">
        <v>30</v>
      </c>
      <c r="K110">
        <v>12</v>
      </c>
      <c r="L110" t="s">
        <v>19</v>
      </c>
    </row>
    <row r="111" spans="1:16" x14ac:dyDescent="0.25">
      <c r="A111" t="s">
        <v>144</v>
      </c>
      <c r="C111" t="s">
        <v>17</v>
      </c>
      <c r="D111" t="s">
        <v>21</v>
      </c>
      <c r="E111">
        <v>5</v>
      </c>
      <c r="G111">
        <v>20</v>
      </c>
      <c r="H111">
        <v>3</v>
      </c>
      <c r="J111">
        <v>10</v>
      </c>
      <c r="K111">
        <v>3</v>
      </c>
      <c r="L111" t="s">
        <v>22</v>
      </c>
      <c r="O111" t="s">
        <v>29</v>
      </c>
    </row>
    <row r="112" spans="1:16" x14ac:dyDescent="0.25">
      <c r="A112" t="s">
        <v>145</v>
      </c>
      <c r="C112" t="s">
        <v>17</v>
      </c>
      <c r="D112" t="s">
        <v>26</v>
      </c>
      <c r="E112">
        <v>5</v>
      </c>
      <c r="G112">
        <v>19</v>
      </c>
      <c r="H112">
        <v>2</v>
      </c>
      <c r="K112">
        <v>4</v>
      </c>
      <c r="L112" t="s">
        <v>22</v>
      </c>
    </row>
    <row r="113" spans="1:16" x14ac:dyDescent="0.25">
      <c r="A113" t="s">
        <v>146</v>
      </c>
      <c r="C113" t="s">
        <v>22</v>
      </c>
      <c r="D113" t="s">
        <v>21</v>
      </c>
      <c r="E113">
        <v>5</v>
      </c>
      <c r="G113">
        <v>20</v>
      </c>
      <c r="H113">
        <v>2</v>
      </c>
      <c r="J113">
        <v>30</v>
      </c>
      <c r="K113">
        <v>2</v>
      </c>
      <c r="L113" t="s">
        <v>19</v>
      </c>
      <c r="O113" t="s">
        <v>29</v>
      </c>
      <c r="P113" t="b">
        <f>OR(FullRace="Orc, Mountain",Race="Aarakocra", MnkLvl&gt;=1,SmnLvl&gt;=1)</f>
        <v>0</v>
      </c>
    </row>
    <row r="114" spans="1:16" x14ac:dyDescent="0.25">
      <c r="A114" t="s">
        <v>147</v>
      </c>
      <c r="C114" t="s">
        <v>17</v>
      </c>
      <c r="D114" t="s">
        <v>21</v>
      </c>
      <c r="E114">
        <v>6</v>
      </c>
      <c r="G114">
        <v>19</v>
      </c>
      <c r="H114">
        <v>2</v>
      </c>
      <c r="J114">
        <v>50</v>
      </c>
      <c r="K114">
        <v>2</v>
      </c>
      <c r="L114" t="s">
        <v>19</v>
      </c>
      <c r="O114" t="s">
        <v>29</v>
      </c>
    </row>
    <row r="115" spans="1:16" x14ac:dyDescent="0.25">
      <c r="A115" t="s">
        <v>148</v>
      </c>
      <c r="B115" t="s">
        <v>39</v>
      </c>
      <c r="C115" t="s">
        <v>17</v>
      </c>
      <c r="D115" t="s">
        <v>18</v>
      </c>
      <c r="E115">
        <v>4</v>
      </c>
      <c r="G115">
        <v>30</v>
      </c>
      <c r="H115">
        <v>2</v>
      </c>
      <c r="K115">
        <v>2</v>
      </c>
      <c r="L115" t="s">
        <v>43</v>
      </c>
      <c r="O115" t="s">
        <v>115</v>
      </c>
      <c r="P115" t="b">
        <f>MMcLvl&gt;=1</f>
        <v>0</v>
      </c>
    </row>
    <row r="116" spans="1:16" x14ac:dyDescent="0.25">
      <c r="A116" t="s">
        <v>149</v>
      </c>
      <c r="C116" t="s">
        <v>17</v>
      </c>
      <c r="D116" t="s">
        <v>29</v>
      </c>
      <c r="E116">
        <v>10</v>
      </c>
      <c r="G116">
        <v>18</v>
      </c>
      <c r="H116">
        <v>2</v>
      </c>
      <c r="K116">
        <v>13</v>
      </c>
      <c r="L116" t="s">
        <v>22</v>
      </c>
    </row>
    <row r="117" spans="1:16" x14ac:dyDescent="0.25">
      <c r="A117" t="s">
        <v>150</v>
      </c>
      <c r="C117" t="s">
        <v>17</v>
      </c>
      <c r="D117" t="s">
        <v>18</v>
      </c>
      <c r="E117">
        <v>5</v>
      </c>
      <c r="G117">
        <v>20</v>
      </c>
      <c r="H117">
        <v>2</v>
      </c>
      <c r="K117">
        <v>2</v>
      </c>
      <c r="L117" t="s">
        <v>22</v>
      </c>
      <c r="O117" t="s">
        <v>115</v>
      </c>
      <c r="P117" t="b">
        <f>OR(MnkLvl&gt;=1,NjaLvl&gt;=1,MMcLvl&gt;=1)</f>
        <v>0</v>
      </c>
    </row>
    <row r="118" spans="1:16" x14ac:dyDescent="0.25">
      <c r="A118" s="1" t="s">
        <v>151</v>
      </c>
      <c r="B118" s="1" t="s">
        <v>39</v>
      </c>
      <c r="C118" t="s">
        <v>17</v>
      </c>
      <c r="D118" t="s">
        <v>26</v>
      </c>
      <c r="E118">
        <v>7</v>
      </c>
      <c r="G118">
        <v>19</v>
      </c>
      <c r="H118">
        <v>2</v>
      </c>
      <c r="K118">
        <v>6</v>
      </c>
      <c r="L118" t="s">
        <v>22</v>
      </c>
      <c r="O118" t="str">
        <f>"X"&amp;IF(IaiLvl&gt;=1,",F","")</f>
        <v>X</v>
      </c>
      <c r="P118" t="b">
        <f>OR(SamLvl&gt;=1,AND(BinLvl&gt;=1,NOT(ISERROR(MATCH("Kas",VestigesSelected,0)))))</f>
        <v>0</v>
      </c>
    </row>
    <row r="119" spans="1:16" x14ac:dyDescent="0.25">
      <c r="A119" s="1" t="s">
        <v>152</v>
      </c>
      <c r="B119" s="1" t="s">
        <v>39</v>
      </c>
      <c r="C119" t="s">
        <v>17</v>
      </c>
      <c r="D119" t="s">
        <v>26</v>
      </c>
      <c r="E119">
        <v>6</v>
      </c>
      <c r="G119">
        <v>20</v>
      </c>
      <c r="H119">
        <v>2</v>
      </c>
      <c r="K119">
        <v>4</v>
      </c>
      <c r="L119" t="s">
        <v>43</v>
      </c>
    </row>
    <row r="120" spans="1:16" x14ac:dyDescent="0.25">
      <c r="A120" s="1" t="s">
        <v>153</v>
      </c>
      <c r="B120" s="1" t="s">
        <v>39</v>
      </c>
      <c r="C120" t="s">
        <v>17</v>
      </c>
      <c r="D120" t="s">
        <v>26</v>
      </c>
      <c r="E120">
        <v>3</v>
      </c>
      <c r="F120">
        <v>3</v>
      </c>
      <c r="G120">
        <v>20</v>
      </c>
      <c r="H120">
        <v>2</v>
      </c>
      <c r="K120">
        <v>1</v>
      </c>
      <c r="L120" t="s">
        <v>154</v>
      </c>
      <c r="N120" t="b">
        <v>1</v>
      </c>
    </row>
    <row r="121" spans="1:16" x14ac:dyDescent="0.25">
      <c r="A121" t="s">
        <v>155</v>
      </c>
      <c r="C121" t="s">
        <v>17</v>
      </c>
      <c r="D121" t="s">
        <v>26</v>
      </c>
      <c r="E121">
        <v>5</v>
      </c>
      <c r="G121">
        <v>18</v>
      </c>
      <c r="H121">
        <v>2</v>
      </c>
      <c r="K121">
        <v>4</v>
      </c>
      <c r="L121" t="s">
        <v>22</v>
      </c>
    </row>
    <row r="122" spans="1:16" x14ac:dyDescent="0.25">
      <c r="A122" t="s">
        <v>156</v>
      </c>
      <c r="C122" t="s">
        <v>17</v>
      </c>
      <c r="D122" t="s">
        <v>29</v>
      </c>
      <c r="E122">
        <v>5</v>
      </c>
      <c r="F122">
        <v>5</v>
      </c>
      <c r="G122">
        <v>18</v>
      </c>
      <c r="H122">
        <v>2</v>
      </c>
      <c r="I122">
        <v>2</v>
      </c>
      <c r="K122">
        <v>8</v>
      </c>
      <c r="L122" t="s">
        <v>22</v>
      </c>
    </row>
    <row r="123" spans="1:16" x14ac:dyDescent="0.25">
      <c r="A123" t="s">
        <v>157</v>
      </c>
      <c r="C123" t="s">
        <v>17</v>
      </c>
      <c r="D123" t="s">
        <v>18</v>
      </c>
      <c r="E123">
        <v>5</v>
      </c>
      <c r="G123">
        <v>19</v>
      </c>
      <c r="H123">
        <v>2</v>
      </c>
      <c r="J123">
        <v>10</v>
      </c>
      <c r="K123">
        <v>2</v>
      </c>
      <c r="L123" t="s">
        <v>19</v>
      </c>
      <c r="P123" t="b">
        <f>FtDrowSkirmisher</f>
        <v>0</v>
      </c>
    </row>
    <row r="124" spans="1:16" x14ac:dyDescent="0.25">
      <c r="A124" t="s">
        <v>158</v>
      </c>
      <c r="C124" t="s">
        <v>17</v>
      </c>
      <c r="D124" t="s">
        <v>18</v>
      </c>
      <c r="E124">
        <v>4</v>
      </c>
      <c r="G124">
        <v>19</v>
      </c>
      <c r="H124">
        <v>2</v>
      </c>
      <c r="K124">
        <v>2</v>
      </c>
      <c r="L124" t="s">
        <v>19</v>
      </c>
    </row>
    <row r="125" spans="1:16" x14ac:dyDescent="0.25">
      <c r="A125" t="s">
        <v>159</v>
      </c>
      <c r="C125" t="s">
        <v>24</v>
      </c>
      <c r="D125" t="s">
        <v>18</v>
      </c>
      <c r="E125">
        <v>4</v>
      </c>
      <c r="G125">
        <v>18</v>
      </c>
      <c r="H125">
        <v>2</v>
      </c>
      <c r="K125">
        <v>3</v>
      </c>
      <c r="L125" t="s">
        <v>22</v>
      </c>
      <c r="P125" t="b">
        <f>NjaLvl&gt;=1</f>
        <v>0</v>
      </c>
    </row>
    <row r="126" spans="1:16" x14ac:dyDescent="0.25">
      <c r="A126" t="s">
        <v>160</v>
      </c>
      <c r="B126" t="s">
        <v>39</v>
      </c>
      <c r="C126" t="s">
        <v>17</v>
      </c>
      <c r="D126" t="s">
        <v>29</v>
      </c>
      <c r="E126">
        <v>5</v>
      </c>
      <c r="F126">
        <v>4</v>
      </c>
      <c r="G126">
        <v>20</v>
      </c>
      <c r="H126">
        <v>2</v>
      </c>
      <c r="I126">
        <v>2</v>
      </c>
      <c r="K126">
        <v>3</v>
      </c>
      <c r="L126" t="s">
        <v>154</v>
      </c>
      <c r="N126" t="b">
        <v>1</v>
      </c>
      <c r="O126" t="s">
        <v>161</v>
      </c>
      <c r="P126" t="b">
        <f>OR(MMcLvl&gt;=1,NOT(ISNA(MATCH(A126,TblNinjaSpyWpnChoices,0))))</f>
        <v>0</v>
      </c>
    </row>
    <row r="127" spans="1:16" x14ac:dyDescent="0.25">
      <c r="A127" t="s">
        <v>162</v>
      </c>
      <c r="C127" t="s">
        <v>17</v>
      </c>
      <c r="D127" t="s">
        <v>21</v>
      </c>
      <c r="E127">
        <v>5</v>
      </c>
      <c r="G127">
        <v>20</v>
      </c>
      <c r="H127">
        <v>2</v>
      </c>
      <c r="J127">
        <v>20</v>
      </c>
      <c r="K127">
        <v>5</v>
      </c>
      <c r="L127" t="s">
        <v>43</v>
      </c>
    </row>
    <row r="128" spans="1:16" x14ac:dyDescent="0.25">
      <c r="A128" t="s">
        <v>163</v>
      </c>
      <c r="B128" t="s">
        <v>39</v>
      </c>
      <c r="C128" t="s">
        <v>17</v>
      </c>
      <c r="D128" t="s">
        <v>29</v>
      </c>
      <c r="E128">
        <v>6</v>
      </c>
      <c r="F128">
        <v>6</v>
      </c>
      <c r="G128">
        <v>20</v>
      </c>
      <c r="H128">
        <v>2</v>
      </c>
      <c r="I128">
        <v>2</v>
      </c>
      <c r="K128">
        <v>7</v>
      </c>
      <c r="L128" t="s">
        <v>22</v>
      </c>
      <c r="O128" t="s">
        <v>115</v>
      </c>
    </row>
    <row r="129" spans="1:16" x14ac:dyDescent="0.25">
      <c r="A129" t="s">
        <v>164</v>
      </c>
      <c r="C129" t="s">
        <v>24</v>
      </c>
      <c r="D129" t="s">
        <v>29</v>
      </c>
      <c r="E129">
        <v>6</v>
      </c>
      <c r="G129">
        <v>20</v>
      </c>
      <c r="H129">
        <v>3</v>
      </c>
      <c r="K129">
        <v>10</v>
      </c>
      <c r="L129" t="s">
        <v>19</v>
      </c>
      <c r="N129" t="b">
        <v>1</v>
      </c>
      <c r="P129" t="b">
        <f>OR(FtHorseNomad,AND(NoShLvl&gt;=1,OR(NomadShamanRegionCell=2,NomadShamanRegionCell=6)),AND(BinLvl&gt;=1,NOT(ISERROR(MATCH("Andras",VestigesSelected,0)))))</f>
        <v>0</v>
      </c>
    </row>
    <row r="130" spans="1:16" x14ac:dyDescent="0.25">
      <c r="A130" t="s">
        <v>165</v>
      </c>
      <c r="C130" t="s">
        <v>24</v>
      </c>
      <c r="D130" t="s">
        <v>18</v>
      </c>
      <c r="E130">
        <v>4</v>
      </c>
      <c r="G130">
        <v>18</v>
      </c>
      <c r="H130">
        <v>2</v>
      </c>
      <c r="K130">
        <v>3</v>
      </c>
      <c r="L130" t="s">
        <v>19</v>
      </c>
    </row>
    <row r="131" spans="1:16" x14ac:dyDescent="0.25">
      <c r="A131" t="s">
        <v>166</v>
      </c>
      <c r="C131" t="s">
        <v>17</v>
      </c>
      <c r="D131" t="s">
        <v>18</v>
      </c>
      <c r="E131">
        <v>5</v>
      </c>
      <c r="G131">
        <v>18</v>
      </c>
      <c r="H131">
        <v>2</v>
      </c>
      <c r="K131">
        <v>1</v>
      </c>
      <c r="L131" t="s">
        <v>19</v>
      </c>
      <c r="O131" t="str">
        <f>IF(AND(FtImprovedWeaponFamiliarity,OR(Race="Elf",Race="Half-Elf")),"R","")</f>
        <v/>
      </c>
      <c r="P131" t="b">
        <f>AND(LEFT(O131,1)="R",OR(MartialProf,NOT(ISNA(MATCH(A131,TblMartialFeats,0)))))</f>
        <v>0</v>
      </c>
    </row>
    <row r="132" spans="1:16" x14ac:dyDescent="0.25">
      <c r="A132" t="s">
        <v>167</v>
      </c>
      <c r="C132" t="s">
        <v>17</v>
      </c>
      <c r="D132" t="s">
        <v>29</v>
      </c>
      <c r="E132">
        <v>8</v>
      </c>
      <c r="G132">
        <v>20</v>
      </c>
      <c r="H132">
        <v>3</v>
      </c>
      <c r="K132">
        <v>15</v>
      </c>
      <c r="L132" t="s">
        <v>22</v>
      </c>
    </row>
    <row r="133" spans="1:16" x14ac:dyDescent="0.25">
      <c r="A133" t="s">
        <v>168</v>
      </c>
      <c r="C133" t="s">
        <v>24</v>
      </c>
      <c r="D133" t="s">
        <v>21</v>
      </c>
      <c r="E133">
        <v>6</v>
      </c>
      <c r="G133">
        <v>20</v>
      </c>
      <c r="H133">
        <v>3</v>
      </c>
      <c r="J133">
        <v>100</v>
      </c>
      <c r="K133">
        <v>3</v>
      </c>
      <c r="L133" t="s">
        <v>19</v>
      </c>
      <c r="P133" t="b">
        <f>OR(AND(Race="Elf",Subrace&lt;&gt;"Drow",Subrace&lt;&gt;"Aquatic",Subrace&lt;&gt;"Winged",Subrace&lt;&gt;"Forestlord"),Race="Grig",Race="Pixie",Race="Yuan-Ti",Race="Centaur",FullRace="Orc, Gray",Race="Frost Folk",AND(RuaLvl&gt;=1,RuatharMartialWeaponCell=4),MnfLvl&gt;=1)</f>
        <v>0</v>
      </c>
    </row>
    <row r="134" spans="1:16" x14ac:dyDescent="0.25">
      <c r="A134" t="s">
        <v>169</v>
      </c>
      <c r="C134" t="s">
        <v>24</v>
      </c>
      <c r="D134" t="s">
        <v>21</v>
      </c>
      <c r="E134">
        <v>6</v>
      </c>
      <c r="G134">
        <v>20</v>
      </c>
      <c r="H134">
        <v>3</v>
      </c>
      <c r="J134">
        <v>60</v>
      </c>
      <c r="K134">
        <v>3</v>
      </c>
      <c r="L134" t="s">
        <v>19</v>
      </c>
    </row>
    <row r="135" spans="1:16" x14ac:dyDescent="0.25">
      <c r="A135" t="s">
        <v>170</v>
      </c>
      <c r="C135" t="s">
        <v>24</v>
      </c>
      <c r="D135" t="s">
        <v>21</v>
      </c>
      <c r="E135">
        <v>6</v>
      </c>
      <c r="G135">
        <v>20</v>
      </c>
      <c r="H135">
        <v>3</v>
      </c>
      <c r="J135">
        <v>110</v>
      </c>
      <c r="K135">
        <v>3</v>
      </c>
      <c r="L135" t="s">
        <v>19</v>
      </c>
      <c r="O135" t="s">
        <v>24</v>
      </c>
      <c r="P135" t="b">
        <f>P133</f>
        <v>0</v>
      </c>
    </row>
    <row r="136" spans="1:16" x14ac:dyDescent="0.25">
      <c r="A136" t="s">
        <v>171</v>
      </c>
      <c r="C136" t="s">
        <v>22</v>
      </c>
      <c r="D136" t="s">
        <v>29</v>
      </c>
      <c r="E136">
        <v>6</v>
      </c>
      <c r="G136">
        <v>20</v>
      </c>
      <c r="H136">
        <v>3</v>
      </c>
      <c r="K136">
        <v>9</v>
      </c>
      <c r="L136" t="s">
        <v>19</v>
      </c>
      <c r="N136" t="b">
        <v>1</v>
      </c>
      <c r="O136" t="str">
        <f>IF(FtSerpentStrike,"U","")</f>
        <v/>
      </c>
      <c r="P136" t="b">
        <f>OR(SmnLvl&gt;=1,FullRace="Elf, Aquatic",Subrace="Kagonesti",Subrace="Sea, (Dargonesti)",Subrace="Sea, (Dimernesti)")</f>
        <v>0</v>
      </c>
    </row>
    <row r="137" spans="1:16" x14ac:dyDescent="0.25">
      <c r="A137" t="s">
        <v>172</v>
      </c>
      <c r="C137" t="s">
        <v>17</v>
      </c>
      <c r="D137" t="s">
        <v>29</v>
      </c>
      <c r="E137">
        <v>5</v>
      </c>
      <c r="F137">
        <v>5</v>
      </c>
      <c r="G137">
        <v>20</v>
      </c>
      <c r="H137">
        <v>2</v>
      </c>
      <c r="I137">
        <v>2</v>
      </c>
      <c r="K137">
        <v>6</v>
      </c>
      <c r="L137" t="s">
        <v>43</v>
      </c>
    </row>
    <row r="138" spans="1:16" x14ac:dyDescent="0.25">
      <c r="A138" t="s">
        <v>173</v>
      </c>
      <c r="C138" t="s">
        <v>24</v>
      </c>
      <c r="D138" t="s">
        <v>26</v>
      </c>
      <c r="E138">
        <v>6</v>
      </c>
      <c r="G138">
        <v>19</v>
      </c>
      <c r="H138">
        <v>2</v>
      </c>
      <c r="K138">
        <v>4</v>
      </c>
      <c r="L138" t="s">
        <v>22</v>
      </c>
      <c r="O138" t="str">
        <f>IF(FtWhirlingSteelStrike,"U","")</f>
        <v/>
      </c>
      <c r="P138" t="b">
        <f>OR(AND(Race="Elf",Subrace&lt;&gt;"Drow",Subrace&lt;&gt;"Aquatic",Subrace&lt;&gt;"Wild",Subrace&lt;&gt;"Kagonesti",Subrace&lt;&gt;"Forestlord"),FullRace="Centaur",BrdLvl&gt;=1,FMkLvl&gt;=1,FullRace="Draconian, Baaz",AND(RuaLvl&gt;=1,RuatharMartialWeaponCell=2),MnfLvl&gt;=1,DrPgLvl&gt;0,AND(BinLvl&gt;=1,NOT(ISERROR(MATCH("Andras",VestigesSelected,0)))),AND(BinLvl&gt;=1,NOT(ISERROR(MATCH("Kas",VestigesSelected,0)))))</f>
        <v>1</v>
      </c>
    </row>
    <row r="139" spans="1:16" x14ac:dyDescent="0.25">
      <c r="A139" t="s">
        <v>174</v>
      </c>
      <c r="C139" t="s">
        <v>17</v>
      </c>
      <c r="D139" t="s">
        <v>26</v>
      </c>
      <c r="E139">
        <v>6</v>
      </c>
      <c r="G139">
        <v>20</v>
      </c>
      <c r="H139">
        <v>4</v>
      </c>
      <c r="K139">
        <v>6</v>
      </c>
      <c r="L139" t="s">
        <v>22</v>
      </c>
    </row>
    <row r="140" spans="1:16" x14ac:dyDescent="0.25">
      <c r="A140" t="s">
        <v>175</v>
      </c>
      <c r="C140" t="s">
        <v>17</v>
      </c>
      <c r="D140" t="s">
        <v>29</v>
      </c>
      <c r="E140">
        <v>5</v>
      </c>
      <c r="F140">
        <v>4</v>
      </c>
      <c r="G140">
        <v>18</v>
      </c>
      <c r="H140">
        <v>2</v>
      </c>
      <c r="I140">
        <v>3</v>
      </c>
      <c r="K140">
        <v>4</v>
      </c>
      <c r="L140" t="s">
        <v>70</v>
      </c>
    </row>
    <row r="141" spans="1:16" x14ac:dyDescent="0.25">
      <c r="A141" t="s">
        <v>176</v>
      </c>
      <c r="C141" t="s">
        <v>17</v>
      </c>
      <c r="D141" t="s">
        <v>29</v>
      </c>
      <c r="E141">
        <v>6</v>
      </c>
      <c r="F141">
        <v>6</v>
      </c>
      <c r="G141">
        <v>20</v>
      </c>
      <c r="H141">
        <v>2</v>
      </c>
      <c r="I141">
        <v>2</v>
      </c>
      <c r="K141">
        <v>25</v>
      </c>
      <c r="L141" t="s">
        <v>43</v>
      </c>
    </row>
    <row r="142" spans="1:16" x14ac:dyDescent="0.25">
      <c r="A142" t="s">
        <v>177</v>
      </c>
      <c r="C142" t="s">
        <v>22</v>
      </c>
      <c r="D142" t="s">
        <v>26</v>
      </c>
      <c r="E142">
        <v>6</v>
      </c>
      <c r="G142">
        <v>20</v>
      </c>
      <c r="H142">
        <v>2</v>
      </c>
      <c r="K142">
        <v>8</v>
      </c>
      <c r="L142" t="s">
        <v>43</v>
      </c>
      <c r="P142" t="b">
        <f>YWRLvl&gt;=1</f>
        <v>0</v>
      </c>
    </row>
    <row r="143" spans="1:16" x14ac:dyDescent="0.25">
      <c r="A143" t="s">
        <v>178</v>
      </c>
      <c r="C143" t="s">
        <v>22</v>
      </c>
      <c r="D143" t="s">
        <v>18</v>
      </c>
      <c r="E143">
        <v>5</v>
      </c>
      <c r="G143">
        <v>20</v>
      </c>
      <c r="H143">
        <v>2</v>
      </c>
      <c r="K143">
        <v>4</v>
      </c>
      <c r="L143" t="s">
        <v>43</v>
      </c>
      <c r="P143" t="e">
        <f>OR(MoJLvl&gt;=1,YWRLvl&gt;=1)</f>
        <v>#REF!</v>
      </c>
    </row>
    <row r="144" spans="1:16" x14ac:dyDescent="0.25">
      <c r="A144" t="s">
        <v>179</v>
      </c>
      <c r="C144" t="s">
        <v>17</v>
      </c>
      <c r="D144" t="s">
        <v>29</v>
      </c>
      <c r="E144">
        <v>4</v>
      </c>
      <c r="G144">
        <v>20</v>
      </c>
      <c r="H144">
        <v>2</v>
      </c>
      <c r="K144">
        <v>8</v>
      </c>
      <c r="L144" t="s">
        <v>43</v>
      </c>
    </row>
    <row r="145" spans="1:16" x14ac:dyDescent="0.25">
      <c r="A145" t="s">
        <v>180</v>
      </c>
      <c r="B145" t="s">
        <v>39</v>
      </c>
      <c r="C145" t="s">
        <v>17</v>
      </c>
      <c r="D145" t="s">
        <v>29</v>
      </c>
      <c r="E145">
        <v>5</v>
      </c>
      <c r="F145">
        <v>5</v>
      </c>
      <c r="G145">
        <v>20</v>
      </c>
      <c r="H145">
        <v>2</v>
      </c>
      <c r="I145">
        <v>2</v>
      </c>
      <c r="K145">
        <v>5</v>
      </c>
      <c r="L145" t="s">
        <v>43</v>
      </c>
      <c r="N145" t="b">
        <v>1</v>
      </c>
      <c r="P145" t="b">
        <f>OR(MMcLvl&gt;=1,NOT(ISNA(MATCH(A145,TblNinjaSpyWpnChoices,0))))</f>
        <v>0</v>
      </c>
    </row>
    <row r="146" spans="1:16" x14ac:dyDescent="0.25">
      <c r="A146" t="s">
        <v>181</v>
      </c>
      <c r="C146" t="s">
        <v>17</v>
      </c>
      <c r="D146" t="s">
        <v>18</v>
      </c>
      <c r="E146">
        <v>5</v>
      </c>
      <c r="G146">
        <v>19</v>
      </c>
      <c r="H146">
        <v>2</v>
      </c>
      <c r="K146">
        <v>1</v>
      </c>
      <c r="L146" t="s">
        <v>27</v>
      </c>
    </row>
    <row r="147" spans="1:16" x14ac:dyDescent="0.25">
      <c r="A147" t="s">
        <v>182</v>
      </c>
      <c r="C147" t="s">
        <v>17</v>
      </c>
      <c r="D147" t="s">
        <v>29</v>
      </c>
      <c r="E147">
        <v>6</v>
      </c>
      <c r="G147">
        <v>20</v>
      </c>
      <c r="H147">
        <v>3</v>
      </c>
      <c r="K147">
        <v>9</v>
      </c>
      <c r="L147" t="s">
        <v>19</v>
      </c>
    </row>
    <row r="148" spans="1:16" x14ac:dyDescent="0.25">
      <c r="A148" t="s">
        <v>183</v>
      </c>
      <c r="C148" t="s">
        <v>24</v>
      </c>
      <c r="D148" t="s">
        <v>29</v>
      </c>
      <c r="E148">
        <v>7</v>
      </c>
      <c r="G148">
        <v>20</v>
      </c>
      <c r="H148">
        <v>2</v>
      </c>
      <c r="K148">
        <v>10</v>
      </c>
      <c r="L148" t="s">
        <v>52</v>
      </c>
    </row>
    <row r="149" spans="1:16" x14ac:dyDescent="0.25">
      <c r="A149" t="s">
        <v>184</v>
      </c>
      <c r="C149" t="s">
        <v>17</v>
      </c>
      <c r="D149" t="s">
        <v>26</v>
      </c>
      <c r="E149">
        <v>7</v>
      </c>
      <c r="G149">
        <v>20</v>
      </c>
      <c r="H149">
        <v>3</v>
      </c>
      <c r="K149">
        <v>20</v>
      </c>
      <c r="L149" t="s">
        <v>43</v>
      </c>
      <c r="O149" t="s">
        <v>185</v>
      </c>
    </row>
    <row r="150" spans="1:16" x14ac:dyDescent="0.25">
      <c r="A150" t="s">
        <v>186</v>
      </c>
      <c r="C150" t="s">
        <v>24</v>
      </c>
      <c r="D150" t="s">
        <v>21</v>
      </c>
      <c r="E150">
        <v>6</v>
      </c>
      <c r="G150">
        <v>20</v>
      </c>
      <c r="H150">
        <v>3</v>
      </c>
      <c r="J150">
        <v>110</v>
      </c>
      <c r="K150">
        <v>2</v>
      </c>
      <c r="L150" t="s">
        <v>19</v>
      </c>
      <c r="P150" t="b">
        <f>SlBwLvl&gt;=1</f>
        <v>0</v>
      </c>
    </row>
    <row r="151" spans="1:16" x14ac:dyDescent="0.25">
      <c r="A151" t="s">
        <v>187</v>
      </c>
      <c r="C151" t="s">
        <v>24</v>
      </c>
      <c r="D151" t="s">
        <v>18</v>
      </c>
      <c r="E151">
        <v>5</v>
      </c>
      <c r="G151">
        <v>19</v>
      </c>
      <c r="H151">
        <v>2</v>
      </c>
      <c r="J151">
        <v>30</v>
      </c>
      <c r="K151">
        <v>2</v>
      </c>
      <c r="L151" t="s">
        <v>19</v>
      </c>
      <c r="P151" t="b">
        <f>SouLvl&gt;=1</f>
        <v>0</v>
      </c>
    </row>
    <row r="152" spans="1:16" x14ac:dyDescent="0.25">
      <c r="A152" t="s">
        <v>188</v>
      </c>
      <c r="C152" t="s">
        <v>22</v>
      </c>
      <c r="D152" t="s">
        <v>26</v>
      </c>
      <c r="E152">
        <v>6</v>
      </c>
      <c r="G152">
        <v>20</v>
      </c>
      <c r="H152">
        <v>2</v>
      </c>
      <c r="K152">
        <v>6</v>
      </c>
      <c r="L152" t="s">
        <v>52</v>
      </c>
      <c r="P152" t="b">
        <f>YWRLvl&gt;=1</f>
        <v>0</v>
      </c>
    </row>
    <row r="153" spans="1:16" x14ac:dyDescent="0.25">
      <c r="A153" t="s">
        <v>189</v>
      </c>
      <c r="C153" t="s">
        <v>17</v>
      </c>
      <c r="D153" t="s">
        <v>24</v>
      </c>
      <c r="E153">
        <v>8</v>
      </c>
      <c r="G153">
        <v>20</v>
      </c>
      <c r="H153">
        <v>3</v>
      </c>
      <c r="J153">
        <v>150</v>
      </c>
      <c r="K153">
        <v>10</v>
      </c>
      <c r="L153" t="s">
        <v>19</v>
      </c>
      <c r="P153" t="b">
        <f>BPALvl&gt;=1</f>
        <v>0</v>
      </c>
    </row>
    <row r="154" spans="1:16" x14ac:dyDescent="0.25">
      <c r="A154" t="s">
        <v>190</v>
      </c>
      <c r="C154" t="s">
        <v>22</v>
      </c>
      <c r="D154" t="s">
        <v>18</v>
      </c>
      <c r="E154">
        <v>4</v>
      </c>
      <c r="G154">
        <v>19</v>
      </c>
      <c r="H154">
        <v>2</v>
      </c>
      <c r="K154">
        <v>1</v>
      </c>
      <c r="L154" t="s">
        <v>43</v>
      </c>
    </row>
    <row r="155" spans="1:16" x14ac:dyDescent="0.25">
      <c r="A155" s="1" t="s">
        <v>191</v>
      </c>
      <c r="B155" s="1" t="s">
        <v>39</v>
      </c>
      <c r="C155" s="1" t="s">
        <v>24</v>
      </c>
      <c r="D155" s="1" t="s">
        <v>29</v>
      </c>
      <c r="E155">
        <v>9</v>
      </c>
      <c r="G155">
        <v>20</v>
      </c>
      <c r="H155">
        <v>3</v>
      </c>
      <c r="K155">
        <v>10</v>
      </c>
      <c r="L155" s="1" t="s">
        <v>22</v>
      </c>
    </row>
    <row r="156" spans="1:16" x14ac:dyDescent="0.25">
      <c r="A156" s="1" t="s">
        <v>192</v>
      </c>
      <c r="B156" s="1" t="s">
        <v>39</v>
      </c>
      <c r="C156" s="1" t="s">
        <v>24</v>
      </c>
      <c r="D156" s="1" t="s">
        <v>29</v>
      </c>
      <c r="E156">
        <v>7</v>
      </c>
      <c r="G156">
        <v>20</v>
      </c>
      <c r="H156">
        <v>3</v>
      </c>
      <c r="K156">
        <v>15</v>
      </c>
      <c r="L156" s="1" t="s">
        <v>22</v>
      </c>
      <c r="N156" t="b">
        <v>1</v>
      </c>
    </row>
    <row r="157" spans="1:16" x14ac:dyDescent="0.25">
      <c r="A157" t="s">
        <v>193</v>
      </c>
      <c r="C157" t="s">
        <v>17</v>
      </c>
      <c r="D157" t="s">
        <v>21</v>
      </c>
      <c r="E157">
        <v>13</v>
      </c>
      <c r="J157">
        <v>10</v>
      </c>
      <c r="K157">
        <v>6</v>
      </c>
      <c r="L157" t="s">
        <v>194</v>
      </c>
      <c r="P157" t="b">
        <f>OR(FullRace="Elf, Aquatic",FullRace="Sea Kin",FullRace="Goblin, Forestkith",Subrace="Sea, (Dargonesti)",Subrace="Sea, (Dimernesti)",MarLvl&gt;=1,AND(CrSLvl&gt;=1,CrSWeaponProf=3))</f>
        <v>0</v>
      </c>
    </row>
    <row r="158" spans="1:16" x14ac:dyDescent="0.25">
      <c r="A158" t="s">
        <v>195</v>
      </c>
      <c r="B158" t="s">
        <v>39</v>
      </c>
      <c r="C158" t="s">
        <v>17</v>
      </c>
      <c r="D158" t="s">
        <v>18</v>
      </c>
      <c r="E158">
        <v>4</v>
      </c>
      <c r="G158">
        <v>20</v>
      </c>
      <c r="H158">
        <v>2</v>
      </c>
      <c r="K158">
        <v>2</v>
      </c>
      <c r="L158" t="s">
        <v>19</v>
      </c>
      <c r="P158" t="b">
        <f>NOT(ISNA(MATCH(A158,TblNinjaSpyWpnChoices,0)))</f>
        <v>0</v>
      </c>
    </row>
    <row r="159" spans="1:16" x14ac:dyDescent="0.25">
      <c r="A159" s="1" t="s">
        <v>196</v>
      </c>
      <c r="B159" s="1" t="s">
        <v>39</v>
      </c>
      <c r="C159" s="1" t="s">
        <v>17</v>
      </c>
      <c r="D159" s="1" t="s">
        <v>18</v>
      </c>
      <c r="E159">
        <v>5</v>
      </c>
      <c r="G159">
        <v>19</v>
      </c>
      <c r="H159">
        <v>2</v>
      </c>
      <c r="K159">
        <v>3</v>
      </c>
      <c r="L159" s="1" t="s">
        <v>22</v>
      </c>
      <c r="P159" t="b">
        <f>NOT(ISNA(MATCH(A159,TblNinjaSpyWpnChoices,0)))</f>
        <v>0</v>
      </c>
    </row>
    <row r="160" spans="1:16" x14ac:dyDescent="0.25">
      <c r="A160" t="s">
        <v>197</v>
      </c>
      <c r="C160" t="s">
        <v>17</v>
      </c>
      <c r="D160" t="s">
        <v>29</v>
      </c>
      <c r="E160">
        <v>9</v>
      </c>
      <c r="F160">
        <v>9</v>
      </c>
      <c r="G160">
        <v>19</v>
      </c>
      <c r="H160">
        <v>2</v>
      </c>
      <c r="I160">
        <v>2</v>
      </c>
      <c r="K160">
        <v>1</v>
      </c>
      <c r="L160" t="s">
        <v>133</v>
      </c>
      <c r="P160" t="b">
        <f>OR(FullRace="Desmodu")</f>
        <v>0</v>
      </c>
    </row>
    <row r="161" spans="1:16" x14ac:dyDescent="0.25">
      <c r="A161" t="s">
        <v>198</v>
      </c>
      <c r="C161" t="s">
        <v>17</v>
      </c>
      <c r="D161" t="s">
        <v>18</v>
      </c>
      <c r="E161">
        <v>5</v>
      </c>
      <c r="G161">
        <v>20</v>
      </c>
      <c r="H161">
        <v>2</v>
      </c>
      <c r="K161">
        <v>2</v>
      </c>
      <c r="L161" t="s">
        <v>43</v>
      </c>
      <c r="O161" t="s">
        <v>115</v>
      </c>
      <c r="P161" t="b">
        <f>OR(MnkLvl&gt;=1,NjaLvl&gt;=1,MMcLvl&gt;=1)</f>
        <v>0</v>
      </c>
    </row>
    <row r="162" spans="1:16" x14ac:dyDescent="0.25">
      <c r="A162" t="s">
        <v>199</v>
      </c>
      <c r="C162" t="s">
        <v>17</v>
      </c>
      <c r="D162" t="s">
        <v>29</v>
      </c>
    </row>
    <row r="163" spans="1:16" x14ac:dyDescent="0.25">
      <c r="A163" t="s">
        <v>200</v>
      </c>
      <c r="C163" t="s">
        <v>17</v>
      </c>
      <c r="D163" t="s">
        <v>29</v>
      </c>
      <c r="E163">
        <v>13</v>
      </c>
    </row>
    <row r="164" spans="1:16" x14ac:dyDescent="0.25">
      <c r="A164" t="s">
        <v>201</v>
      </c>
      <c r="C164" t="s">
        <v>17</v>
      </c>
      <c r="D164" t="s">
        <v>26</v>
      </c>
      <c r="E164">
        <v>6</v>
      </c>
      <c r="G164">
        <v>20</v>
      </c>
      <c r="H164">
        <v>4</v>
      </c>
      <c r="K164">
        <v>12</v>
      </c>
      <c r="L164" t="s">
        <v>19</v>
      </c>
      <c r="O164" t="s">
        <v>185</v>
      </c>
    </row>
    <row r="165" spans="1:16" x14ac:dyDescent="0.25">
      <c r="A165" t="s">
        <v>202</v>
      </c>
      <c r="C165" t="s">
        <v>24</v>
      </c>
      <c r="D165" t="s">
        <v>26</v>
      </c>
      <c r="E165">
        <v>5</v>
      </c>
      <c r="G165">
        <v>20</v>
      </c>
      <c r="H165">
        <v>4</v>
      </c>
      <c r="K165">
        <v>6</v>
      </c>
      <c r="L165" t="s">
        <v>19</v>
      </c>
      <c r="P165" t="b">
        <f>AND(Race="Underfolk",SimpleProf)</f>
        <v>0</v>
      </c>
    </row>
    <row r="166" spans="1:16" x14ac:dyDescent="0.25">
      <c r="A166" t="s">
        <v>203</v>
      </c>
      <c r="C166" t="s">
        <v>24</v>
      </c>
      <c r="D166" t="s">
        <v>18</v>
      </c>
      <c r="E166">
        <v>4</v>
      </c>
      <c r="G166">
        <v>20</v>
      </c>
      <c r="H166">
        <v>4</v>
      </c>
      <c r="K166">
        <v>3</v>
      </c>
      <c r="L166" t="s">
        <v>19</v>
      </c>
      <c r="P166" t="b">
        <f>OR(AND(Race="Underfolk",SimpleProf),AND(NoShLvl&gt;=1,NomadShamanRegionCell=4))</f>
        <v>0</v>
      </c>
    </row>
    <row r="167" spans="1:16" x14ac:dyDescent="0.25">
      <c r="A167" t="s">
        <v>204</v>
      </c>
      <c r="C167" t="s">
        <v>17</v>
      </c>
      <c r="D167" t="s">
        <v>29</v>
      </c>
      <c r="E167">
        <v>7</v>
      </c>
      <c r="G167">
        <v>20</v>
      </c>
      <c r="H167">
        <v>2</v>
      </c>
      <c r="J167" t="s">
        <v>194</v>
      </c>
      <c r="K167">
        <v>15</v>
      </c>
      <c r="L167" t="s">
        <v>43</v>
      </c>
    </row>
    <row r="168" spans="1:16" x14ac:dyDescent="0.25">
      <c r="A168" t="s">
        <v>205</v>
      </c>
      <c r="C168" t="s">
        <v>17</v>
      </c>
      <c r="D168" t="s">
        <v>21</v>
      </c>
      <c r="E168">
        <v>8</v>
      </c>
      <c r="G168">
        <v>20</v>
      </c>
      <c r="H168">
        <v>3</v>
      </c>
      <c r="J168">
        <v>50</v>
      </c>
      <c r="K168">
        <v>3</v>
      </c>
      <c r="L168" t="s">
        <v>19</v>
      </c>
      <c r="P168" t="b">
        <f>BPALvl&gt;=1</f>
        <v>0</v>
      </c>
    </row>
    <row r="169" spans="1:16" x14ac:dyDescent="0.25">
      <c r="A169" t="s">
        <v>206</v>
      </c>
      <c r="C169" t="s">
        <v>17</v>
      </c>
      <c r="D169" t="s">
        <v>24</v>
      </c>
      <c r="E169">
        <v>5</v>
      </c>
      <c r="G169">
        <v>20</v>
      </c>
      <c r="H169">
        <v>2</v>
      </c>
      <c r="K169">
        <v>3</v>
      </c>
      <c r="L169" t="s">
        <v>19</v>
      </c>
      <c r="P169" t="b">
        <f>ScgLvl&gt;=1</f>
        <v>0</v>
      </c>
    </row>
    <row r="170" spans="1:16" x14ac:dyDescent="0.25">
      <c r="A170" t="s">
        <v>207</v>
      </c>
      <c r="C170" t="s">
        <v>17</v>
      </c>
      <c r="D170" t="s">
        <v>29</v>
      </c>
      <c r="E170">
        <v>10</v>
      </c>
      <c r="G170">
        <v>20</v>
      </c>
      <c r="H170">
        <v>3</v>
      </c>
      <c r="K170">
        <v>15</v>
      </c>
      <c r="L170" t="s">
        <v>70</v>
      </c>
    </row>
    <row r="171" spans="1:16" x14ac:dyDescent="0.25">
      <c r="A171" t="s">
        <v>208</v>
      </c>
      <c r="C171" t="s">
        <v>22</v>
      </c>
      <c r="D171" t="s">
        <v>29</v>
      </c>
      <c r="E171">
        <v>5</v>
      </c>
      <c r="F171">
        <v>5</v>
      </c>
      <c r="G171">
        <v>20</v>
      </c>
      <c r="H171">
        <v>2</v>
      </c>
      <c r="I171">
        <v>2</v>
      </c>
      <c r="K171">
        <v>4</v>
      </c>
      <c r="L171" t="s">
        <v>43</v>
      </c>
      <c r="O171" t="s">
        <v>115</v>
      </c>
      <c r="P171" t="b">
        <f>OR(DrdLvl&gt;=1,MnkLvl&gt;=1,WizLvl&gt;=1,SmnLvl&gt;=1,PsiLvl&gt;=1,YWRLvl&gt;=1)</f>
        <v>0</v>
      </c>
    </row>
    <row r="172" spans="1:16" x14ac:dyDescent="0.25">
      <c r="A172" t="s">
        <v>209</v>
      </c>
      <c r="C172" t="s">
        <v>17</v>
      </c>
      <c r="D172" t="s">
        <v>18</v>
      </c>
      <c r="E172">
        <v>4</v>
      </c>
      <c r="G172">
        <v>19</v>
      </c>
      <c r="H172">
        <v>2</v>
      </c>
      <c r="K172">
        <v>1</v>
      </c>
      <c r="L172" t="s">
        <v>22</v>
      </c>
      <c r="O172" t="str">
        <f>IF(AND(FtImprovedWeaponFamiliarity,Race="Gnome"),"R","")</f>
        <v/>
      </c>
      <c r="P172" t="b">
        <f>AND(LEFT(O172,1)="R",OR(MartialProf,NOT(ISNA(MATCH(A172,TblMartialFeats,0)))))</f>
        <v>0</v>
      </c>
    </row>
    <row r="173" spans="1:16" x14ac:dyDescent="0.25">
      <c r="A173" t="s">
        <v>210</v>
      </c>
      <c r="C173" t="s">
        <v>17</v>
      </c>
      <c r="D173" t="s">
        <v>29</v>
      </c>
      <c r="E173">
        <v>7</v>
      </c>
      <c r="G173">
        <v>20</v>
      </c>
      <c r="H173">
        <v>2</v>
      </c>
      <c r="K173">
        <v>15</v>
      </c>
      <c r="L173" t="s">
        <v>43</v>
      </c>
      <c r="N173" t="b">
        <v>1</v>
      </c>
    </row>
    <row r="174" spans="1:16" x14ac:dyDescent="0.25">
      <c r="A174" t="s">
        <v>211</v>
      </c>
      <c r="C174" t="s">
        <v>24</v>
      </c>
      <c r="D174" t="s">
        <v>29</v>
      </c>
      <c r="E174">
        <v>9</v>
      </c>
      <c r="G174">
        <v>20</v>
      </c>
      <c r="H174">
        <v>3</v>
      </c>
      <c r="K174">
        <v>12</v>
      </c>
      <c r="L174" t="s">
        <v>19</v>
      </c>
      <c r="N174" t="b">
        <v>1</v>
      </c>
    </row>
    <row r="175" spans="1:16" x14ac:dyDescent="0.25">
      <c r="A175" t="s">
        <v>212</v>
      </c>
      <c r="C175" t="s">
        <v>24</v>
      </c>
      <c r="D175" t="s">
        <v>26</v>
      </c>
      <c r="E175">
        <v>5</v>
      </c>
      <c r="G175">
        <v>18</v>
      </c>
      <c r="H175">
        <v>2</v>
      </c>
      <c r="K175">
        <v>2</v>
      </c>
      <c r="L175" t="s">
        <v>19</v>
      </c>
      <c r="O175" t="s">
        <v>161</v>
      </c>
      <c r="P175" t="e">
        <f>IF(AND(Race="Elf",Region="Valenar"),"",OR(AND(Race="Elf",Subrace&lt;&gt;"Aquatic",Subrace&lt;&gt;"Wild",Subrace&lt;&gt;"Kagonesti",Subrace&lt;&gt;"Forestlord"),BegLvl&gt;=1,BrdLvl&gt;=1,RogLvl&gt;=1,AsnLvl&gt;=1,FMkLvl&gt;=1,MnfLvl&gt;=1,MoJLvl&gt;=1,WiCLvl&gt;=1,AND(RuaLvl&gt;=1,RuatharMartialWeaponCell=3),AND(BinLvl&gt;=1,OR(NOT(ISERROR(MATCH("Paimon",VestigesSelected,0))),NOT(ISERROR(MATCH("Andras",VestigesSelected,0)))))))</f>
        <v>#REF!</v>
      </c>
    </row>
    <row r="176" spans="1:16" x14ac:dyDescent="0.25">
      <c r="A176" t="s">
        <v>213</v>
      </c>
      <c r="C176" t="s">
        <v>17</v>
      </c>
      <c r="D176" t="s">
        <v>24</v>
      </c>
      <c r="E176">
        <v>5</v>
      </c>
      <c r="F176">
        <v>7</v>
      </c>
      <c r="G176">
        <v>18</v>
      </c>
      <c r="H176">
        <v>2</v>
      </c>
      <c r="I176">
        <v>3</v>
      </c>
      <c r="J176">
        <v>50</v>
      </c>
      <c r="K176">
        <v>5</v>
      </c>
      <c r="L176" t="s">
        <v>19</v>
      </c>
    </row>
    <row r="177" spans="1:16" x14ac:dyDescent="0.25">
      <c r="A177" t="s">
        <v>214</v>
      </c>
      <c r="C177" t="s">
        <v>17</v>
      </c>
      <c r="D177" t="s">
        <v>26</v>
      </c>
      <c r="E177">
        <v>5</v>
      </c>
      <c r="G177">
        <v>18</v>
      </c>
      <c r="H177">
        <v>2</v>
      </c>
      <c r="K177">
        <v>3</v>
      </c>
      <c r="L177" t="s">
        <v>19</v>
      </c>
    </row>
    <row r="178" spans="1:16" x14ac:dyDescent="0.25">
      <c r="A178" t="s">
        <v>215</v>
      </c>
      <c r="C178" t="s">
        <v>24</v>
      </c>
      <c r="D178" t="s">
        <v>18</v>
      </c>
      <c r="E178">
        <v>5</v>
      </c>
      <c r="G178">
        <v>20</v>
      </c>
      <c r="H178">
        <v>2</v>
      </c>
      <c r="K178">
        <v>0</v>
      </c>
      <c r="L178" t="s">
        <v>22</v>
      </c>
    </row>
    <row r="179" spans="1:16" x14ac:dyDescent="0.25">
      <c r="A179" t="s">
        <v>216</v>
      </c>
      <c r="C179" t="s">
        <v>24</v>
      </c>
      <c r="D179" t="s">
        <v>18</v>
      </c>
      <c r="E179">
        <v>4</v>
      </c>
      <c r="G179">
        <v>20</v>
      </c>
      <c r="H179">
        <v>2</v>
      </c>
      <c r="J179" t="s">
        <v>22</v>
      </c>
      <c r="K179">
        <v>0</v>
      </c>
      <c r="L179" t="s">
        <v>22</v>
      </c>
    </row>
    <row r="180" spans="1:16" x14ac:dyDescent="0.25">
      <c r="A180" t="s">
        <v>217</v>
      </c>
      <c r="C180" t="s">
        <v>24</v>
      </c>
      <c r="D180" t="s">
        <v>26</v>
      </c>
      <c r="E180">
        <v>5</v>
      </c>
      <c r="G180">
        <v>20</v>
      </c>
      <c r="H180">
        <v>2</v>
      </c>
      <c r="J180" t="s">
        <v>22</v>
      </c>
      <c r="K180">
        <v>0</v>
      </c>
      <c r="L180" t="s">
        <v>22</v>
      </c>
    </row>
    <row r="181" spans="1:16" x14ac:dyDescent="0.25">
      <c r="A181" t="s">
        <v>218</v>
      </c>
      <c r="C181" t="s">
        <v>17</v>
      </c>
      <c r="D181" t="s">
        <v>26</v>
      </c>
      <c r="E181">
        <v>6</v>
      </c>
      <c r="G181">
        <v>19</v>
      </c>
      <c r="H181">
        <v>2</v>
      </c>
      <c r="K181">
        <v>3</v>
      </c>
      <c r="L181" t="s">
        <v>22</v>
      </c>
    </row>
    <row r="182" spans="1:16" x14ac:dyDescent="0.25">
      <c r="A182" t="s">
        <v>219</v>
      </c>
      <c r="C182" t="s">
        <v>24</v>
      </c>
      <c r="D182" t="s">
        <v>29</v>
      </c>
      <c r="E182">
        <v>10</v>
      </c>
      <c r="G182">
        <v>19</v>
      </c>
      <c r="H182">
        <v>2</v>
      </c>
      <c r="K182">
        <v>9</v>
      </c>
      <c r="L182" t="s">
        <v>19</v>
      </c>
    </row>
    <row r="183" spans="1:16" x14ac:dyDescent="0.25">
      <c r="A183" t="s">
        <v>220</v>
      </c>
      <c r="C183" t="s">
        <v>17</v>
      </c>
      <c r="D183" t="s">
        <v>29</v>
      </c>
      <c r="E183">
        <v>6</v>
      </c>
      <c r="G183">
        <v>20</v>
      </c>
      <c r="H183">
        <v>3</v>
      </c>
      <c r="K183">
        <v>6</v>
      </c>
      <c r="L183" t="s">
        <v>19</v>
      </c>
    </row>
    <row r="184" spans="1:16" x14ac:dyDescent="0.25">
      <c r="A184" t="s">
        <v>221</v>
      </c>
      <c r="C184" t="s">
        <v>17</v>
      </c>
      <c r="D184" t="s">
        <v>18</v>
      </c>
      <c r="E184">
        <v>4</v>
      </c>
      <c r="G184">
        <v>20</v>
      </c>
      <c r="H184">
        <v>2</v>
      </c>
      <c r="J184">
        <v>10</v>
      </c>
      <c r="K184">
        <v>1</v>
      </c>
      <c r="L184" t="s">
        <v>43</v>
      </c>
      <c r="O184" t="s">
        <v>115</v>
      </c>
      <c r="P184" t="b">
        <f>OR(MnkLvl&gt;=1,NjaLvl&gt;=1,MMcLvl&gt;=1)</f>
        <v>0</v>
      </c>
    </row>
    <row r="185" spans="1:16" x14ac:dyDescent="0.25">
      <c r="A185" t="s">
        <v>222</v>
      </c>
      <c r="C185" t="s">
        <v>17</v>
      </c>
      <c r="D185" t="s">
        <v>21</v>
      </c>
      <c r="E185">
        <v>5</v>
      </c>
      <c r="J185">
        <v>10</v>
      </c>
      <c r="K185">
        <v>2</v>
      </c>
      <c r="L185" t="s">
        <v>43</v>
      </c>
      <c r="P185" t="b">
        <f>OR(FullRace="Giant, Sand")</f>
        <v>0</v>
      </c>
    </row>
    <row r="186" spans="1:16" x14ac:dyDescent="0.25">
      <c r="A186" t="s">
        <v>223</v>
      </c>
      <c r="C186" t="s">
        <v>17</v>
      </c>
      <c r="D186" t="s">
        <v>21</v>
      </c>
      <c r="K186">
        <v>1</v>
      </c>
    </row>
    <row r="187" spans="1:16" x14ac:dyDescent="0.25">
      <c r="A187" t="s">
        <v>224</v>
      </c>
      <c r="C187" t="s">
        <v>24</v>
      </c>
      <c r="D187" t="s">
        <v>18</v>
      </c>
      <c r="E187">
        <v>5</v>
      </c>
      <c r="G187">
        <v>20</v>
      </c>
      <c r="H187">
        <v>2</v>
      </c>
      <c r="K187">
        <v>2</v>
      </c>
      <c r="L187" t="s">
        <v>43</v>
      </c>
      <c r="M187" t="s">
        <v>22</v>
      </c>
      <c r="P187" t="e">
        <f>OR(BrdLvl&gt;=1,RogLvl&gt;=1,AsnLvl&gt;=1,FMkLvl&gt;=1,MoJLvl&gt;=1)</f>
        <v>#REF!</v>
      </c>
    </row>
    <row r="188" spans="1:16" x14ac:dyDescent="0.25">
      <c r="A188" t="s">
        <v>225</v>
      </c>
      <c r="C188" t="s">
        <v>24</v>
      </c>
      <c r="D188" t="str">
        <f>IF(DvsLvl&gt;=1,"L","O")</f>
        <v>O</v>
      </c>
      <c r="E188">
        <v>5</v>
      </c>
      <c r="G188">
        <v>18</v>
      </c>
      <c r="H188">
        <v>2</v>
      </c>
      <c r="K188">
        <v>4</v>
      </c>
      <c r="L188" t="s">
        <v>22</v>
      </c>
      <c r="P188" t="b">
        <f>OR(DrdLvl&gt;=1,Race="Yuan-Ti",FullRace="Centaur, Desert",FtHorseNomad,AND(Race="Elf",Region="Valenar"),MarLvl&gt;=1,AND(NoShLvl&gt;=1,NomadShamanRegionCell=2))</f>
        <v>0</v>
      </c>
    </row>
    <row r="189" spans="1:16" x14ac:dyDescent="0.25">
      <c r="A189" t="s">
        <v>226</v>
      </c>
      <c r="C189" t="s">
        <v>17</v>
      </c>
      <c r="D189" t="s">
        <v>29</v>
      </c>
      <c r="E189">
        <v>5</v>
      </c>
      <c r="F189">
        <v>5</v>
      </c>
      <c r="G189">
        <v>18</v>
      </c>
      <c r="H189">
        <v>2</v>
      </c>
      <c r="I189">
        <v>2</v>
      </c>
      <c r="K189">
        <v>15</v>
      </c>
      <c r="L189" t="s">
        <v>22</v>
      </c>
    </row>
    <row r="190" spans="1:16" x14ac:dyDescent="0.25">
      <c r="A190" t="s">
        <v>227</v>
      </c>
      <c r="C190" t="s">
        <v>17</v>
      </c>
      <c r="D190" t="s">
        <v>26</v>
      </c>
      <c r="E190">
        <v>6</v>
      </c>
      <c r="G190">
        <v>18</v>
      </c>
      <c r="H190">
        <v>2</v>
      </c>
      <c r="K190">
        <v>8</v>
      </c>
      <c r="L190" t="s">
        <v>22</v>
      </c>
      <c r="O190" t="s">
        <v>185</v>
      </c>
    </row>
    <row r="191" spans="1:16" x14ac:dyDescent="0.25">
      <c r="A191" t="s">
        <v>228</v>
      </c>
      <c r="C191" t="s">
        <v>17</v>
      </c>
      <c r="D191" t="s">
        <v>29</v>
      </c>
      <c r="E191">
        <v>5</v>
      </c>
      <c r="F191">
        <v>5</v>
      </c>
      <c r="G191">
        <v>18</v>
      </c>
      <c r="H191">
        <v>2</v>
      </c>
      <c r="I191">
        <v>2</v>
      </c>
      <c r="K191">
        <v>15</v>
      </c>
      <c r="L191" t="s">
        <v>22</v>
      </c>
      <c r="O191" t="str">
        <f>IF(OR(AND(Race="Elf",Region="Valenar"),FtBladebearerOfTheValenar),"R","")</f>
        <v/>
      </c>
      <c r="P191" t="b">
        <f>AND(LEFT(O191,1)="R",OR(MartialProf,NOT(ISNA(MATCH(A191,TblMartialFeats,0)))))</f>
        <v>0</v>
      </c>
    </row>
    <row r="192" spans="1:16" x14ac:dyDescent="0.25">
      <c r="A192" t="s">
        <v>229</v>
      </c>
      <c r="C192" t="s">
        <v>17</v>
      </c>
      <c r="D192" t="s">
        <v>26</v>
      </c>
      <c r="E192">
        <v>6</v>
      </c>
      <c r="G192">
        <v>20</v>
      </c>
      <c r="H192">
        <v>2</v>
      </c>
      <c r="K192">
        <v>2</v>
      </c>
      <c r="L192" t="s">
        <v>22</v>
      </c>
    </row>
    <row r="193" spans="1:16" x14ac:dyDescent="0.25">
      <c r="A193" t="s">
        <v>230</v>
      </c>
      <c r="C193" t="s">
        <v>24</v>
      </c>
      <c r="D193" t="s">
        <v>29</v>
      </c>
      <c r="E193">
        <v>9</v>
      </c>
      <c r="G193">
        <v>20</v>
      </c>
      <c r="H193">
        <v>4</v>
      </c>
      <c r="K193">
        <v>10</v>
      </c>
      <c r="L193" t="s">
        <v>70</v>
      </c>
      <c r="P193" t="b">
        <f>WoILvl&gt;=1</f>
        <v>0</v>
      </c>
    </row>
    <row r="194" spans="1:16" x14ac:dyDescent="0.25">
      <c r="A194" t="s">
        <v>231</v>
      </c>
      <c r="C194" t="s">
        <v>17</v>
      </c>
      <c r="D194" t="s">
        <v>29</v>
      </c>
      <c r="E194">
        <v>6</v>
      </c>
      <c r="F194">
        <v>6</v>
      </c>
      <c r="G194">
        <v>20</v>
      </c>
      <c r="H194">
        <v>3</v>
      </c>
      <c r="I194">
        <v>3</v>
      </c>
      <c r="K194">
        <v>20</v>
      </c>
      <c r="L194" t="s">
        <v>22</v>
      </c>
    </row>
    <row r="195" spans="1:16" x14ac:dyDescent="0.25">
      <c r="A195" t="s">
        <v>232</v>
      </c>
      <c r="C195" t="s">
        <v>17</v>
      </c>
      <c r="D195" t="s">
        <v>29</v>
      </c>
      <c r="E195">
        <v>7</v>
      </c>
      <c r="G195">
        <v>19</v>
      </c>
      <c r="H195">
        <v>2</v>
      </c>
      <c r="K195">
        <v>10</v>
      </c>
      <c r="L195" t="s">
        <v>22</v>
      </c>
    </row>
    <row r="196" spans="1:16" x14ac:dyDescent="0.25">
      <c r="A196" t="s">
        <v>233</v>
      </c>
      <c r="C196" t="s">
        <v>24</v>
      </c>
      <c r="D196" t="s">
        <v>26</v>
      </c>
      <c r="E196">
        <v>4</v>
      </c>
      <c r="G196">
        <v>20</v>
      </c>
      <c r="H196">
        <v>2</v>
      </c>
      <c r="J196" t="s">
        <v>22</v>
      </c>
      <c r="K196">
        <f>ShieldWgt</f>
        <v>0</v>
      </c>
      <c r="L196" t="s">
        <v>43</v>
      </c>
    </row>
    <row r="197" spans="1:16" x14ac:dyDescent="0.25">
      <c r="A197" t="s">
        <v>234</v>
      </c>
      <c r="C197" t="s">
        <v>24</v>
      </c>
      <c r="D197" t="s">
        <v>18</v>
      </c>
      <c r="E197">
        <v>3</v>
      </c>
      <c r="G197">
        <v>20</v>
      </c>
      <c r="H197">
        <v>2</v>
      </c>
      <c r="J197" t="s">
        <v>22</v>
      </c>
      <c r="K197">
        <f>ShieldWgt</f>
        <v>0</v>
      </c>
      <c r="L197" t="s">
        <v>43</v>
      </c>
    </row>
    <row r="198" spans="1:16" x14ac:dyDescent="0.25">
      <c r="A198" t="s">
        <v>235</v>
      </c>
      <c r="C198" t="s">
        <v>17</v>
      </c>
      <c r="D198" t="s">
        <v>29</v>
      </c>
      <c r="E198">
        <v>6</v>
      </c>
      <c r="G198">
        <v>20</v>
      </c>
      <c r="H198">
        <v>3</v>
      </c>
      <c r="K198">
        <v>5</v>
      </c>
      <c r="L198" t="s">
        <v>19</v>
      </c>
      <c r="P198" t="b">
        <f>OR(MMcLvl&gt;=1,NOT(ISNA(MATCH(A198,TblNinjaSpyWpnChoices,0))))</f>
        <v>0</v>
      </c>
    </row>
    <row r="199" spans="1:16" x14ac:dyDescent="0.25">
      <c r="A199" t="s">
        <v>236</v>
      </c>
      <c r="C199" t="s">
        <v>24</v>
      </c>
      <c r="D199" t="s">
        <v>21</v>
      </c>
      <c r="E199">
        <v>5</v>
      </c>
      <c r="G199">
        <v>20</v>
      </c>
      <c r="H199">
        <v>3</v>
      </c>
      <c r="J199">
        <v>60</v>
      </c>
      <c r="K199">
        <v>2</v>
      </c>
      <c r="L199" t="s">
        <v>19</v>
      </c>
      <c r="P199" t="e">
        <f>OR(AND(Race="Elf",Subrace&lt;&gt;"Drow",Subrace&lt;&gt;"Aquatic",Subrace&lt;&gt;"Winged",Subrace&lt;&gt;"Forestlord"),AND(Race="Elf",Region="Valenar"),FullRace="Draconian, Kapak",Race="Satyr",BegLvl&gt;=1,BrdLvl&gt;=1,RogLvl&gt;=1,SmnLvl&gt;=1,SctLvl&gt;=1,AsnLvl&gt;=1,NjaLvl&gt;=1,FMkLvl&gt;=1,MnfLvl&gt;=1,MoJLvl&gt;=1,FtHorseNomad,AND(RuaLvl&gt;=1,RuatharMartialWeaponCell=5),YWRLvl&gt;=1,AND(NoShLvl&gt;=1,OR(NomadShamanRegionCell=2,NomadShamanRegionCell=3,NomadShamanRegionCell=5,NomadShamanRegionCell=6)))</f>
        <v>#REF!</v>
      </c>
    </row>
    <row r="200" spans="1:16" x14ac:dyDescent="0.25">
      <c r="A200" t="s">
        <v>237</v>
      </c>
      <c r="C200" t="s">
        <v>24</v>
      </c>
      <c r="D200" t="s">
        <v>21</v>
      </c>
      <c r="E200">
        <v>5</v>
      </c>
      <c r="G200">
        <v>20</v>
      </c>
      <c r="H200">
        <v>3</v>
      </c>
      <c r="J200">
        <v>70</v>
      </c>
      <c r="K200">
        <v>2</v>
      </c>
      <c r="L200" t="s">
        <v>19</v>
      </c>
      <c r="O200" t="s">
        <v>24</v>
      </c>
      <c r="P200" t="e">
        <f>P199</f>
        <v>#REF!</v>
      </c>
    </row>
    <row r="201" spans="1:16" x14ac:dyDescent="0.25">
      <c r="A201" t="s">
        <v>238</v>
      </c>
      <c r="C201" t="s">
        <v>22</v>
      </c>
      <c r="D201" t="s">
        <v>26</v>
      </c>
      <c r="E201">
        <v>5</v>
      </c>
      <c r="G201">
        <v>20</v>
      </c>
      <c r="H201">
        <v>2</v>
      </c>
      <c r="J201">
        <v>20</v>
      </c>
      <c r="K201">
        <v>3</v>
      </c>
      <c r="L201" t="s">
        <v>19</v>
      </c>
      <c r="P201" t="b">
        <f>OR(DrdLvl&gt;=1,SmnLvl&gt;=1,PsiLvl&gt;=1,Race="Kuo-Toa",AND(NoShLvl&gt;=1,OR(NomadShamanRegionCell=2,NomadShamanRegionCell=4,NomadShamanRegionCell=5,NomadShamanRegionCell=6)))</f>
        <v>0</v>
      </c>
    </row>
    <row r="202" spans="1:16" x14ac:dyDescent="0.25">
      <c r="A202" t="s">
        <v>239</v>
      </c>
      <c r="C202" t="s">
        <v>17</v>
      </c>
      <c r="D202" t="s">
        <v>21</v>
      </c>
      <c r="E202">
        <v>10</v>
      </c>
      <c r="G202">
        <v>19</v>
      </c>
      <c r="H202">
        <v>3</v>
      </c>
      <c r="J202">
        <v>10</v>
      </c>
      <c r="K202">
        <v>15</v>
      </c>
      <c r="L202" t="s">
        <v>43</v>
      </c>
      <c r="O202" t="str">
        <f>IF(AND(FtImprovedWeaponFamiliarity,OR(Race="Orc",Race="Half-Orc")),"R,T","T")</f>
        <v>T</v>
      </c>
      <c r="P202" t="b">
        <f>AND(LEFT(O202,1)="R",OR(MartialProf,NOT(ISNA(MATCH(A202,TblMartialFeats,0)))))</f>
        <v>0</v>
      </c>
    </row>
    <row r="203" spans="1:16" x14ac:dyDescent="0.25">
      <c r="A203" t="s">
        <v>240</v>
      </c>
      <c r="C203" t="s">
        <v>17</v>
      </c>
      <c r="D203" t="s">
        <v>21</v>
      </c>
      <c r="E203">
        <v>2</v>
      </c>
      <c r="G203">
        <v>20</v>
      </c>
      <c r="H203">
        <v>2</v>
      </c>
      <c r="J203">
        <v>10</v>
      </c>
      <c r="K203">
        <v>0.5</v>
      </c>
      <c r="L203" t="s">
        <v>19</v>
      </c>
      <c r="O203" t="s">
        <v>241</v>
      </c>
      <c r="P203" t="b">
        <f>OR(MnkLvl&gt;=1,NjaLvl&gt;=1,NOT(ISNA(MATCH(A203,TblNinjaSpyWpnChoices,0))))</f>
        <v>0</v>
      </c>
    </row>
    <row r="204" spans="1:16" x14ac:dyDescent="0.25">
      <c r="A204" t="s">
        <v>242</v>
      </c>
      <c r="C204" t="s">
        <v>17</v>
      </c>
      <c r="D204" t="s">
        <v>18</v>
      </c>
      <c r="E204">
        <v>5</v>
      </c>
      <c r="G204">
        <v>20</v>
      </c>
      <c r="H204">
        <v>2</v>
      </c>
      <c r="K204">
        <v>1</v>
      </c>
      <c r="L204" t="s">
        <v>19</v>
      </c>
      <c r="O204" t="s">
        <v>115</v>
      </c>
      <c r="P204" t="b">
        <f>OR(MnkLvl&gt;=1,NjaLvl&gt;=1,MMcLvl&gt;=1)</f>
        <v>0</v>
      </c>
    </row>
    <row r="205" spans="1:16" x14ac:dyDescent="0.25">
      <c r="A205" t="s">
        <v>243</v>
      </c>
      <c r="C205" t="s">
        <v>22</v>
      </c>
      <c r="D205" t="s">
        <v>18</v>
      </c>
      <c r="E205">
        <v>5</v>
      </c>
      <c r="G205">
        <v>20</v>
      </c>
      <c r="H205">
        <v>2</v>
      </c>
      <c r="K205">
        <v>2</v>
      </c>
      <c r="L205" t="s">
        <v>22</v>
      </c>
      <c r="P205" t="b">
        <f>OR(DrdLvl&gt;=1,AND(NoShLvl&gt;=1,NomadShamanRegionCell=4))</f>
        <v>0</v>
      </c>
    </row>
    <row r="206" spans="1:16" x14ac:dyDescent="0.25">
      <c r="A206" t="s">
        <v>244</v>
      </c>
      <c r="C206" t="s">
        <v>22</v>
      </c>
      <c r="D206" t="s">
        <v>26</v>
      </c>
      <c r="E206">
        <v>6</v>
      </c>
      <c r="G206">
        <v>20</v>
      </c>
      <c r="H206">
        <v>2</v>
      </c>
      <c r="K206">
        <v>6</v>
      </c>
      <c r="L206" t="s">
        <v>22</v>
      </c>
    </row>
    <row r="207" spans="1:16" x14ac:dyDescent="0.25">
      <c r="A207" t="s">
        <v>245</v>
      </c>
      <c r="C207" t="s">
        <v>17</v>
      </c>
      <c r="D207" t="s">
        <v>21</v>
      </c>
      <c r="E207">
        <v>5</v>
      </c>
      <c r="G207">
        <v>18</v>
      </c>
      <c r="H207">
        <v>2</v>
      </c>
      <c r="J207">
        <v>10</v>
      </c>
      <c r="K207">
        <v>2</v>
      </c>
      <c r="L207" t="s">
        <v>22</v>
      </c>
    </row>
    <row r="208" spans="1:16" x14ac:dyDescent="0.25">
      <c r="A208" t="s">
        <v>246</v>
      </c>
      <c r="C208" t="s">
        <v>17</v>
      </c>
      <c r="D208" t="s">
        <v>21</v>
      </c>
      <c r="E208">
        <v>5</v>
      </c>
      <c r="G208">
        <v>20</v>
      </c>
      <c r="H208">
        <v>2</v>
      </c>
      <c r="J208">
        <v>15</v>
      </c>
      <c r="K208">
        <v>0.25</v>
      </c>
      <c r="L208" t="s">
        <v>43</v>
      </c>
    </row>
    <row r="209" spans="1:16" x14ac:dyDescent="0.25">
      <c r="A209" t="s">
        <v>247</v>
      </c>
      <c r="C209" t="s">
        <v>22</v>
      </c>
      <c r="D209" t="s">
        <v>21</v>
      </c>
      <c r="E209">
        <v>4</v>
      </c>
      <c r="G209">
        <v>20</v>
      </c>
      <c r="H209">
        <v>2</v>
      </c>
      <c r="J209">
        <v>50</v>
      </c>
      <c r="K209">
        <v>0</v>
      </c>
      <c r="L209" t="s">
        <v>43</v>
      </c>
      <c r="P209" t="e">
        <f>OR(DrdLvl&gt;=1,MnkLvl&gt;=1,SmnLvl&gt;=1,MoJLvl&gt;=1,AND(NoShLvl&gt;=1,NomadShamanRegionCell=3))</f>
        <v>#REF!</v>
      </c>
    </row>
    <row r="210" spans="1:16" x14ac:dyDescent="0.25">
      <c r="A210" t="s">
        <v>248</v>
      </c>
      <c r="C210" t="s">
        <v>17</v>
      </c>
      <c r="D210" t="s">
        <v>21</v>
      </c>
      <c r="E210">
        <v>6</v>
      </c>
      <c r="G210">
        <v>20</v>
      </c>
      <c r="H210">
        <v>4</v>
      </c>
      <c r="J210">
        <v>50</v>
      </c>
      <c r="K210">
        <v>1</v>
      </c>
      <c r="L210" t="s">
        <v>43</v>
      </c>
    </row>
    <row r="211" spans="1:16" x14ac:dyDescent="0.25">
      <c r="A211" t="s">
        <v>249</v>
      </c>
      <c r="C211" t="s">
        <v>17</v>
      </c>
      <c r="D211" t="s">
        <v>21</v>
      </c>
      <c r="E211">
        <v>13</v>
      </c>
      <c r="J211">
        <v>10</v>
      </c>
      <c r="K211">
        <v>1</v>
      </c>
      <c r="L211" t="s">
        <v>46</v>
      </c>
    </row>
    <row r="212" spans="1:16" x14ac:dyDescent="0.25">
      <c r="A212" t="s">
        <v>250</v>
      </c>
      <c r="C212" t="s">
        <v>22</v>
      </c>
      <c r="D212" t="s">
        <v>29</v>
      </c>
      <c r="E212">
        <v>6</v>
      </c>
      <c r="G212">
        <v>20</v>
      </c>
      <c r="H212">
        <v>3</v>
      </c>
      <c r="J212">
        <v>20</v>
      </c>
      <c r="K212">
        <v>6</v>
      </c>
      <c r="L212" t="s">
        <v>19</v>
      </c>
      <c r="P212" t="b">
        <f>OR(FullRace="Elf, Wild",DrdLvl&gt;=1,SmnLvl&gt;=1)</f>
        <v>0</v>
      </c>
    </row>
    <row r="213" spans="1:16" x14ac:dyDescent="0.25">
      <c r="A213" t="s">
        <v>251</v>
      </c>
      <c r="C213" t="s">
        <v>17</v>
      </c>
      <c r="D213" t="s">
        <v>29</v>
      </c>
      <c r="E213">
        <v>6</v>
      </c>
      <c r="F213">
        <v>6</v>
      </c>
      <c r="G213">
        <v>20</v>
      </c>
      <c r="H213">
        <v>3</v>
      </c>
      <c r="I213">
        <v>3</v>
      </c>
      <c r="K213">
        <v>15</v>
      </c>
      <c r="L213" t="s">
        <v>27</v>
      </c>
      <c r="O213" t="str">
        <f>IF(AND(FtImprovedWeaponFamiliarity,Race="Dwarf"),"R","")</f>
        <v/>
      </c>
      <c r="P213" t="b">
        <f>AND(LEFT(O213,1)="R",OR(MartialProf,NOT(ISNA(MATCH(A213,TblMartialFeats,0)))))</f>
        <v>0</v>
      </c>
    </row>
    <row r="214" spans="1:16" x14ac:dyDescent="0.25">
      <c r="A214" t="s">
        <v>252</v>
      </c>
      <c r="C214" t="s">
        <v>17</v>
      </c>
      <c r="D214" t="s">
        <v>26</v>
      </c>
      <c r="E214">
        <v>5</v>
      </c>
      <c r="G214">
        <v>20</v>
      </c>
      <c r="H214">
        <v>2</v>
      </c>
      <c r="J214">
        <v>20</v>
      </c>
      <c r="K214">
        <v>3</v>
      </c>
      <c r="L214" t="s">
        <v>19</v>
      </c>
    </row>
    <row r="215" spans="1:16" x14ac:dyDescent="0.25">
      <c r="A215" t="s">
        <v>253</v>
      </c>
      <c r="C215" t="s">
        <v>22</v>
      </c>
      <c r="D215" t="s">
        <v>26</v>
      </c>
      <c r="E215">
        <v>5</v>
      </c>
      <c r="G215">
        <v>20</v>
      </c>
      <c r="H215">
        <v>3</v>
      </c>
      <c r="J215">
        <v>35</v>
      </c>
      <c r="K215">
        <v>3</v>
      </c>
      <c r="L215" t="s">
        <v>19</v>
      </c>
    </row>
    <row r="216" spans="1:16" x14ac:dyDescent="0.25">
      <c r="A216" t="s">
        <v>254</v>
      </c>
      <c r="C216" t="s">
        <v>24</v>
      </c>
      <c r="D216" t="s">
        <v>18</v>
      </c>
      <c r="E216">
        <v>5</v>
      </c>
      <c r="G216">
        <v>20</v>
      </c>
      <c r="H216">
        <v>2</v>
      </c>
      <c r="K216">
        <f>ArmorWgt</f>
        <v>0</v>
      </c>
      <c r="L216" t="s">
        <v>19</v>
      </c>
    </row>
    <row r="217" spans="1:16" x14ac:dyDescent="0.25">
      <c r="A217" t="s">
        <v>255</v>
      </c>
      <c r="C217" t="s">
        <v>24</v>
      </c>
      <c r="D217" t="s">
        <v>26</v>
      </c>
      <c r="E217">
        <v>5</v>
      </c>
      <c r="G217">
        <v>20</v>
      </c>
      <c r="H217">
        <v>2</v>
      </c>
      <c r="J217" t="s">
        <v>22</v>
      </c>
      <c r="K217">
        <f>ShieldWgt</f>
        <v>0</v>
      </c>
      <c r="L217" t="s">
        <v>19</v>
      </c>
    </row>
    <row r="218" spans="1:16" x14ac:dyDescent="0.25">
      <c r="A218" t="s">
        <v>256</v>
      </c>
      <c r="C218" t="s">
        <v>24</v>
      </c>
      <c r="D218" t="s">
        <v>18</v>
      </c>
      <c r="E218">
        <v>4</v>
      </c>
      <c r="G218">
        <v>20</v>
      </c>
      <c r="H218">
        <v>2</v>
      </c>
      <c r="J218" t="s">
        <v>22</v>
      </c>
      <c r="K218">
        <f>ShieldWgt</f>
        <v>0</v>
      </c>
      <c r="L218" t="s">
        <v>19</v>
      </c>
    </row>
    <row r="219" spans="1:16" x14ac:dyDescent="0.25">
      <c r="A219" t="s">
        <v>257</v>
      </c>
      <c r="C219" t="s">
        <v>24</v>
      </c>
      <c r="D219" t="s">
        <v>18</v>
      </c>
      <c r="E219">
        <v>5</v>
      </c>
      <c r="G219">
        <v>20</v>
      </c>
      <c r="H219">
        <v>3</v>
      </c>
      <c r="K219">
        <v>1</v>
      </c>
      <c r="L219" t="s">
        <v>19</v>
      </c>
    </row>
    <row r="220" spans="1:16" x14ac:dyDescent="0.25">
      <c r="A220" t="s">
        <v>258</v>
      </c>
      <c r="C220" t="s">
        <v>22</v>
      </c>
      <c r="D220" t="s">
        <v>29</v>
      </c>
      <c r="E220">
        <v>5</v>
      </c>
      <c r="G220">
        <v>20</v>
      </c>
      <c r="H220">
        <v>3</v>
      </c>
      <c r="K220">
        <v>15</v>
      </c>
      <c r="L220" t="s">
        <v>19</v>
      </c>
    </row>
    <row r="221" spans="1:16" x14ac:dyDescent="0.25">
      <c r="A221" t="s">
        <v>259</v>
      </c>
      <c r="C221" t="s">
        <v>17</v>
      </c>
      <c r="D221" t="s">
        <v>29</v>
      </c>
      <c r="E221">
        <v>6</v>
      </c>
      <c r="G221">
        <v>20</v>
      </c>
      <c r="H221">
        <v>3</v>
      </c>
      <c r="K221">
        <v>8</v>
      </c>
      <c r="L221" t="s">
        <v>43</v>
      </c>
      <c r="O221" t="s">
        <v>115</v>
      </c>
    </row>
    <row r="222" spans="1:16" x14ac:dyDescent="0.25">
      <c r="A222" t="s">
        <v>260</v>
      </c>
      <c r="C222" t="s">
        <v>24</v>
      </c>
      <c r="D222" t="s">
        <v>18</v>
      </c>
      <c r="E222">
        <v>5</v>
      </c>
      <c r="G222">
        <v>19</v>
      </c>
      <c r="H222">
        <v>2</v>
      </c>
      <c r="K222">
        <v>3</v>
      </c>
      <c r="L222" t="s">
        <v>22</v>
      </c>
    </row>
    <row r="223" spans="1:16" x14ac:dyDescent="0.25">
      <c r="A223" t="s">
        <v>261</v>
      </c>
      <c r="C223" t="s">
        <v>24</v>
      </c>
      <c r="D223" t="s">
        <v>29</v>
      </c>
      <c r="E223">
        <v>6</v>
      </c>
      <c r="G223">
        <v>20</v>
      </c>
      <c r="H223">
        <v>3</v>
      </c>
      <c r="K223">
        <v>0.5</v>
      </c>
      <c r="L223" t="s">
        <v>22</v>
      </c>
    </row>
    <row r="224" spans="1:16" x14ac:dyDescent="0.25">
      <c r="A224" t="s">
        <v>262</v>
      </c>
      <c r="C224" t="s">
        <v>17</v>
      </c>
      <c r="D224" t="s">
        <v>18</v>
      </c>
      <c r="E224">
        <v>4</v>
      </c>
      <c r="G224">
        <v>20</v>
      </c>
      <c r="H224">
        <v>2</v>
      </c>
      <c r="K224">
        <v>2</v>
      </c>
      <c r="L224" t="s">
        <v>22</v>
      </c>
    </row>
    <row r="225" spans="1:16" x14ac:dyDescent="0.25">
      <c r="A225" t="s">
        <v>263</v>
      </c>
      <c r="C225" t="s">
        <v>17</v>
      </c>
      <c r="D225" t="s">
        <v>29</v>
      </c>
      <c r="E225">
        <v>11</v>
      </c>
      <c r="G225">
        <v>20</v>
      </c>
      <c r="H225">
        <v>2</v>
      </c>
      <c r="K225">
        <v>20</v>
      </c>
      <c r="L225" t="s">
        <v>70</v>
      </c>
      <c r="N225" t="b">
        <v>1</v>
      </c>
    </row>
    <row r="226" spans="1:16" x14ac:dyDescent="0.25">
      <c r="A226" t="s">
        <v>264</v>
      </c>
      <c r="C226" t="s">
        <v>17</v>
      </c>
      <c r="D226" t="s">
        <v>26</v>
      </c>
      <c r="E226">
        <v>7</v>
      </c>
      <c r="G226">
        <v>19</v>
      </c>
      <c r="H226">
        <v>2</v>
      </c>
      <c r="K226">
        <v>6</v>
      </c>
      <c r="L226" t="s">
        <v>22</v>
      </c>
      <c r="O226" t="s">
        <v>185</v>
      </c>
      <c r="P226" t="b">
        <f>OR(SamLvl&gt;=1,AND(BinLvl&gt;=1,NOT(ISERROR(MATCH("Kas",VestigesSelected,0)))))</f>
        <v>0</v>
      </c>
    </row>
    <row r="227" spans="1:16" x14ac:dyDescent="0.25">
      <c r="A227" t="s">
        <v>265</v>
      </c>
      <c r="C227" t="s">
        <v>17</v>
      </c>
      <c r="D227" t="s">
        <v>26</v>
      </c>
      <c r="E227">
        <v>5</v>
      </c>
      <c r="G227">
        <v>19</v>
      </c>
      <c r="H227">
        <v>2</v>
      </c>
      <c r="K227">
        <v>2</v>
      </c>
      <c r="L227" t="s">
        <v>22</v>
      </c>
      <c r="O227" t="s">
        <v>115</v>
      </c>
    </row>
    <row r="228" spans="1:16" x14ac:dyDescent="0.25">
      <c r="A228" t="s">
        <v>266</v>
      </c>
      <c r="C228" t="s">
        <v>24</v>
      </c>
      <c r="D228" t="s">
        <v>18</v>
      </c>
      <c r="E228">
        <v>5</v>
      </c>
      <c r="G228">
        <v>19</v>
      </c>
      <c r="H228">
        <v>2</v>
      </c>
      <c r="K228">
        <v>2</v>
      </c>
      <c r="L228" t="s">
        <v>19</v>
      </c>
      <c r="P228" t="e">
        <f>OR(Subrace="Drow",Subrace="Kagonesti",Race="Draconian, Kapak",BegLvl&gt;=1,BrdLvl&gt;=1,Race="Grig",Race="Nixie",Race="Pixie",RogLvl&gt;=1,ShjLvl&gt;=1,SctLvl&gt;=1,AsnLvl&gt;=1,NjaLvl&gt;=1,FMkLvl&gt;=1,MoJLvl&gt;=1,WiCLvl&gt;=1,YWRLvl&gt;=1,NOT(ISERROR(MATCH("Paimon",VestigesSelected,0))),AND(BinLvl&gt;=1,NOT(ISERROR(MATCH("Kas",VestigesSelected,0)))))</f>
        <v>#REF!</v>
      </c>
    </row>
    <row r="229" spans="1:16" x14ac:dyDescent="0.25">
      <c r="A229" t="s">
        <v>267</v>
      </c>
      <c r="C229" t="s">
        <v>17</v>
      </c>
      <c r="D229" t="s">
        <v>18</v>
      </c>
      <c r="E229">
        <v>5</v>
      </c>
      <c r="G229">
        <v>19</v>
      </c>
      <c r="H229">
        <v>2</v>
      </c>
      <c r="K229">
        <v>3</v>
      </c>
      <c r="L229" t="s">
        <v>19</v>
      </c>
    </row>
    <row r="230" spans="1:16" x14ac:dyDescent="0.25">
      <c r="A230" t="s">
        <v>268</v>
      </c>
      <c r="C230" t="s">
        <v>17</v>
      </c>
      <c r="D230" t="s">
        <v>29</v>
      </c>
      <c r="E230">
        <v>6</v>
      </c>
      <c r="F230">
        <v>6</v>
      </c>
      <c r="G230">
        <v>19</v>
      </c>
      <c r="H230">
        <v>2</v>
      </c>
      <c r="I230">
        <v>2</v>
      </c>
      <c r="K230">
        <v>10</v>
      </c>
      <c r="L230" t="s">
        <v>22</v>
      </c>
      <c r="O230" t="str">
        <f>IF(FtDoubleSteelStrike,"U","")</f>
        <v/>
      </c>
    </row>
    <row r="231" spans="1:16" x14ac:dyDescent="0.25">
      <c r="A231" t="s">
        <v>269</v>
      </c>
      <c r="C231" t="s">
        <v>22</v>
      </c>
      <c r="D231" t="s">
        <v>29</v>
      </c>
      <c r="E231">
        <v>6</v>
      </c>
      <c r="G231">
        <v>19</v>
      </c>
      <c r="H231">
        <v>2</v>
      </c>
      <c r="K231">
        <v>2</v>
      </c>
      <c r="L231" t="s">
        <v>19</v>
      </c>
    </row>
    <row r="232" spans="1:16" x14ac:dyDescent="0.25">
      <c r="A232" t="s">
        <v>270</v>
      </c>
      <c r="C232" t="s">
        <v>24</v>
      </c>
      <c r="D232" t="s">
        <v>26</v>
      </c>
      <c r="E232">
        <v>5</v>
      </c>
      <c r="G232">
        <v>18</v>
      </c>
      <c r="H232">
        <v>2</v>
      </c>
      <c r="K232">
        <v>2</v>
      </c>
      <c r="L232" t="s">
        <v>19</v>
      </c>
      <c r="O232" t="s">
        <v>161</v>
      </c>
    </row>
    <row r="233" spans="1:16" x14ac:dyDescent="0.25">
      <c r="A233" t="s">
        <v>271</v>
      </c>
      <c r="C233" t="s">
        <v>17</v>
      </c>
      <c r="D233" t="s">
        <v>26</v>
      </c>
      <c r="E233">
        <v>5</v>
      </c>
      <c r="G233">
        <v>19</v>
      </c>
      <c r="H233">
        <v>2</v>
      </c>
      <c r="K233">
        <v>5</v>
      </c>
      <c r="L233" t="s">
        <v>22</v>
      </c>
      <c r="O233" t="str">
        <f>IF(AND(FtImprovedWeaponFamiliarity,Race="Gnome"),"R","")</f>
        <v/>
      </c>
      <c r="P233" t="b">
        <f>AND(LEFT(O233,1)="R",OR(MartialProf,NOT(ISNA(MATCH(A233,TblMartialFeats,0)))))</f>
        <v>0</v>
      </c>
    </row>
    <row r="234" spans="1:16" x14ac:dyDescent="0.25">
      <c r="A234" t="s">
        <v>272</v>
      </c>
      <c r="C234" t="s">
        <v>17</v>
      </c>
      <c r="D234" t="s">
        <v>29</v>
      </c>
      <c r="E234">
        <v>7</v>
      </c>
      <c r="G234">
        <v>18</v>
      </c>
      <c r="H234">
        <v>2</v>
      </c>
      <c r="K234">
        <v>8</v>
      </c>
      <c r="L234" t="s">
        <v>22</v>
      </c>
      <c r="O234" t="str">
        <f>IF(AND(OR(FtImprovedWeaponFamiliarity),(Race="Halfling")),"R","")</f>
        <v/>
      </c>
    </row>
    <row r="235" spans="1:16" x14ac:dyDescent="0.25">
      <c r="A235" t="s">
        <v>273</v>
      </c>
      <c r="C235" t="s">
        <v>17</v>
      </c>
      <c r="D235" t="s">
        <v>26</v>
      </c>
      <c r="E235">
        <v>6</v>
      </c>
      <c r="G235">
        <v>18</v>
      </c>
      <c r="H235">
        <v>2</v>
      </c>
      <c r="K235">
        <v>3</v>
      </c>
      <c r="L235" t="s">
        <v>19</v>
      </c>
      <c r="O235" t="str">
        <f>IF(AND(FtImprovedWeaponFamiliarity,OR(Race="Elf",Race="Half-Elf")),"R,F","F")</f>
        <v>F</v>
      </c>
      <c r="P235" t="b">
        <f>AND(LEFT(O235,1)="R",OR(MartialProf,NOT(ISNA(MATCH(A235,TblMartialFeats,0)))))</f>
        <v>0</v>
      </c>
    </row>
    <row r="236" spans="1:16" x14ac:dyDescent="0.25">
      <c r="A236" t="s">
        <v>274</v>
      </c>
      <c r="C236" t="s">
        <v>17</v>
      </c>
      <c r="D236" t="s">
        <v>26</v>
      </c>
      <c r="E236">
        <v>5</v>
      </c>
      <c r="G236">
        <v>20</v>
      </c>
      <c r="H236">
        <v>3</v>
      </c>
      <c r="J236">
        <v>10</v>
      </c>
      <c r="K236">
        <v>3</v>
      </c>
      <c r="L236" t="s">
        <v>70</v>
      </c>
    </row>
    <row r="237" spans="1:16" x14ac:dyDescent="0.25">
      <c r="A237" t="s">
        <v>275</v>
      </c>
      <c r="C237" t="s">
        <v>17</v>
      </c>
      <c r="D237" t="s">
        <v>21</v>
      </c>
      <c r="E237">
        <v>5</v>
      </c>
      <c r="G237">
        <v>19</v>
      </c>
      <c r="H237">
        <v>2</v>
      </c>
      <c r="J237">
        <v>15</v>
      </c>
      <c r="K237">
        <v>1</v>
      </c>
      <c r="L237" t="s">
        <v>19</v>
      </c>
    </row>
    <row r="238" spans="1:16" x14ac:dyDescent="0.25">
      <c r="A238" t="s">
        <v>276</v>
      </c>
      <c r="C238" t="s">
        <v>17</v>
      </c>
      <c r="D238" t="s">
        <v>26</v>
      </c>
      <c r="E238">
        <v>5</v>
      </c>
      <c r="G238">
        <v>20</v>
      </c>
      <c r="H238">
        <v>2</v>
      </c>
      <c r="K238">
        <v>2</v>
      </c>
      <c r="L238" t="s">
        <v>43</v>
      </c>
      <c r="P238" t="b">
        <f>MMcLvl&gt;=1</f>
        <v>0</v>
      </c>
    </row>
    <row r="239" spans="1:16" x14ac:dyDescent="0.25">
      <c r="A239" t="s">
        <v>277</v>
      </c>
      <c r="C239" t="s">
        <v>17</v>
      </c>
      <c r="D239" t="s">
        <v>18</v>
      </c>
      <c r="E239">
        <v>5</v>
      </c>
      <c r="G239">
        <v>19</v>
      </c>
      <c r="H239">
        <v>2</v>
      </c>
      <c r="K239">
        <v>3</v>
      </c>
      <c r="L239" t="s">
        <v>19</v>
      </c>
      <c r="O239" t="str">
        <f>IF(AND(FtImprovedWeaponFamiliarity,Race="Gnome"),"R","")</f>
        <v/>
      </c>
      <c r="P239" t="b">
        <f>AND(LEFT(O239,1)="R",OR(MartialProf,NOT(ISNA(MATCH(A239,TblMartialFeats,0)))))</f>
        <v>0</v>
      </c>
    </row>
    <row r="240" spans="1:16" x14ac:dyDescent="0.25">
      <c r="A240" t="s">
        <v>278</v>
      </c>
      <c r="C240" t="s">
        <v>24</v>
      </c>
      <c r="D240" t="s">
        <v>26</v>
      </c>
      <c r="E240">
        <v>6</v>
      </c>
      <c r="G240">
        <v>20</v>
      </c>
      <c r="H240">
        <v>2</v>
      </c>
      <c r="J240">
        <v>10</v>
      </c>
      <c r="K240">
        <v>4</v>
      </c>
      <c r="L240" t="s">
        <v>19</v>
      </c>
      <c r="P240" t="b">
        <f>OR(FullRace="Elf, Aquatic",FullRace="Sea Kin",RmWLvl&gt;=1,Subrace="Sea, (Dargonesti)",Subrace="Sea, (Dimernesti)",MarLvl&gt;=1)</f>
        <v>0</v>
      </c>
    </row>
    <row r="241" spans="1:16" x14ac:dyDescent="0.25">
      <c r="A241" t="s">
        <v>279</v>
      </c>
      <c r="C241" t="s">
        <v>22</v>
      </c>
      <c r="D241" t="s">
        <v>115</v>
      </c>
      <c r="E241">
        <f>INDEX(TblUnarmedDamage,MIN(60,IF(AND(FtSuperiorUnarmedStrike,MnkLvl&gt;=1),MnkLvl+4,MnkLvl)*NOT(RslSkMnk1)+IF(FtAsceticHunter,RgrLvl,0)+IF(FtAsceticKnight,PalLvl,0)+IF(FtAsceticRogue,RogLvl,0)+IF(FtAsceticStalker,NjaLvl,0)+IF(FtImprovedUnarmed,AtvLvl,0)+IPSLvl+TtMLvl+SaFLvl+MLDLvl+EnFLvl+FoZLvl+ClALvl+SuSMLvl+MAX(INT(ShaLvl*2/3),ShaLvl&gt;=1)+1+IF(FoFLvl&gt;=1,4,0)+IF(FoFLvl&gt;=3,4,0)+(IDMLvl&gt;=4)+(IDMLvl&gt;=8)+SSNLvl+DrgDLvl+HazLvl+MChLvl+HenLvl+ShMkLvl+IF(FtTashalatora,VLOOKUP(TashalatoraClass,TblManifesterRef,3))+5*(MagicEquipWaistType=2)+IF(AND(BinLvl&gt;=1,NOT(ISERROR(MATCH("Ronove",VestigesSelected,0)))),effBinLvl+1*'[1]Class Abilities'!F4651,0)),2)</f>
        <v>3</v>
      </c>
      <c r="G241">
        <v>20</v>
      </c>
      <c r="H241">
        <v>2</v>
      </c>
      <c r="L241" t="str">
        <f>IF(NOT(ISNA(MATCH(25,TblGeomancerDriftCells,0))),"P","B")</f>
        <v>B</v>
      </c>
      <c r="M241" t="str">
        <f>IF(OR(FtImprovedUnarmed,MnkLvl&gt;=1,NOT(ISNA(MATCH(25,TblGeomancerDriftCells,0)))),"","S")</f>
        <v>S</v>
      </c>
      <c r="O241" t="s">
        <v>115</v>
      </c>
      <c r="P241" t="b">
        <f>(MnkLvl&gt;=1)</f>
        <v>0</v>
      </c>
    </row>
    <row r="242" spans="1:16" x14ac:dyDescent="0.25">
      <c r="A242" t="s">
        <v>280</v>
      </c>
      <c r="C242" t="s">
        <v>17</v>
      </c>
      <c r="D242" t="s">
        <v>29</v>
      </c>
      <c r="E242">
        <v>6</v>
      </c>
      <c r="F242">
        <v>5</v>
      </c>
      <c r="G242">
        <v>20</v>
      </c>
      <c r="H242">
        <v>3</v>
      </c>
      <c r="I242">
        <v>3</v>
      </c>
      <c r="K242">
        <v>12</v>
      </c>
      <c r="L242" t="s">
        <v>27</v>
      </c>
      <c r="O242" t="str">
        <f>IF(AND(Race="Dwarf",Subrace&lt;&gt;"Duergar",Subrace&lt;&gt;"Gully",Subrace&lt;&gt;"Wild"),"R",IF(AND(Race="Dwarf",FtImprovedWeaponFamiliarity,OR(Subrace="Duergar",Subrace="Gully",Subrace="Wild")),"R",""))</f>
        <v>R</v>
      </c>
      <c r="P242" t="b">
        <f>AND(LEFT(O242,1)="R",OR(MartialProf,NOT(ISNA(MATCH(A242,TblMartialFeats,0)))))</f>
        <v>0</v>
      </c>
    </row>
    <row r="243" spans="1:16" x14ac:dyDescent="0.25">
      <c r="A243" s="1" t="s">
        <v>281</v>
      </c>
      <c r="B243" s="1" t="s">
        <v>39</v>
      </c>
      <c r="C243" s="1" t="s">
        <v>24</v>
      </c>
      <c r="D243" s="1" t="s">
        <v>18</v>
      </c>
      <c r="E243">
        <v>5</v>
      </c>
      <c r="G243">
        <v>19</v>
      </c>
      <c r="H243">
        <v>2</v>
      </c>
      <c r="K243">
        <v>3</v>
      </c>
      <c r="L243" s="1" t="s">
        <v>22</v>
      </c>
    </row>
    <row r="244" spans="1:16" x14ac:dyDescent="0.25">
      <c r="A244" t="s">
        <v>282</v>
      </c>
      <c r="C244" t="s">
        <v>17</v>
      </c>
      <c r="D244" t="s">
        <v>29</v>
      </c>
      <c r="E244">
        <v>6</v>
      </c>
      <c r="G244">
        <v>20</v>
      </c>
      <c r="H244">
        <v>2</v>
      </c>
      <c r="K244">
        <v>9</v>
      </c>
      <c r="L244" t="s">
        <v>52</v>
      </c>
    </row>
    <row r="245" spans="1:16" x14ac:dyDescent="0.25">
      <c r="A245" t="s">
        <v>283</v>
      </c>
      <c r="C245" t="s">
        <v>17</v>
      </c>
      <c r="D245" t="s">
        <v>26</v>
      </c>
      <c r="E245">
        <v>7</v>
      </c>
      <c r="G245">
        <v>20</v>
      </c>
      <c r="H245">
        <v>3</v>
      </c>
      <c r="K245">
        <v>8</v>
      </c>
      <c r="L245" t="s">
        <v>22</v>
      </c>
      <c r="O245" t="str">
        <f>IF(AND(Race="Dwarf",Subrace&lt;&gt;"Duergar",Subrace&lt;&gt;"Gully",Subrace&lt;&gt;"Wild"),"R",IF(AND(Race="Dwarf",FtImprovedWeaponFamiliarity,OR(Subrace="Duergar",Subrace="Gully",Subrace="Wild")),"R","X"))</f>
        <v>R</v>
      </c>
      <c r="P245" t="b">
        <f>AND(LEFT(O245,1)="R",OR(MartialProf,NOT(ISNA(MATCH(A245,TblMartialFeats,0)))))</f>
        <v>0</v>
      </c>
    </row>
    <row r="246" spans="1:16" x14ac:dyDescent="0.25">
      <c r="A246" t="s">
        <v>284</v>
      </c>
      <c r="C246" t="s">
        <v>24</v>
      </c>
      <c r="D246" t="s">
        <v>26</v>
      </c>
      <c r="E246">
        <v>6</v>
      </c>
      <c r="G246">
        <v>20</v>
      </c>
      <c r="H246">
        <v>3</v>
      </c>
      <c r="K246">
        <v>5</v>
      </c>
      <c r="L246" t="s">
        <v>43</v>
      </c>
    </row>
    <row r="247" spans="1:16" x14ac:dyDescent="0.25">
      <c r="A247" t="s">
        <v>285</v>
      </c>
      <c r="C247" t="s">
        <v>17</v>
      </c>
      <c r="D247" t="s">
        <v>26</v>
      </c>
      <c r="E247">
        <v>8</v>
      </c>
      <c r="G247">
        <v>20</v>
      </c>
      <c r="H247">
        <v>2</v>
      </c>
      <c r="K247">
        <v>10</v>
      </c>
      <c r="L247" t="s">
        <v>43</v>
      </c>
      <c r="O247" t="s">
        <v>185</v>
      </c>
    </row>
    <row r="248" spans="1:16" x14ac:dyDescent="0.25">
      <c r="A248" t="s">
        <v>286</v>
      </c>
      <c r="C248" t="s">
        <v>17</v>
      </c>
      <c r="D248" t="s">
        <v>29</v>
      </c>
      <c r="E248">
        <v>10</v>
      </c>
      <c r="G248">
        <v>20</v>
      </c>
      <c r="H248">
        <v>3</v>
      </c>
      <c r="K248">
        <v>15</v>
      </c>
      <c r="L248" t="s">
        <v>27</v>
      </c>
      <c r="N248" t="b">
        <v>1</v>
      </c>
      <c r="O248" t="str">
        <f>IF(AND(FtImprovedWeaponFamiliarity,Race="Dwarf"),"R","")</f>
        <v/>
      </c>
      <c r="P248" t="b">
        <f>AND(LEFT(O248,1)="R",OR(MartialProf,NOT(ISNA(MATCH(A248,TblMartialFeats,0)))))</f>
        <v>0</v>
      </c>
    </row>
    <row r="249" spans="1:16" x14ac:dyDescent="0.25">
      <c r="A249" t="s">
        <v>287</v>
      </c>
      <c r="C249" t="s">
        <v>17</v>
      </c>
      <c r="D249" t="s">
        <v>26</v>
      </c>
      <c r="E249">
        <v>3</v>
      </c>
      <c r="G249">
        <v>20</v>
      </c>
      <c r="H249">
        <v>2</v>
      </c>
      <c r="K249">
        <v>2</v>
      </c>
      <c r="L249" t="s">
        <v>22</v>
      </c>
      <c r="M249" t="s">
        <v>22</v>
      </c>
      <c r="N249" t="b">
        <v>1</v>
      </c>
      <c r="O249" t="s">
        <v>288</v>
      </c>
      <c r="P249" t="b">
        <f>OR(BrdLvl&gt;=1,HthLvl&gt;=1,FMkLvl&gt;=1,MoPLvl&gt;=1,AND(NoShLvl&gt;=1,OR(NomadShamanRegionCell=2,NomadShamanRegionCell=6)),AND(CrSLvl&gt;=1,CrSWeaponProf=4))</f>
        <v>1</v>
      </c>
    </row>
    <row r="250" spans="1:16" x14ac:dyDescent="0.25">
      <c r="A250" t="s">
        <v>289</v>
      </c>
      <c r="C250" t="s">
        <v>17</v>
      </c>
      <c r="D250" t="s">
        <v>26</v>
      </c>
      <c r="E250">
        <v>4</v>
      </c>
      <c r="G250">
        <v>20</v>
      </c>
      <c r="H250">
        <v>2</v>
      </c>
      <c r="K250">
        <v>3</v>
      </c>
      <c r="L250" t="s">
        <v>27</v>
      </c>
    </row>
    <row r="251" spans="1:16" x14ac:dyDescent="0.25">
      <c r="A251" t="s">
        <v>290</v>
      </c>
      <c r="C251" t="s">
        <v>17</v>
      </c>
      <c r="D251" t="s">
        <v>26</v>
      </c>
      <c r="E251">
        <v>5</v>
      </c>
      <c r="G251">
        <v>20</v>
      </c>
      <c r="H251">
        <v>3</v>
      </c>
      <c r="K251">
        <v>3</v>
      </c>
      <c r="L251" t="s">
        <v>27</v>
      </c>
      <c r="N251" t="b">
        <v>1</v>
      </c>
      <c r="O251" t="s">
        <v>161</v>
      </c>
    </row>
    <row r="252" spans="1:16" x14ac:dyDescent="0.25">
      <c r="A252" t="s">
        <v>291</v>
      </c>
      <c r="C252" t="s">
        <v>17</v>
      </c>
      <c r="D252" t="s">
        <v>26</v>
      </c>
      <c r="E252">
        <v>5</v>
      </c>
      <c r="G252">
        <v>19</v>
      </c>
      <c r="H252">
        <v>2</v>
      </c>
      <c r="K252">
        <v>3</v>
      </c>
      <c r="L252" t="s">
        <v>22</v>
      </c>
      <c r="N252" t="b">
        <v>1</v>
      </c>
      <c r="O252" t="s">
        <v>288</v>
      </c>
      <c r="P252" t="b">
        <f>BrdLvl&gt;=1</f>
        <v>1</v>
      </c>
    </row>
    <row r="253" spans="1:16" x14ac:dyDescent="0.25">
      <c r="A253" t="s">
        <v>292</v>
      </c>
      <c r="C253" t="s">
        <v>22</v>
      </c>
      <c r="D253" t="s">
        <v>115</v>
      </c>
      <c r="E253">
        <f>INDEX(TblUnarmedDamage,MnkLvl+IF(FtAsceticHunter,RgrLvl,0)+IF(FtAsceticKnight,PalLvl,0)+IF(FtAsceticRogue,RogLvl,0)+IPSLvl+TtMLvl+SaFLvl+MLDLvl+EnFLvl+FoZLvl+ClALvl+1,2)+(IDMLvl&gt;=4)+(IDMLvl&gt;=8)</f>
        <v>3</v>
      </c>
      <c r="G253">
        <v>20</v>
      </c>
      <c r="H253">
        <v>2</v>
      </c>
      <c r="L253" t="s">
        <v>43</v>
      </c>
      <c r="M253" t="s">
        <v>22</v>
      </c>
    </row>
    <row r="254" spans="1:16" x14ac:dyDescent="0.25">
      <c r="A254" t="s">
        <v>293</v>
      </c>
      <c r="C254" t="s">
        <v>22</v>
      </c>
      <c r="D254" t="s">
        <v>115</v>
      </c>
      <c r="E254">
        <v>13</v>
      </c>
      <c r="G254">
        <v>20</v>
      </c>
      <c r="H254">
        <v>2</v>
      </c>
      <c r="L254" t="s">
        <v>46</v>
      </c>
    </row>
    <row r="255" spans="1:16" x14ac:dyDescent="0.25">
      <c r="A255" t="s">
        <v>294</v>
      </c>
      <c r="C255" t="s">
        <v>22</v>
      </c>
      <c r="D255" t="s">
        <v>21</v>
      </c>
      <c r="E255">
        <v>13</v>
      </c>
      <c r="G255">
        <v>20</v>
      </c>
      <c r="H255">
        <v>2</v>
      </c>
      <c r="L255" t="s">
        <v>46</v>
      </c>
    </row>
    <row r="256" spans="1:16" x14ac:dyDescent="0.25">
      <c r="A256" t="s">
        <v>295</v>
      </c>
      <c r="C256" t="s">
        <v>22</v>
      </c>
      <c r="D256" t="s">
        <v>21</v>
      </c>
      <c r="E256">
        <v>13</v>
      </c>
      <c r="G256">
        <v>20</v>
      </c>
      <c r="H256">
        <v>2</v>
      </c>
      <c r="L256" t="s">
        <v>46</v>
      </c>
    </row>
    <row r="257" spans="1:12" x14ac:dyDescent="0.25">
      <c r="A257" t="s">
        <v>296</v>
      </c>
      <c r="C257" t="s">
        <v>22</v>
      </c>
      <c r="D257" t="s">
        <v>21</v>
      </c>
      <c r="E257">
        <v>13</v>
      </c>
      <c r="G257">
        <v>20</v>
      </c>
      <c r="H257">
        <v>2</v>
      </c>
      <c r="L257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TblSimpleList</vt:lpstr>
    </vt:vector>
  </TitlesOfParts>
  <Company>CGI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RCNET</dc:creator>
  <cp:lastModifiedBy>RCNET</cp:lastModifiedBy>
  <dcterms:created xsi:type="dcterms:W3CDTF">2015-09-08T09:07:44Z</dcterms:created>
  <dcterms:modified xsi:type="dcterms:W3CDTF">2015-09-08T15:24:01Z</dcterms:modified>
</cp:coreProperties>
</file>